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gerenciageneral/Library/Mobile Documents/com~apple~CloudDocs/VENTURE ME/JHS agroindustria/modulo 2 finales/financieros/"/>
    </mc:Choice>
  </mc:AlternateContent>
  <xr:revisionPtr revIDLastSave="0" documentId="13_ncr:1_{5B5A0EE5-7CC0-464D-A459-DE23FC050FDF}" xr6:coauthVersionLast="47" xr6:coauthVersionMax="47" xr10:uidLastSave="{00000000-0000-0000-0000-000000000000}"/>
  <bookViews>
    <workbookView xWindow="-35180" yWindow="2660" windowWidth="33200" windowHeight="17260" tabRatio="500" activeTab="4" xr2:uid="{00000000-000D-0000-FFFF-FFFF00000000}"/>
  </bookViews>
  <sheets>
    <sheet name="INICIO" sheetId="1" r:id="rId1"/>
    <sheet name="RESUMEN_EJECUTIVO" sheetId="31" r:id="rId2"/>
    <sheet name="PUNTO_EQUILIBRIO" sheetId="32" r:id="rId3"/>
    <sheet name="LEEME" sheetId="2" r:id="rId4"/>
    <sheet name="SUP_CONTROL" sheetId="3" r:id="rId5"/>
    <sheet name="SUP_MENU" sheetId="4" r:id="rId6"/>
    <sheet name="SUP_PRECIOS" sheetId="5" r:id="rId7"/>
    <sheet name="SUP_COSTOS" sheetId="30" r:id="rId8"/>
    <sheet name="SUP_INSUMOS" sheetId="29" r:id="rId9"/>
    <sheet name="SUP_VOLUMEN" sheetId="7" r:id="rId10"/>
    <sheet name="SUP_OPEX" sheetId="8" r:id="rId11"/>
    <sheet name="SUP_OVERHEAD" sheetId="9" r:id="rId12"/>
    <sheet name="SUP_TECNOLOGIA" sheetId="10" r:id="rId13"/>
    <sheet name="SUP_CAPEX_PLANTA" sheetId="11" r:id="rId14"/>
    <sheet name="SUP_CAPEX_VENTANA" sheetId="12" r:id="rId15"/>
    <sheet name="SUP_CAPEX_DINEIN" sheetId="13" r:id="rId16"/>
    <sheet name="SUP_CAPEX_FLAGSHIP" sheetId="14" r:id="rId17"/>
    <sheet name="SUP_PRODUCCION" sheetId="15" r:id="rId18"/>
    <sheet name="SUP_PLANTA_OPEX" sheetId="33" r:id="rId19"/>
    <sheet name="CAPA1_PILOTO" sheetId="16" r:id="rId20"/>
    <sheet name="CAPA2_FLAGSHIP" sheetId="17" r:id="rId21"/>
    <sheet name="SUP_C3_EXPANSION" sheetId="18" r:id="rId22"/>
    <sheet name="CAPA3_EXPANSION" sheetId="19" r:id="rId23"/>
    <sheet name="CAPA3_PDV_DETALLE" sheetId="20" r:id="rId24"/>
    <sheet name="SUP_C4_RETAIL" sheetId="21" r:id="rId25"/>
    <sheet name="CAPA4_RETAIL" sheetId="22" r:id="rId26"/>
    <sheet name="CONSOLIDADO" sheetId="23" r:id="rId27"/>
    <sheet name="PL" sheetId="24" r:id="rId28"/>
    <sheet name="CAPA3_DASHBOARD" sheetId="25" r:id="rId29"/>
    <sheet name="PROD_DEMANDA" sheetId="26" r:id="rId30"/>
    <sheet name="CHECKLIST_V2" sheetId="27" r:id="rId3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73" i="31" l="1"/>
  <c r="C9" i="33" l="1"/>
  <c r="D15" i="33" s="1"/>
  <c r="E33" i="11"/>
  <c r="F33" i="11" s="1"/>
  <c r="H33" i="11" s="1"/>
  <c r="D167" i="31" s="1"/>
  <c r="E39" i="33"/>
  <c r="D39" i="33"/>
  <c r="C39" i="33"/>
  <c r="C38" i="33"/>
  <c r="E32" i="11" s="1"/>
  <c r="F32" i="11" s="1"/>
  <c r="H32" i="11" s="1"/>
  <c r="D166" i="31" s="1"/>
  <c r="C30" i="33"/>
  <c r="F20" i="33"/>
  <c r="E20" i="33"/>
  <c r="D20" i="33"/>
  <c r="C20" i="33"/>
  <c r="C90" i="15"/>
  <c r="C89" i="15"/>
  <c r="C88" i="15"/>
  <c r="C40" i="32"/>
  <c r="D40" i="32"/>
  <c r="E40" i="32"/>
  <c r="F40" i="32"/>
  <c r="G40" i="32"/>
  <c r="H40" i="32"/>
  <c r="I40" i="32"/>
  <c r="J40" i="32"/>
  <c r="K40" i="32"/>
  <c r="L40" i="32"/>
  <c r="C38" i="32"/>
  <c r="D38" i="32" s="1"/>
  <c r="E38" i="32" s="1"/>
  <c r="F38" i="32" s="1"/>
  <c r="G38" i="32" s="1"/>
  <c r="H38" i="32" s="1"/>
  <c r="I38" i="32" s="1"/>
  <c r="J38" i="32" s="1"/>
  <c r="K38" i="32" s="1"/>
  <c r="L38" i="32" s="1"/>
  <c r="C14" i="32"/>
  <c r="D14" i="32" s="1"/>
  <c r="C13" i="32"/>
  <c r="D13" i="32" s="1"/>
  <c r="C12" i="32"/>
  <c r="D12" i="32" s="1"/>
  <c r="C9" i="32"/>
  <c r="C8" i="32"/>
  <c r="C7" i="32"/>
  <c r="C135" i="31"/>
  <c r="D135" i="31"/>
  <c r="E135" i="31"/>
  <c r="C136" i="31"/>
  <c r="D136" i="31"/>
  <c r="E136" i="31"/>
  <c r="C137" i="31"/>
  <c r="D137" i="31"/>
  <c r="E137" i="31"/>
  <c r="C138" i="31"/>
  <c r="D138" i="31"/>
  <c r="E138" i="31"/>
  <c r="H120" i="31"/>
  <c r="F120" i="31"/>
  <c r="E120" i="31"/>
  <c r="C120" i="31"/>
  <c r="H113" i="31"/>
  <c r="F113" i="31"/>
  <c r="E113" i="31"/>
  <c r="C113" i="31"/>
  <c r="H106" i="31"/>
  <c r="F106" i="31"/>
  <c r="E106" i="31"/>
  <c r="C106" i="31"/>
  <c r="E21" i="31"/>
  <c r="D21" i="31"/>
  <c r="C21" i="31"/>
  <c r="D21" i="19"/>
  <c r="E20" i="31"/>
  <c r="E179" i="31" s="1"/>
  <c r="D20" i="31"/>
  <c r="D179" i="31" s="1"/>
  <c r="C20" i="31"/>
  <c r="C179" i="31" s="1"/>
  <c r="F24" i="14"/>
  <c r="H24" i="14" s="1"/>
  <c r="F28" i="14"/>
  <c r="H28" i="14" s="1"/>
  <c r="F29" i="14"/>
  <c r="H29" i="14" s="1"/>
  <c r="F30" i="14"/>
  <c r="H30" i="14" s="1"/>
  <c r="F31" i="14"/>
  <c r="H31" i="14" s="1"/>
  <c r="F32" i="14"/>
  <c r="H32" i="14" s="1"/>
  <c r="F33" i="14"/>
  <c r="H33" i="14" s="1"/>
  <c r="F34" i="14"/>
  <c r="H34" i="14" s="1"/>
  <c r="F35" i="14"/>
  <c r="H35" i="14" s="1"/>
  <c r="F36" i="14"/>
  <c r="H36" i="14" s="1"/>
  <c r="F37" i="14"/>
  <c r="H37" i="14" s="1"/>
  <c r="F38" i="14"/>
  <c r="H38" i="14" s="1"/>
  <c r="F39" i="14"/>
  <c r="H39" i="14" s="1"/>
  <c r="F42" i="14"/>
  <c r="H42" i="14" s="1"/>
  <c r="F43" i="14"/>
  <c r="H43" i="14" s="1"/>
  <c r="F44" i="14"/>
  <c r="H44" i="14" s="1"/>
  <c r="F45" i="14"/>
  <c r="H45" i="14" s="1"/>
  <c r="F46" i="14"/>
  <c r="H46" i="14" s="1"/>
  <c r="F47" i="14"/>
  <c r="H47" i="14" s="1"/>
  <c r="F35" i="13"/>
  <c r="H35" i="13" s="1"/>
  <c r="F36" i="13"/>
  <c r="H36" i="13" s="1"/>
  <c r="F37" i="13"/>
  <c r="H37" i="13" s="1"/>
  <c r="F33" i="12"/>
  <c r="H33" i="12" s="1"/>
  <c r="F34" i="12"/>
  <c r="H34" i="12" s="1"/>
  <c r="F35" i="12"/>
  <c r="H35" i="12" s="1"/>
  <c r="F36" i="12"/>
  <c r="H36" i="12" s="1"/>
  <c r="F30" i="11"/>
  <c r="H30" i="11" s="1"/>
  <c r="D168" i="31" s="1"/>
  <c r="G168" i="31" s="1"/>
  <c r="E28" i="30"/>
  <c r="C286" i="30"/>
  <c r="E29" i="30"/>
  <c r="F15" i="33" l="1"/>
  <c r="C15" i="33"/>
  <c r="E15" i="33"/>
  <c r="J11" i="30" l="1"/>
  <c r="L11" i="30" s="1"/>
  <c r="E288" i="30"/>
  <c r="F288" i="30" s="1"/>
  <c r="C28" i="3"/>
  <c r="E215" i="30" l="1"/>
  <c r="F215" i="30" s="1"/>
  <c r="E216" i="30"/>
  <c r="F216" i="30" s="1"/>
  <c r="E217" i="30"/>
  <c r="F217" i="30" s="1"/>
  <c r="E218" i="30"/>
  <c r="F218" i="30" s="1"/>
  <c r="C226" i="30"/>
  <c r="C227" i="30"/>
  <c r="E228" i="30"/>
  <c r="F228" i="30" s="1"/>
  <c r="E229" i="30"/>
  <c r="F229" i="30" s="1"/>
  <c r="E243" i="30"/>
  <c r="F243" i="30" s="1"/>
  <c r="E244" i="30"/>
  <c r="F244" i="30" s="1"/>
  <c r="E245" i="30"/>
  <c r="F245" i="30" s="1"/>
  <c r="E246" i="30"/>
  <c r="F246" i="30" s="1"/>
  <c r="C254" i="30"/>
  <c r="E257" i="30"/>
  <c r="F257" i="30" s="1"/>
  <c r="E258" i="30"/>
  <c r="F258" i="30" s="1"/>
  <c r="E259" i="30"/>
  <c r="F259" i="30" s="1"/>
  <c r="C267" i="30"/>
  <c r="E270" i="30"/>
  <c r="F270" i="30" s="1"/>
  <c r="E271" i="30"/>
  <c r="F271" i="30" s="1"/>
  <c r="E272" i="30"/>
  <c r="F272" i="30" s="1"/>
  <c r="E286" i="30"/>
  <c r="E287" i="30"/>
  <c r="F287" i="30" s="1"/>
  <c r="E289" i="30"/>
  <c r="F289" i="30" s="1"/>
  <c r="E297" i="30"/>
  <c r="F297" i="30" s="1"/>
  <c r="E19" i="30"/>
  <c r="E70" i="30" s="1"/>
  <c r="D21" i="30"/>
  <c r="D22" i="30" s="1"/>
  <c r="D23" i="30" s="1"/>
  <c r="E25" i="30"/>
  <c r="E30" i="30"/>
  <c r="E174" i="30" s="1"/>
  <c r="F174" i="30" s="1"/>
  <c r="E31" i="30"/>
  <c r="E267" i="30" s="1"/>
  <c r="E32" i="30"/>
  <c r="E179" i="30" s="1"/>
  <c r="F179" i="30" s="1"/>
  <c r="E33" i="30"/>
  <c r="E213" i="30" s="1"/>
  <c r="F213" i="30" s="1"/>
  <c r="E34" i="30"/>
  <c r="E269" i="30" s="1"/>
  <c r="F269" i="30" s="1"/>
  <c r="E42" i="30"/>
  <c r="E241" i="30" s="1"/>
  <c r="F241" i="30" s="1"/>
  <c r="C70" i="30"/>
  <c r="C71" i="30"/>
  <c r="E72" i="30"/>
  <c r="F72" i="30" s="1"/>
  <c r="C80" i="30"/>
  <c r="C81" i="30"/>
  <c r="C82" i="30"/>
  <c r="E83" i="30"/>
  <c r="F83" i="30" s="1"/>
  <c r="E84" i="30"/>
  <c r="F84" i="30" s="1"/>
  <c r="E97" i="30"/>
  <c r="F97" i="30" s="1"/>
  <c r="E98" i="30"/>
  <c r="F98" i="30" s="1"/>
  <c r="E111" i="30"/>
  <c r="F111" i="30" s="1"/>
  <c r="E112" i="30"/>
  <c r="F112" i="30" s="1"/>
  <c r="E125" i="30"/>
  <c r="F125" i="30" s="1"/>
  <c r="E126" i="30"/>
  <c r="F126" i="30" s="1"/>
  <c r="E138" i="30"/>
  <c r="F138" i="30" s="1"/>
  <c r="E139" i="30"/>
  <c r="F139" i="30" s="1"/>
  <c r="C147" i="30"/>
  <c r="E149" i="30"/>
  <c r="F149" i="30" s="1"/>
  <c r="E150" i="30"/>
  <c r="F150" i="30" s="1"/>
  <c r="E151" i="30"/>
  <c r="F151" i="30" s="1"/>
  <c r="E162" i="30"/>
  <c r="F162" i="30" s="1"/>
  <c r="E163" i="30"/>
  <c r="F163" i="30" s="1"/>
  <c r="E164" i="30"/>
  <c r="F164" i="30" s="1"/>
  <c r="E176" i="30"/>
  <c r="F176" i="30" s="1"/>
  <c r="E177" i="30"/>
  <c r="F177" i="30" s="1"/>
  <c r="E178" i="30"/>
  <c r="F178" i="30" s="1"/>
  <c r="E190" i="30"/>
  <c r="F190" i="30" s="1"/>
  <c r="E191" i="30"/>
  <c r="F191" i="30" s="1"/>
  <c r="E192" i="30"/>
  <c r="F192" i="30" s="1"/>
  <c r="E201" i="30"/>
  <c r="F201" i="30" s="1"/>
  <c r="E202" i="30"/>
  <c r="F202" i="30" s="1"/>
  <c r="E203" i="30"/>
  <c r="F203" i="30" s="1"/>
  <c r="E204" i="30"/>
  <c r="F204" i="30" s="1"/>
  <c r="C212" i="30"/>
  <c r="E8" i="29"/>
  <c r="D12" i="29" s="1"/>
  <c r="E9" i="29"/>
  <c r="E40" i="29"/>
  <c r="E46" i="29"/>
  <c r="E53" i="29"/>
  <c r="E61" i="29"/>
  <c r="E63" i="29"/>
  <c r="E67" i="29"/>
  <c r="E70" i="29"/>
  <c r="E74" i="29"/>
  <c r="E82" i="29"/>
  <c r="E83" i="29"/>
  <c r="E20" i="30" s="1"/>
  <c r="E84" i="29"/>
  <c r="E90" i="29"/>
  <c r="E91" i="29"/>
  <c r="E92" i="29"/>
  <c r="E93" i="29"/>
  <c r="E95" i="29"/>
  <c r="E102" i="29"/>
  <c r="E104" i="29"/>
  <c r="E105" i="29"/>
  <c r="E115" i="29"/>
  <c r="E130" i="29"/>
  <c r="E136" i="29"/>
  <c r="E138" i="29"/>
  <c r="E140" i="29"/>
  <c r="E141" i="29"/>
  <c r="D142" i="29" s="1"/>
  <c r="E153" i="29"/>
  <c r="C27" i="24"/>
  <c r="C26" i="24"/>
  <c r="C25" i="24"/>
  <c r="C24" i="24"/>
  <c r="C23" i="24"/>
  <c r="C22" i="24"/>
  <c r="C21" i="24"/>
  <c r="C20" i="24"/>
  <c r="C19" i="24"/>
  <c r="C18" i="24"/>
  <c r="C17" i="24"/>
  <c r="C16" i="24"/>
  <c r="C15" i="24"/>
  <c r="C14" i="24"/>
  <c r="C13" i="24"/>
  <c r="C12" i="24"/>
  <c r="C11" i="24"/>
  <c r="F4" i="24"/>
  <c r="E4" i="24"/>
  <c r="D4" i="24"/>
  <c r="C4" i="24"/>
  <c r="C61" i="23"/>
  <c r="F51" i="23"/>
  <c r="E51" i="23"/>
  <c r="D51" i="23"/>
  <c r="C21" i="23"/>
  <c r="DS14" i="22"/>
  <c r="DR14" i="22"/>
  <c r="DQ14" i="22"/>
  <c r="DP14" i="22"/>
  <c r="DO14" i="22"/>
  <c r="DN14" i="22"/>
  <c r="DM14" i="22"/>
  <c r="DL14" i="22"/>
  <c r="DK14" i="22"/>
  <c r="DJ14" i="22"/>
  <c r="DI14" i="22"/>
  <c r="DH14" i="22"/>
  <c r="DG14" i="22"/>
  <c r="DF14" i="22"/>
  <c r="DE14" i="22"/>
  <c r="DD14" i="22"/>
  <c r="DC14" i="22"/>
  <c r="DB14" i="22"/>
  <c r="DA14" i="22"/>
  <c r="CZ14" i="22"/>
  <c r="CY14" i="22"/>
  <c r="CX14" i="22"/>
  <c r="CW14" i="22"/>
  <c r="CV14" i="22"/>
  <c r="CU14" i="22"/>
  <c r="CT14" i="22"/>
  <c r="CS14" i="22"/>
  <c r="CR14" i="22"/>
  <c r="CQ14" i="22"/>
  <c r="CP14" i="22"/>
  <c r="CO14" i="22"/>
  <c r="CN14" i="22"/>
  <c r="CM14" i="22"/>
  <c r="CL14" i="22"/>
  <c r="CK14" i="22"/>
  <c r="CJ14" i="22"/>
  <c r="CI14" i="22"/>
  <c r="CH14" i="22"/>
  <c r="CG14" i="22"/>
  <c r="CF14" i="22"/>
  <c r="CE14" i="22"/>
  <c r="CD14" i="22"/>
  <c r="CC14" i="22"/>
  <c r="CB14" i="22"/>
  <c r="CA14" i="22"/>
  <c r="BZ14" i="22"/>
  <c r="BY14" i="22"/>
  <c r="BX14" i="22"/>
  <c r="BW14" i="22"/>
  <c r="BV14" i="22"/>
  <c r="BU14" i="22"/>
  <c r="BT14" i="22"/>
  <c r="BS14" i="22"/>
  <c r="BR14" i="22"/>
  <c r="BQ14" i="22"/>
  <c r="BP14" i="22"/>
  <c r="BO14" i="22"/>
  <c r="BN14" i="22"/>
  <c r="BM14" i="22"/>
  <c r="BL14" i="22"/>
  <c r="BK14" i="22"/>
  <c r="BJ14" i="22"/>
  <c r="BI14" i="22"/>
  <c r="BH14" i="22"/>
  <c r="BG14" i="22"/>
  <c r="BF14" i="22"/>
  <c r="BE14" i="22"/>
  <c r="BD14" i="22"/>
  <c r="BC14" i="22"/>
  <c r="BB14" i="22"/>
  <c r="BA14" i="22"/>
  <c r="AZ14" i="22"/>
  <c r="AY14" i="22"/>
  <c r="AX14" i="22"/>
  <c r="AW14" i="22"/>
  <c r="AV14" i="22"/>
  <c r="AU14" i="22"/>
  <c r="AT14" i="22"/>
  <c r="AS14" i="22"/>
  <c r="AR14" i="22"/>
  <c r="AQ14" i="22"/>
  <c r="AP14" i="22"/>
  <c r="AO14" i="22"/>
  <c r="AN14" i="22"/>
  <c r="AM14" i="22"/>
  <c r="AL14" i="22"/>
  <c r="AK14" i="22"/>
  <c r="AJ14" i="22"/>
  <c r="AI14" i="22"/>
  <c r="AH14" i="22"/>
  <c r="AG14" i="22"/>
  <c r="AF14" i="22"/>
  <c r="AE14" i="22"/>
  <c r="AD14" i="22"/>
  <c r="AC14" i="22"/>
  <c r="AB14" i="22"/>
  <c r="AA14" i="22"/>
  <c r="Z14" i="22"/>
  <c r="X14" i="22"/>
  <c r="W14" i="22"/>
  <c r="V14" i="22"/>
  <c r="U14" i="22"/>
  <c r="T14" i="22"/>
  <c r="S14" i="22"/>
  <c r="R14" i="22"/>
  <c r="Q14" i="22"/>
  <c r="P14" i="22"/>
  <c r="O14" i="22"/>
  <c r="N14" i="22"/>
  <c r="M14" i="22"/>
  <c r="L14" i="22"/>
  <c r="K14" i="22"/>
  <c r="J14" i="22"/>
  <c r="I14" i="22"/>
  <c r="H14" i="22"/>
  <c r="G14" i="22"/>
  <c r="F14" i="22"/>
  <c r="E14" i="22"/>
  <c r="D14" i="22"/>
  <c r="D15" i="22" s="1"/>
  <c r="D16" i="22" s="1"/>
  <c r="C146" i="24" s="1"/>
  <c r="DS6" i="22"/>
  <c r="DR6" i="22"/>
  <c r="DQ6" i="22"/>
  <c r="DQ11" i="22" s="1"/>
  <c r="DP6" i="22"/>
  <c r="DP11" i="22" s="1"/>
  <c r="DO6" i="22"/>
  <c r="DO11" i="22" s="1"/>
  <c r="DN6" i="22"/>
  <c r="DN11" i="22" s="1"/>
  <c r="DM6" i="22"/>
  <c r="DM11" i="22" s="1"/>
  <c r="DL6" i="22"/>
  <c r="DK6" i="22"/>
  <c r="DJ6" i="22"/>
  <c r="DI6" i="22"/>
  <c r="DH6" i="22"/>
  <c r="DG6" i="22"/>
  <c r="DG11" i="22" s="1"/>
  <c r="DF6" i="22"/>
  <c r="DF7" i="22" s="1"/>
  <c r="DF9" i="26" s="1"/>
  <c r="DE6" i="22"/>
  <c r="DE11" i="22" s="1"/>
  <c r="DD6" i="22"/>
  <c r="DD7" i="22" s="1"/>
  <c r="DC6" i="22"/>
  <c r="DC11" i="22" s="1"/>
  <c r="DB6" i="22"/>
  <c r="DA6" i="22"/>
  <c r="CZ6" i="22"/>
  <c r="CZ7" i="22" s="1"/>
  <c r="CY6" i="22"/>
  <c r="CY11" i="22" s="1"/>
  <c r="CX6" i="22"/>
  <c r="CW6" i="22"/>
  <c r="CW11" i="22" s="1"/>
  <c r="CV6" i="22"/>
  <c r="CV11" i="22" s="1"/>
  <c r="CU6" i="22"/>
  <c r="CU7" i="22" s="1"/>
  <c r="CT6" i="22"/>
  <c r="CT7" i="22" s="1"/>
  <c r="CT9" i="26" s="1"/>
  <c r="CS6" i="22"/>
  <c r="CS7" i="22" s="1"/>
  <c r="CS9" i="26" s="1"/>
  <c r="CR6" i="22"/>
  <c r="CQ6" i="22"/>
  <c r="CP6" i="22"/>
  <c r="CO6" i="22"/>
  <c r="CO7" i="22" s="1"/>
  <c r="CN6" i="22"/>
  <c r="CM6" i="22"/>
  <c r="CM11" i="22" s="1"/>
  <c r="CL6" i="22"/>
  <c r="CK6" i="22"/>
  <c r="CK11" i="22" s="1"/>
  <c r="CJ6" i="22"/>
  <c r="CJ7" i="22" s="1"/>
  <c r="CI6" i="22"/>
  <c r="CI11" i="22" s="1"/>
  <c r="CH6" i="22"/>
  <c r="CG6" i="22"/>
  <c r="CF6" i="22"/>
  <c r="CE6" i="22"/>
  <c r="CE11" i="22" s="1"/>
  <c r="CD6" i="22"/>
  <c r="CD11" i="22" s="1"/>
  <c r="CC6" i="22"/>
  <c r="CC11" i="22" s="1"/>
  <c r="CB6" i="22"/>
  <c r="CB7" i="22" s="1"/>
  <c r="CA6" i="22"/>
  <c r="CA7" i="22" s="1"/>
  <c r="CA9" i="26" s="1"/>
  <c r="BZ6" i="22"/>
  <c r="BZ11" i="22" s="1"/>
  <c r="BY6" i="22"/>
  <c r="BY11" i="22" s="1"/>
  <c r="BX6" i="22"/>
  <c r="BW6" i="22"/>
  <c r="BV6" i="22"/>
  <c r="BU6" i="22"/>
  <c r="BU11" i="22" s="1"/>
  <c r="BT6" i="22"/>
  <c r="BT11" i="22" s="1"/>
  <c r="BS6" i="22"/>
  <c r="BS11" i="22" s="1"/>
  <c r="BR6" i="22"/>
  <c r="BR11" i="22" s="1"/>
  <c r="BQ6" i="22"/>
  <c r="BQ11" i="22" s="1"/>
  <c r="BP6" i="22"/>
  <c r="BP11" i="22" s="1"/>
  <c r="BO6" i="22"/>
  <c r="BO11" i="22" s="1"/>
  <c r="BN6" i="22"/>
  <c r="BM6" i="22"/>
  <c r="BL6" i="22"/>
  <c r="BK6" i="22"/>
  <c r="BJ6" i="22"/>
  <c r="BJ11" i="22" s="1"/>
  <c r="BI6" i="22"/>
  <c r="BH6" i="22"/>
  <c r="BH11" i="22" s="1"/>
  <c r="BG6" i="22"/>
  <c r="BG11" i="22" s="1"/>
  <c r="BF6" i="22"/>
  <c r="BF11" i="22" s="1"/>
  <c r="BE6" i="22"/>
  <c r="BE11" i="22" s="1"/>
  <c r="BD6" i="22"/>
  <c r="BD11" i="22" s="1"/>
  <c r="BC6" i="22"/>
  <c r="BC11" i="22" s="1"/>
  <c r="BB6" i="22"/>
  <c r="BB7" i="22" s="1"/>
  <c r="BA6" i="22"/>
  <c r="BA7" i="22" s="1"/>
  <c r="AZ6" i="22"/>
  <c r="AZ11" i="22" s="1"/>
  <c r="AY6" i="22"/>
  <c r="AX6" i="22"/>
  <c r="AX11" i="22" s="1"/>
  <c r="AW6" i="22"/>
  <c r="AW7" i="22" s="1"/>
  <c r="AV6" i="22"/>
  <c r="AV11" i="22" s="1"/>
  <c r="AU6" i="22"/>
  <c r="AU11" i="22" s="1"/>
  <c r="AT6" i="22"/>
  <c r="AS6" i="22"/>
  <c r="AR6" i="22"/>
  <c r="AQ6" i="22"/>
  <c r="AP6" i="22"/>
  <c r="AP11" i="22" s="1"/>
  <c r="AO6" i="22"/>
  <c r="AN6" i="22"/>
  <c r="AM6" i="22"/>
  <c r="AM11" i="22" s="1"/>
  <c r="AL6" i="22"/>
  <c r="AL11" i="22" s="1"/>
  <c r="AK6" i="22"/>
  <c r="AK7" i="22" s="1"/>
  <c r="AJ6" i="22"/>
  <c r="AI6" i="22"/>
  <c r="AI7" i="22" s="1"/>
  <c r="AH6" i="22"/>
  <c r="AG6" i="22"/>
  <c r="AG11" i="22" s="1"/>
  <c r="AF6" i="22"/>
  <c r="AF11" i="22" s="1"/>
  <c r="AE6" i="22"/>
  <c r="AD6" i="22"/>
  <c r="AD7" i="22" s="1"/>
  <c r="AD9" i="26" s="1"/>
  <c r="AC6" i="22"/>
  <c r="AC11" i="22" s="1"/>
  <c r="AB6" i="22"/>
  <c r="AB11" i="22" s="1"/>
  <c r="AA6" i="22"/>
  <c r="AA11" i="22" s="1"/>
  <c r="Z6" i="22"/>
  <c r="Y6" i="22"/>
  <c r="Y11" i="22" s="1"/>
  <c r="X6" i="22"/>
  <c r="W6" i="22"/>
  <c r="W11" i="22" s="1"/>
  <c r="V6" i="22"/>
  <c r="V11" i="22" s="1"/>
  <c r="U6" i="22"/>
  <c r="T6" i="22"/>
  <c r="T7" i="22" s="1"/>
  <c r="S6" i="22"/>
  <c r="S7" i="22" s="1"/>
  <c r="R6" i="22"/>
  <c r="R11" i="22" s="1"/>
  <c r="Q6" i="22"/>
  <c r="Q11" i="22" s="1"/>
  <c r="P6" i="22"/>
  <c r="O6" i="22"/>
  <c r="N6" i="22"/>
  <c r="N11" i="22" s="1"/>
  <c r="M6" i="22"/>
  <c r="L6" i="22"/>
  <c r="L11" i="22" s="1"/>
  <c r="K6" i="22"/>
  <c r="J6" i="22"/>
  <c r="J7" i="22" s="1"/>
  <c r="I6" i="22"/>
  <c r="I7" i="22" s="1"/>
  <c r="H6" i="22"/>
  <c r="H7" i="22" s="1"/>
  <c r="G6" i="22"/>
  <c r="G7" i="22" s="1"/>
  <c r="G9" i="26" s="1"/>
  <c r="F6" i="22"/>
  <c r="F11" i="22" s="1"/>
  <c r="E6" i="22"/>
  <c r="E11" i="22" s="1"/>
  <c r="D6" i="22"/>
  <c r="D11" i="22" s="1"/>
  <c r="B47" i="20"/>
  <c r="B182" i="20" s="1"/>
  <c r="F46" i="20"/>
  <c r="E46" i="20"/>
  <c r="D46" i="20"/>
  <c r="B46" i="20"/>
  <c r="F45" i="20"/>
  <c r="E45" i="20"/>
  <c r="D45" i="20"/>
  <c r="B45" i="20"/>
  <c r="F44" i="20"/>
  <c r="E44" i="20"/>
  <c r="D44" i="20"/>
  <c r="B44" i="20"/>
  <c r="F43" i="20"/>
  <c r="E43" i="20"/>
  <c r="D43" i="20"/>
  <c r="B43" i="20"/>
  <c r="B178" i="20" s="1"/>
  <c r="F42" i="20"/>
  <c r="E42" i="20"/>
  <c r="D42" i="20"/>
  <c r="B42" i="20"/>
  <c r="B132" i="20" s="1"/>
  <c r="F41" i="20"/>
  <c r="E41" i="20"/>
  <c r="D41" i="20"/>
  <c r="B41" i="20"/>
  <c r="F40" i="20"/>
  <c r="E40" i="20"/>
  <c r="D40" i="20"/>
  <c r="B40" i="20"/>
  <c r="F39" i="20"/>
  <c r="E39" i="20"/>
  <c r="D39" i="20"/>
  <c r="B39" i="20"/>
  <c r="F38" i="20"/>
  <c r="E38" i="20"/>
  <c r="D38" i="20"/>
  <c r="B38" i="20"/>
  <c r="F37" i="20"/>
  <c r="E37" i="20"/>
  <c r="D37" i="20"/>
  <c r="B37" i="20"/>
  <c r="F36" i="20"/>
  <c r="E36" i="20"/>
  <c r="D36" i="20"/>
  <c r="B36" i="20"/>
  <c r="F35" i="20"/>
  <c r="E35" i="20"/>
  <c r="D35" i="20"/>
  <c r="B35" i="20"/>
  <c r="F34" i="20"/>
  <c r="E34" i="20"/>
  <c r="D34" i="20"/>
  <c r="B34" i="20"/>
  <c r="F33" i="20"/>
  <c r="E33" i="20"/>
  <c r="D33" i="20"/>
  <c r="B33" i="20"/>
  <c r="F32" i="20"/>
  <c r="E32" i="20"/>
  <c r="D32" i="20"/>
  <c r="B32" i="20"/>
  <c r="F31" i="20"/>
  <c r="E31" i="20"/>
  <c r="D31" i="20"/>
  <c r="B31" i="20"/>
  <c r="F30" i="20"/>
  <c r="E30" i="20"/>
  <c r="D30" i="20"/>
  <c r="B30" i="20"/>
  <c r="F29" i="20"/>
  <c r="E29" i="20"/>
  <c r="D29" i="20"/>
  <c r="B29" i="20"/>
  <c r="F28" i="20"/>
  <c r="E28" i="20"/>
  <c r="D28" i="20"/>
  <c r="B28" i="20"/>
  <c r="F27" i="20"/>
  <c r="E27" i="20"/>
  <c r="D27" i="20"/>
  <c r="B27" i="20"/>
  <c r="F26" i="20"/>
  <c r="E26" i="20"/>
  <c r="D26" i="20"/>
  <c r="B26" i="20"/>
  <c r="F25" i="20"/>
  <c r="E25" i="20"/>
  <c r="D25" i="20"/>
  <c r="B25" i="20"/>
  <c r="F24" i="20"/>
  <c r="E24" i="20"/>
  <c r="D24" i="20"/>
  <c r="B24" i="20"/>
  <c r="F23" i="20"/>
  <c r="E23" i="20"/>
  <c r="D23" i="20"/>
  <c r="B23" i="20"/>
  <c r="F22" i="20"/>
  <c r="E22" i="20"/>
  <c r="D22" i="20"/>
  <c r="B22" i="20"/>
  <c r="F21" i="20"/>
  <c r="E21" i="20"/>
  <c r="D21" i="20"/>
  <c r="B21" i="20"/>
  <c r="F20" i="20"/>
  <c r="E20" i="20"/>
  <c r="D20" i="20"/>
  <c r="B20" i="20"/>
  <c r="F19" i="20"/>
  <c r="E19" i="20"/>
  <c r="D19" i="20"/>
  <c r="B19" i="20"/>
  <c r="F18" i="20"/>
  <c r="E18" i="20"/>
  <c r="D18" i="20"/>
  <c r="B18" i="20"/>
  <c r="F17" i="20"/>
  <c r="E17" i="20"/>
  <c r="D17" i="20"/>
  <c r="B17" i="20"/>
  <c r="F16" i="20"/>
  <c r="E16" i="20"/>
  <c r="D16" i="20"/>
  <c r="B16" i="20"/>
  <c r="F15" i="20"/>
  <c r="E15" i="20"/>
  <c r="D15" i="20"/>
  <c r="B15" i="20"/>
  <c r="F14" i="20"/>
  <c r="E14" i="20"/>
  <c r="D14" i="20"/>
  <c r="B14" i="20"/>
  <c r="F13" i="20"/>
  <c r="E13" i="20"/>
  <c r="D13" i="20"/>
  <c r="B13" i="20"/>
  <c r="F12" i="20"/>
  <c r="E12" i="20"/>
  <c r="D12" i="20"/>
  <c r="B12" i="20"/>
  <c r="F11" i="20"/>
  <c r="E11" i="20"/>
  <c r="D11" i="20"/>
  <c r="B11" i="20"/>
  <c r="F10" i="20"/>
  <c r="E10" i="20"/>
  <c r="D10" i="20"/>
  <c r="B10" i="20"/>
  <c r="F9" i="20"/>
  <c r="E9" i="20"/>
  <c r="D9" i="20"/>
  <c r="B9" i="20"/>
  <c r="F8" i="20"/>
  <c r="E8" i="20"/>
  <c r="D8" i="20"/>
  <c r="B8" i="20"/>
  <c r="F66" i="19"/>
  <c r="E66" i="19"/>
  <c r="D66" i="19"/>
  <c r="F65" i="19"/>
  <c r="E65" i="19"/>
  <c r="D65" i="19"/>
  <c r="I57" i="19"/>
  <c r="H57" i="19"/>
  <c r="G57" i="19"/>
  <c r="D47" i="19"/>
  <c r="F43" i="19"/>
  <c r="E43" i="19"/>
  <c r="D43" i="19"/>
  <c r="C32" i="19"/>
  <c r="D30" i="19"/>
  <c r="D29" i="19"/>
  <c r="D25" i="19"/>
  <c r="D20" i="19"/>
  <c r="D19" i="19"/>
  <c r="D17" i="19"/>
  <c r="D16" i="19"/>
  <c r="D67" i="18"/>
  <c r="D66" i="18"/>
  <c r="D65" i="18"/>
  <c r="J59" i="18"/>
  <c r="I59" i="18"/>
  <c r="H59" i="18"/>
  <c r="J58" i="18"/>
  <c r="I58" i="18"/>
  <c r="H58" i="18"/>
  <c r="J57" i="18"/>
  <c r="I57" i="18"/>
  <c r="H57" i="18"/>
  <c r="J56" i="18"/>
  <c r="I56" i="18"/>
  <c r="H56" i="18"/>
  <c r="J55" i="18"/>
  <c r="I55" i="18"/>
  <c r="H55" i="18"/>
  <c r="J54" i="18"/>
  <c r="I54" i="18"/>
  <c r="H54" i="18"/>
  <c r="J53" i="18"/>
  <c r="I53" i="18"/>
  <c r="H53" i="18"/>
  <c r="J52" i="18"/>
  <c r="I52" i="18"/>
  <c r="H52" i="18"/>
  <c r="J51" i="18"/>
  <c r="I51" i="18"/>
  <c r="H51" i="18"/>
  <c r="J50" i="18"/>
  <c r="I50" i="18"/>
  <c r="H50" i="18"/>
  <c r="J49" i="18"/>
  <c r="I49" i="18"/>
  <c r="H49" i="18"/>
  <c r="J48" i="18"/>
  <c r="I48" i="18"/>
  <c r="H48" i="18"/>
  <c r="J47" i="18"/>
  <c r="I47" i="18"/>
  <c r="H47" i="18"/>
  <c r="J46" i="18"/>
  <c r="I46" i="18"/>
  <c r="H46" i="18"/>
  <c r="J45" i="18"/>
  <c r="I45" i="18"/>
  <c r="H45" i="18"/>
  <c r="J44" i="18"/>
  <c r="I44" i="18"/>
  <c r="H44" i="18"/>
  <c r="J43" i="18"/>
  <c r="I43" i="18"/>
  <c r="H43" i="18"/>
  <c r="J42" i="18"/>
  <c r="I42" i="18"/>
  <c r="H42" i="18"/>
  <c r="J41" i="18"/>
  <c r="I41" i="18"/>
  <c r="H41" i="18"/>
  <c r="J40" i="18"/>
  <c r="I40" i="18"/>
  <c r="H40" i="18"/>
  <c r="J39" i="18"/>
  <c r="I39" i="18"/>
  <c r="H39" i="18"/>
  <c r="J38" i="18"/>
  <c r="I38" i="18"/>
  <c r="H38" i="18"/>
  <c r="J37" i="18"/>
  <c r="I37" i="18"/>
  <c r="H37" i="18"/>
  <c r="J36" i="18"/>
  <c r="I36" i="18"/>
  <c r="H36" i="18"/>
  <c r="J35" i="18"/>
  <c r="I35" i="18"/>
  <c r="H35" i="18"/>
  <c r="J34" i="18"/>
  <c r="I34" i="18"/>
  <c r="H34" i="18"/>
  <c r="J33" i="18"/>
  <c r="I33" i="18"/>
  <c r="H33" i="18"/>
  <c r="J32" i="18"/>
  <c r="I32" i="18"/>
  <c r="H32" i="18"/>
  <c r="J31" i="18"/>
  <c r="I31" i="18"/>
  <c r="H31" i="18"/>
  <c r="J30" i="18"/>
  <c r="I30" i="18"/>
  <c r="H30" i="18"/>
  <c r="J29" i="18"/>
  <c r="I29" i="18"/>
  <c r="H29" i="18"/>
  <c r="J28" i="18"/>
  <c r="I28" i="18"/>
  <c r="H28" i="18"/>
  <c r="J27" i="18"/>
  <c r="I27" i="18"/>
  <c r="H27" i="18"/>
  <c r="J26" i="18"/>
  <c r="I26" i="18"/>
  <c r="H26" i="18"/>
  <c r="J25" i="18"/>
  <c r="I25" i="18"/>
  <c r="H25" i="18"/>
  <c r="J24" i="18"/>
  <c r="I24" i="18"/>
  <c r="H24" i="18"/>
  <c r="J23" i="18"/>
  <c r="I23" i="18"/>
  <c r="H23" i="18"/>
  <c r="J22" i="18"/>
  <c r="I22" i="18"/>
  <c r="H22" i="18"/>
  <c r="J21" i="18"/>
  <c r="I21" i="18"/>
  <c r="H21" i="18"/>
  <c r="J20" i="18"/>
  <c r="I20" i="18"/>
  <c r="H20" i="18"/>
  <c r="K12" i="18"/>
  <c r="J12" i="18"/>
  <c r="I12" i="18"/>
  <c r="H12" i="18"/>
  <c r="G12" i="18"/>
  <c r="F12" i="18"/>
  <c r="E12" i="18"/>
  <c r="D12" i="18"/>
  <c r="C12" i="18"/>
  <c r="DS32" i="17"/>
  <c r="DR32" i="17"/>
  <c r="DQ32" i="17"/>
  <c r="DP32" i="17"/>
  <c r="DO32" i="17"/>
  <c r="DN32" i="17"/>
  <c r="DM32" i="17"/>
  <c r="DL32" i="17"/>
  <c r="DK32" i="17"/>
  <c r="DJ32" i="17"/>
  <c r="DI32" i="17"/>
  <c r="DH32" i="17"/>
  <c r="DG32" i="17"/>
  <c r="DF32" i="17"/>
  <c r="DE32" i="17"/>
  <c r="DD32" i="17"/>
  <c r="DC32" i="17"/>
  <c r="DB32" i="17"/>
  <c r="DA32" i="17"/>
  <c r="CZ32" i="17"/>
  <c r="CY32" i="17"/>
  <c r="CX32" i="17"/>
  <c r="CW32" i="17"/>
  <c r="CV32" i="17"/>
  <c r="CU32" i="17"/>
  <c r="CT32" i="17"/>
  <c r="CS32" i="17"/>
  <c r="CR32" i="17"/>
  <c r="CQ32" i="17"/>
  <c r="CP32" i="17"/>
  <c r="CO32" i="17"/>
  <c r="CN32" i="17"/>
  <c r="CM32" i="17"/>
  <c r="CL32" i="17"/>
  <c r="CK32" i="17"/>
  <c r="CJ32" i="17"/>
  <c r="CI32" i="17"/>
  <c r="CH32" i="17"/>
  <c r="CG32" i="17"/>
  <c r="CF32" i="17"/>
  <c r="CE32" i="17"/>
  <c r="CD32" i="17"/>
  <c r="CC32" i="17"/>
  <c r="CB32" i="17"/>
  <c r="CA32" i="17"/>
  <c r="BZ32" i="17"/>
  <c r="BY32" i="17"/>
  <c r="BX32" i="17"/>
  <c r="BW32" i="17"/>
  <c r="BV32" i="17"/>
  <c r="BU32" i="17"/>
  <c r="BT32" i="17"/>
  <c r="BS32" i="17"/>
  <c r="BR32" i="17"/>
  <c r="BQ32" i="17"/>
  <c r="BP32" i="17"/>
  <c r="BO32" i="17"/>
  <c r="BN32" i="17"/>
  <c r="BM32" i="17"/>
  <c r="BL32" i="17"/>
  <c r="BK32" i="17"/>
  <c r="BJ32" i="17"/>
  <c r="BI32" i="17"/>
  <c r="BH32" i="17"/>
  <c r="BG32" i="17"/>
  <c r="BF32" i="17"/>
  <c r="BE32" i="17"/>
  <c r="BD32" i="17"/>
  <c r="BC32" i="17"/>
  <c r="BB32" i="17"/>
  <c r="BA32" i="17"/>
  <c r="AZ32" i="17"/>
  <c r="AY32" i="17"/>
  <c r="AX32" i="17"/>
  <c r="AW32" i="17"/>
  <c r="AV32" i="17"/>
  <c r="AU32" i="17"/>
  <c r="AT32" i="17"/>
  <c r="AS32" i="17"/>
  <c r="AR32" i="17"/>
  <c r="AQ32" i="17"/>
  <c r="AP32" i="17"/>
  <c r="AO32" i="17"/>
  <c r="AN32" i="17"/>
  <c r="AM32" i="17"/>
  <c r="AL32" i="17"/>
  <c r="AK32" i="17"/>
  <c r="AJ32" i="17"/>
  <c r="AI32" i="17"/>
  <c r="AH32" i="17"/>
  <c r="AG32" i="17"/>
  <c r="AF32" i="17"/>
  <c r="AE32" i="17"/>
  <c r="AD32" i="17"/>
  <c r="AC32" i="17"/>
  <c r="AB32" i="17"/>
  <c r="AA32" i="17"/>
  <c r="Z32" i="17"/>
  <c r="Y32" i="17"/>
  <c r="X32" i="17"/>
  <c r="W32" i="17"/>
  <c r="V32" i="17"/>
  <c r="U32" i="17"/>
  <c r="T32" i="17"/>
  <c r="S32" i="17"/>
  <c r="R32" i="17"/>
  <c r="Q32" i="17"/>
  <c r="P32" i="17"/>
  <c r="O32" i="17"/>
  <c r="N32" i="17"/>
  <c r="M32" i="17"/>
  <c r="I32" i="17"/>
  <c r="H32" i="17"/>
  <c r="G32" i="17"/>
  <c r="F32" i="17"/>
  <c r="E32" i="17"/>
  <c r="D32" i="17"/>
  <c r="DS31" i="17"/>
  <c r="DR31" i="17"/>
  <c r="DQ31" i="17"/>
  <c r="DP31" i="17"/>
  <c r="DO31" i="17"/>
  <c r="DN31" i="17"/>
  <c r="DM31" i="17"/>
  <c r="DL31" i="17"/>
  <c r="DK31" i="17"/>
  <c r="DJ31" i="17"/>
  <c r="DI31" i="17"/>
  <c r="DH31" i="17"/>
  <c r="DG31" i="17"/>
  <c r="DF31" i="17"/>
  <c r="DE31" i="17"/>
  <c r="DD31" i="17"/>
  <c r="DC31" i="17"/>
  <c r="DB31" i="17"/>
  <c r="DA31" i="17"/>
  <c r="CZ31" i="17"/>
  <c r="CY31" i="17"/>
  <c r="CX31" i="17"/>
  <c r="CW31" i="17"/>
  <c r="CV31" i="17"/>
  <c r="CU31" i="17"/>
  <c r="CT31" i="17"/>
  <c r="CS31" i="17"/>
  <c r="CR31" i="17"/>
  <c r="CQ31" i="17"/>
  <c r="CP31" i="17"/>
  <c r="CO31" i="17"/>
  <c r="CN31" i="17"/>
  <c r="CM31" i="17"/>
  <c r="CL31" i="17"/>
  <c r="CK31" i="17"/>
  <c r="CJ31" i="17"/>
  <c r="CI31" i="17"/>
  <c r="CH31" i="17"/>
  <c r="CG31" i="17"/>
  <c r="CF31" i="17"/>
  <c r="CE31" i="17"/>
  <c r="CD31" i="17"/>
  <c r="CC31" i="17"/>
  <c r="CB31" i="17"/>
  <c r="CA31" i="17"/>
  <c r="BZ31" i="17"/>
  <c r="BY31" i="17"/>
  <c r="BX31" i="17"/>
  <c r="BW31" i="17"/>
  <c r="BV31" i="17"/>
  <c r="BU31" i="17"/>
  <c r="BT31" i="17"/>
  <c r="BS31" i="17"/>
  <c r="BR31" i="17"/>
  <c r="BQ31" i="17"/>
  <c r="BP31" i="17"/>
  <c r="BO31" i="17"/>
  <c r="BN31" i="17"/>
  <c r="BM31" i="17"/>
  <c r="BL31" i="17"/>
  <c r="BK31" i="17"/>
  <c r="BJ31" i="17"/>
  <c r="BI31" i="17"/>
  <c r="BH31" i="17"/>
  <c r="BG31" i="17"/>
  <c r="BF31" i="17"/>
  <c r="BE31" i="17"/>
  <c r="BD31" i="17"/>
  <c r="BC31" i="17"/>
  <c r="BB31" i="17"/>
  <c r="BA31" i="17"/>
  <c r="AZ31" i="17"/>
  <c r="AY31" i="17"/>
  <c r="AX31" i="17"/>
  <c r="AW31" i="17"/>
  <c r="AV31" i="17"/>
  <c r="AU31" i="17"/>
  <c r="AT31" i="17"/>
  <c r="AS31" i="17"/>
  <c r="AR31" i="17"/>
  <c r="AQ31" i="17"/>
  <c r="AP31" i="17"/>
  <c r="AO31" i="17"/>
  <c r="AN31" i="17"/>
  <c r="AM31" i="17"/>
  <c r="AL31" i="17"/>
  <c r="AK31" i="17"/>
  <c r="AJ31" i="17"/>
  <c r="AI31" i="17"/>
  <c r="AH31" i="17"/>
  <c r="AG31" i="17"/>
  <c r="AF31" i="17"/>
  <c r="AE31" i="17"/>
  <c r="AD31" i="17"/>
  <c r="AC31" i="17"/>
  <c r="AB31" i="17"/>
  <c r="AA31" i="17"/>
  <c r="Z31" i="17"/>
  <c r="Y31" i="17"/>
  <c r="X31" i="17"/>
  <c r="W31" i="17"/>
  <c r="V31" i="17"/>
  <c r="U31" i="17"/>
  <c r="T31" i="17"/>
  <c r="S31" i="17"/>
  <c r="R31" i="17"/>
  <c r="Q31" i="17"/>
  <c r="P31" i="17"/>
  <c r="O31" i="17"/>
  <c r="N31" i="17"/>
  <c r="M31" i="17"/>
  <c r="L31" i="17"/>
  <c r="K31" i="17"/>
  <c r="I31" i="17"/>
  <c r="H31" i="17"/>
  <c r="G31" i="17"/>
  <c r="F31" i="17"/>
  <c r="E31" i="17"/>
  <c r="D31" i="17"/>
  <c r="DS21" i="17"/>
  <c r="DR21" i="17"/>
  <c r="DQ21" i="17"/>
  <c r="DP21" i="17"/>
  <c r="DO21" i="17"/>
  <c r="DN21" i="17"/>
  <c r="DM21" i="17"/>
  <c r="DL21" i="17"/>
  <c r="DK21" i="17"/>
  <c r="DJ21" i="17"/>
  <c r="DI21" i="17"/>
  <c r="DH21" i="17"/>
  <c r="DG21" i="17"/>
  <c r="DF21" i="17"/>
  <c r="DE21" i="17"/>
  <c r="DD21" i="17"/>
  <c r="DC21" i="17"/>
  <c r="DB21" i="17"/>
  <c r="DA21" i="17"/>
  <c r="CZ21" i="17"/>
  <c r="CY21" i="17"/>
  <c r="CX21" i="17"/>
  <c r="CW21" i="17"/>
  <c r="CV21" i="17"/>
  <c r="CU21" i="17"/>
  <c r="CT21" i="17"/>
  <c r="CS21" i="17"/>
  <c r="CR21" i="17"/>
  <c r="CQ21" i="17"/>
  <c r="CP21" i="17"/>
  <c r="CO21" i="17"/>
  <c r="CN21" i="17"/>
  <c r="CM21" i="17"/>
  <c r="CL21" i="17"/>
  <c r="CK21" i="17"/>
  <c r="CJ21" i="17"/>
  <c r="CI21" i="17"/>
  <c r="CH21" i="17"/>
  <c r="CG21" i="17"/>
  <c r="CF21" i="17"/>
  <c r="CE21" i="17"/>
  <c r="CD21" i="17"/>
  <c r="CC21" i="17"/>
  <c r="CB21" i="17"/>
  <c r="CA21" i="17"/>
  <c r="BZ21" i="17"/>
  <c r="BY21" i="17"/>
  <c r="BX21" i="17"/>
  <c r="BW21" i="17"/>
  <c r="BV21" i="17"/>
  <c r="BU21" i="17"/>
  <c r="BT21" i="17"/>
  <c r="BS21" i="17"/>
  <c r="BR21" i="17"/>
  <c r="BQ21" i="17"/>
  <c r="BP21" i="17"/>
  <c r="BO21" i="17"/>
  <c r="BN21" i="17"/>
  <c r="BM21" i="17"/>
  <c r="BL21" i="17"/>
  <c r="BK21" i="17"/>
  <c r="BJ21" i="17"/>
  <c r="BI21" i="17"/>
  <c r="BH21" i="17"/>
  <c r="BG21" i="17"/>
  <c r="BF21" i="17"/>
  <c r="BE21" i="17"/>
  <c r="BD21" i="17"/>
  <c r="BC21" i="17"/>
  <c r="BB21" i="17"/>
  <c r="BA21" i="17"/>
  <c r="AZ21" i="17"/>
  <c r="AY21" i="17"/>
  <c r="AX21" i="17"/>
  <c r="AW21" i="17"/>
  <c r="AV21" i="17"/>
  <c r="AU21" i="17"/>
  <c r="AT21" i="17"/>
  <c r="AS21" i="17"/>
  <c r="AR21" i="17"/>
  <c r="AQ21" i="17"/>
  <c r="AP21" i="17"/>
  <c r="AO21" i="17"/>
  <c r="AN21" i="17"/>
  <c r="AM21" i="17"/>
  <c r="AL21" i="17"/>
  <c r="AK21" i="17"/>
  <c r="AJ21" i="17"/>
  <c r="AI21" i="17"/>
  <c r="AH21" i="17"/>
  <c r="AG21" i="17"/>
  <c r="AF21" i="17"/>
  <c r="AE21" i="17"/>
  <c r="AD21" i="17"/>
  <c r="AC21" i="17"/>
  <c r="AB21" i="17"/>
  <c r="AA21" i="17"/>
  <c r="Z21" i="17"/>
  <c r="Y21" i="17"/>
  <c r="X21" i="17"/>
  <c r="W21" i="17"/>
  <c r="V21" i="17"/>
  <c r="U21" i="17"/>
  <c r="T21" i="17"/>
  <c r="S21" i="17"/>
  <c r="R21" i="17"/>
  <c r="Q21" i="17"/>
  <c r="P21" i="17"/>
  <c r="O21" i="17"/>
  <c r="N21" i="17"/>
  <c r="M21" i="17"/>
  <c r="L21" i="17"/>
  <c r="K21" i="17"/>
  <c r="J21" i="17"/>
  <c r="H21" i="17"/>
  <c r="G21" i="17"/>
  <c r="F21" i="17"/>
  <c r="E21" i="17"/>
  <c r="D21" i="17"/>
  <c r="DS20" i="17"/>
  <c r="DR20" i="17"/>
  <c r="DQ20" i="17"/>
  <c r="DP20" i="17"/>
  <c r="DO20" i="17"/>
  <c r="DN20" i="17"/>
  <c r="DM20" i="17"/>
  <c r="DL20" i="17"/>
  <c r="DK20" i="17"/>
  <c r="DJ20" i="17"/>
  <c r="DI20" i="17"/>
  <c r="DH20" i="17"/>
  <c r="DG20" i="17"/>
  <c r="DF20" i="17"/>
  <c r="DE20" i="17"/>
  <c r="DD20" i="17"/>
  <c r="DC20" i="17"/>
  <c r="DB20" i="17"/>
  <c r="DA20" i="17"/>
  <c r="CZ20" i="17"/>
  <c r="CY20" i="17"/>
  <c r="CX20" i="17"/>
  <c r="CW20" i="17"/>
  <c r="CV20" i="17"/>
  <c r="CU20" i="17"/>
  <c r="CT20" i="17"/>
  <c r="CS20" i="17"/>
  <c r="CR20" i="17"/>
  <c r="CQ20" i="17"/>
  <c r="CP20" i="17"/>
  <c r="CO20" i="17"/>
  <c r="CN20" i="17"/>
  <c r="CM20" i="17"/>
  <c r="CL20" i="17"/>
  <c r="CK20" i="17"/>
  <c r="CJ20" i="17"/>
  <c r="CI20" i="17"/>
  <c r="CH20" i="17"/>
  <c r="CG20" i="17"/>
  <c r="CF20" i="17"/>
  <c r="CE20" i="17"/>
  <c r="CD20" i="17"/>
  <c r="CC20" i="17"/>
  <c r="CB20" i="17"/>
  <c r="CA20" i="17"/>
  <c r="BZ20" i="17"/>
  <c r="BY20" i="17"/>
  <c r="BX20" i="17"/>
  <c r="BW20" i="17"/>
  <c r="BV20" i="17"/>
  <c r="BU20" i="17"/>
  <c r="BT20" i="17"/>
  <c r="BS20" i="17"/>
  <c r="BR20" i="17"/>
  <c r="BQ20" i="17"/>
  <c r="BP20" i="17"/>
  <c r="BO20" i="17"/>
  <c r="BN20" i="17"/>
  <c r="BM20" i="17"/>
  <c r="BL20" i="17"/>
  <c r="BK20" i="17"/>
  <c r="BJ20" i="17"/>
  <c r="BI20" i="17"/>
  <c r="BH20" i="17"/>
  <c r="BG20" i="17"/>
  <c r="BF20" i="17"/>
  <c r="BE20" i="17"/>
  <c r="BD20" i="17"/>
  <c r="BC20" i="17"/>
  <c r="BB20" i="17"/>
  <c r="BA20" i="17"/>
  <c r="AZ20" i="17"/>
  <c r="AY20" i="17"/>
  <c r="AX20" i="17"/>
  <c r="AW20" i="17"/>
  <c r="AV20" i="17"/>
  <c r="AU20" i="17"/>
  <c r="AT20" i="17"/>
  <c r="AS20" i="17"/>
  <c r="AR20" i="17"/>
  <c r="AQ20" i="17"/>
  <c r="AP20" i="17"/>
  <c r="AO20" i="17"/>
  <c r="AN20" i="17"/>
  <c r="AM20" i="17"/>
  <c r="AL20" i="17"/>
  <c r="AK20" i="17"/>
  <c r="AJ20" i="17"/>
  <c r="AI20" i="17"/>
  <c r="AH20" i="17"/>
  <c r="AG20" i="17"/>
  <c r="AF20" i="17"/>
  <c r="AE20" i="17"/>
  <c r="AD20" i="17"/>
  <c r="AC20" i="17"/>
  <c r="AB20" i="17"/>
  <c r="AA20" i="17"/>
  <c r="Z20" i="17"/>
  <c r="Y20" i="17"/>
  <c r="X20" i="17"/>
  <c r="W20" i="17"/>
  <c r="V20" i="17"/>
  <c r="U20" i="17"/>
  <c r="T20" i="17"/>
  <c r="S20" i="17"/>
  <c r="R20" i="17"/>
  <c r="Q20" i="17"/>
  <c r="P20" i="17"/>
  <c r="O20" i="17"/>
  <c r="N20" i="17"/>
  <c r="M20" i="17"/>
  <c r="L20" i="17"/>
  <c r="K20" i="17"/>
  <c r="J20" i="17"/>
  <c r="F20" i="17"/>
  <c r="E20" i="17"/>
  <c r="D20" i="17"/>
  <c r="D22" i="17" s="1"/>
  <c r="D23" i="17" s="1"/>
  <c r="C144" i="24" s="1"/>
  <c r="DS6" i="17"/>
  <c r="DR6" i="17"/>
  <c r="DQ6" i="17"/>
  <c r="DP6" i="17"/>
  <c r="DP7" i="17" s="1"/>
  <c r="DO6" i="17"/>
  <c r="DN6" i="17"/>
  <c r="DM6" i="17"/>
  <c r="DM7" i="17" s="1"/>
  <c r="DL6" i="17"/>
  <c r="DK6" i="17"/>
  <c r="DK7" i="17" s="1"/>
  <c r="DJ6" i="17"/>
  <c r="DJ7" i="17" s="1"/>
  <c r="DI6" i="17"/>
  <c r="DI7" i="17" s="1"/>
  <c r="DH6" i="17"/>
  <c r="DG6" i="17"/>
  <c r="DF6" i="17"/>
  <c r="DE6" i="17"/>
  <c r="DD6" i="17"/>
  <c r="DC6" i="17"/>
  <c r="DB6" i="17"/>
  <c r="DB7" i="17" s="1"/>
  <c r="DA6" i="17"/>
  <c r="DA7" i="17" s="1"/>
  <c r="CZ6" i="17"/>
  <c r="CZ7" i="17" s="1"/>
  <c r="CY6" i="17"/>
  <c r="CY7" i="17" s="1"/>
  <c r="CX6" i="17"/>
  <c r="CX7" i="17" s="1"/>
  <c r="CW6" i="17"/>
  <c r="CV6" i="17"/>
  <c r="CU6" i="17"/>
  <c r="CT6" i="17"/>
  <c r="CS6" i="17"/>
  <c r="CR6" i="17"/>
  <c r="CQ6" i="17"/>
  <c r="CQ7" i="17" s="1"/>
  <c r="CP6" i="17"/>
  <c r="CP7" i="17" s="1"/>
  <c r="CO6" i="17"/>
  <c r="CO7" i="17" s="1"/>
  <c r="CN6" i="17"/>
  <c r="CN7" i="17" s="1"/>
  <c r="CM6" i="17"/>
  <c r="CM7" i="17" s="1"/>
  <c r="CL6" i="17"/>
  <c r="CK6" i="17"/>
  <c r="CJ6" i="17"/>
  <c r="CI6" i="17"/>
  <c r="CH6" i="17"/>
  <c r="CG6" i="17"/>
  <c r="CG7" i="17" s="1"/>
  <c r="CF6" i="17"/>
  <c r="CF7" i="17" s="1"/>
  <c r="CE6" i="17"/>
  <c r="CE7" i="17" s="1"/>
  <c r="CD6" i="17"/>
  <c r="CD7" i="17" s="1"/>
  <c r="CC6" i="17"/>
  <c r="CC7" i="17" s="1"/>
  <c r="CB6" i="17"/>
  <c r="CA6" i="17"/>
  <c r="BZ6" i="17"/>
  <c r="BY6" i="17"/>
  <c r="BX6" i="17"/>
  <c r="BW6" i="17"/>
  <c r="BW7" i="17" s="1"/>
  <c r="BV6" i="17"/>
  <c r="BV7" i="17" s="1"/>
  <c r="BU6" i="17"/>
  <c r="BU7" i="17" s="1"/>
  <c r="BT6" i="17"/>
  <c r="BT7" i="17" s="1"/>
  <c r="BS6" i="17"/>
  <c r="BS7" i="17" s="1"/>
  <c r="BR6" i="17"/>
  <c r="BQ6" i="17"/>
  <c r="BP6" i="17"/>
  <c r="BP7" i="17" s="1"/>
  <c r="BO6" i="17"/>
  <c r="BN6" i="17"/>
  <c r="BM6" i="17"/>
  <c r="BM7" i="17" s="1"/>
  <c r="BL6" i="17"/>
  <c r="BL7" i="17" s="1"/>
  <c r="BK6" i="17"/>
  <c r="BK7" i="17" s="1"/>
  <c r="BJ6" i="17"/>
  <c r="BJ7" i="17" s="1"/>
  <c r="BI6" i="17"/>
  <c r="BI7" i="17" s="1"/>
  <c r="BH6" i="17"/>
  <c r="BH7" i="17" s="1"/>
  <c r="BG6" i="17"/>
  <c r="BF6" i="17"/>
  <c r="BF7" i="17" s="1"/>
  <c r="BE6" i="17"/>
  <c r="BE7" i="17" s="1"/>
  <c r="BD6" i="17"/>
  <c r="BC6" i="17"/>
  <c r="BC7" i="17" s="1"/>
  <c r="BB6" i="17"/>
  <c r="BB7" i="17" s="1"/>
  <c r="BA6" i="17"/>
  <c r="BA7" i="17" s="1"/>
  <c r="AZ6" i="17"/>
  <c r="AZ7" i="17" s="1"/>
  <c r="AY6" i="17"/>
  <c r="AY7" i="17" s="1"/>
  <c r="AX6" i="17"/>
  <c r="AX7" i="17" s="1"/>
  <c r="AW6" i="17"/>
  <c r="AV6" i="17"/>
  <c r="AU6" i="17"/>
  <c r="AT6" i="17"/>
  <c r="AS6" i="17"/>
  <c r="AR6" i="17"/>
  <c r="AQ6" i="17"/>
  <c r="AP6" i="17"/>
  <c r="AO6" i="17"/>
  <c r="AN6" i="17"/>
  <c r="AN7" i="17" s="1"/>
  <c r="AM6" i="17"/>
  <c r="AL6" i="17"/>
  <c r="AK6" i="17"/>
  <c r="AJ6" i="17"/>
  <c r="AI6" i="17"/>
  <c r="AI7" i="17" s="1"/>
  <c r="AH6" i="17"/>
  <c r="AG6" i="17"/>
  <c r="AF6" i="17"/>
  <c r="AE6" i="17"/>
  <c r="AD6" i="17"/>
  <c r="AD7" i="17" s="1"/>
  <c r="AC6" i="17"/>
  <c r="AB6" i="17"/>
  <c r="AB7" i="17" s="1"/>
  <c r="AA6" i="17"/>
  <c r="Z6" i="17"/>
  <c r="Y6" i="17"/>
  <c r="Y7" i="17" s="1"/>
  <c r="X6" i="17"/>
  <c r="X7" i="17" s="1"/>
  <c r="W6" i="17"/>
  <c r="V6" i="17"/>
  <c r="U6" i="17"/>
  <c r="T6" i="17"/>
  <c r="T7" i="17" s="1"/>
  <c r="S6" i="17"/>
  <c r="R6" i="17"/>
  <c r="Q6" i="17"/>
  <c r="Q7" i="17" s="1"/>
  <c r="P6" i="17"/>
  <c r="O6" i="17"/>
  <c r="O7" i="17" s="1"/>
  <c r="N6" i="17"/>
  <c r="N7" i="17" s="1"/>
  <c r="M6" i="17"/>
  <c r="M7" i="17" s="1"/>
  <c r="L6" i="17"/>
  <c r="K6" i="17"/>
  <c r="J6" i="17"/>
  <c r="I6" i="17"/>
  <c r="H6" i="17"/>
  <c r="G6" i="17"/>
  <c r="F6" i="17"/>
  <c r="F7" i="17" s="1"/>
  <c r="E6" i="17"/>
  <c r="E7" i="17" s="1"/>
  <c r="D6" i="17"/>
  <c r="D7" i="17" s="1"/>
  <c r="DS27" i="16"/>
  <c r="DR27" i="16"/>
  <c r="DQ27" i="16"/>
  <c r="DP27" i="16"/>
  <c r="DO27" i="16"/>
  <c r="DN27" i="16"/>
  <c r="DM27" i="16"/>
  <c r="DL27" i="16"/>
  <c r="DK27" i="16"/>
  <c r="DJ27" i="16"/>
  <c r="DI27" i="16"/>
  <c r="DH27" i="16"/>
  <c r="DG27" i="16"/>
  <c r="DF27" i="16"/>
  <c r="DE27" i="16"/>
  <c r="DD27" i="16"/>
  <c r="DC27" i="16"/>
  <c r="DB27" i="16"/>
  <c r="DA27" i="16"/>
  <c r="CZ27" i="16"/>
  <c r="CY27" i="16"/>
  <c r="CX27" i="16"/>
  <c r="CW27" i="16"/>
  <c r="CV27" i="16"/>
  <c r="CU27" i="16"/>
  <c r="CT27" i="16"/>
  <c r="CS27" i="16"/>
  <c r="CR27" i="16"/>
  <c r="CQ27" i="16"/>
  <c r="CP27" i="16"/>
  <c r="CO27" i="16"/>
  <c r="CN27" i="16"/>
  <c r="CM27" i="16"/>
  <c r="CL27" i="16"/>
  <c r="CK27" i="16"/>
  <c r="CJ27" i="16"/>
  <c r="CI27" i="16"/>
  <c r="CH27" i="16"/>
  <c r="CG27" i="16"/>
  <c r="CF27" i="16"/>
  <c r="CE27" i="16"/>
  <c r="CD27" i="16"/>
  <c r="CC27" i="16"/>
  <c r="CB27" i="16"/>
  <c r="CA27" i="16"/>
  <c r="BZ27" i="16"/>
  <c r="BY27" i="16"/>
  <c r="BX27" i="16"/>
  <c r="BW27" i="16"/>
  <c r="BV27" i="16"/>
  <c r="BU27" i="16"/>
  <c r="BT27" i="16"/>
  <c r="BS27" i="16"/>
  <c r="BR27" i="16"/>
  <c r="BQ27" i="16"/>
  <c r="BP27" i="16"/>
  <c r="BO27" i="16"/>
  <c r="BN27" i="16"/>
  <c r="BM27" i="16"/>
  <c r="BL27" i="16"/>
  <c r="BK27" i="16"/>
  <c r="BJ27" i="16"/>
  <c r="BI27" i="16"/>
  <c r="BH27" i="16"/>
  <c r="BG27" i="16"/>
  <c r="BF27" i="16"/>
  <c r="BE27" i="16"/>
  <c r="BD27" i="16"/>
  <c r="BC27" i="16"/>
  <c r="BB27" i="16"/>
  <c r="BA27" i="16"/>
  <c r="AZ27" i="16"/>
  <c r="AY27" i="16"/>
  <c r="AX27" i="16"/>
  <c r="AW27" i="16"/>
  <c r="AV27" i="16"/>
  <c r="AU27" i="16"/>
  <c r="AT27" i="16"/>
  <c r="AS27" i="16"/>
  <c r="AR27" i="16"/>
  <c r="AQ27" i="16"/>
  <c r="AP27" i="16"/>
  <c r="AO27" i="16"/>
  <c r="AN27" i="16"/>
  <c r="AM27" i="16"/>
  <c r="AL27" i="16"/>
  <c r="AK27" i="16"/>
  <c r="AJ27" i="16"/>
  <c r="AI27" i="16"/>
  <c r="AH27" i="16"/>
  <c r="AG27" i="16"/>
  <c r="AF27" i="16"/>
  <c r="AE27" i="16"/>
  <c r="AD27" i="16"/>
  <c r="AC27" i="16"/>
  <c r="AB27" i="16"/>
  <c r="AA27" i="16"/>
  <c r="Z27" i="16"/>
  <c r="Y27" i="16"/>
  <c r="X27" i="16"/>
  <c r="W27" i="16"/>
  <c r="V27" i="16"/>
  <c r="U27" i="16"/>
  <c r="T27" i="16"/>
  <c r="S27" i="16"/>
  <c r="R27" i="16"/>
  <c r="Q27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S25" i="16"/>
  <c r="DR25" i="16"/>
  <c r="DQ25" i="16"/>
  <c r="DP25" i="16"/>
  <c r="DO25" i="16"/>
  <c r="DN25" i="16"/>
  <c r="DM25" i="16"/>
  <c r="DL25" i="16"/>
  <c r="DK25" i="16"/>
  <c r="DJ25" i="16"/>
  <c r="DI25" i="16"/>
  <c r="DH25" i="16"/>
  <c r="DG25" i="16"/>
  <c r="DF25" i="16"/>
  <c r="DE25" i="16"/>
  <c r="DD25" i="16"/>
  <c r="DC25" i="16"/>
  <c r="DB25" i="16"/>
  <c r="DA25" i="16"/>
  <c r="CZ25" i="16"/>
  <c r="CY25" i="16"/>
  <c r="CX25" i="16"/>
  <c r="CW25" i="16"/>
  <c r="CV25" i="16"/>
  <c r="CU25" i="16"/>
  <c r="CT25" i="16"/>
  <c r="CS25" i="16"/>
  <c r="CR25" i="16"/>
  <c r="CQ25" i="16"/>
  <c r="CP25" i="16"/>
  <c r="CO25" i="16"/>
  <c r="CN25" i="16"/>
  <c r="CM25" i="16"/>
  <c r="CL25" i="16"/>
  <c r="CK25" i="16"/>
  <c r="CJ25" i="16"/>
  <c r="CI25" i="16"/>
  <c r="CH25" i="16"/>
  <c r="CG25" i="16"/>
  <c r="CF25" i="16"/>
  <c r="CE25" i="16"/>
  <c r="CD25" i="16"/>
  <c r="CC25" i="16"/>
  <c r="CB25" i="16"/>
  <c r="CA25" i="16"/>
  <c r="BZ25" i="16"/>
  <c r="BY25" i="16"/>
  <c r="BX25" i="16"/>
  <c r="BW25" i="16"/>
  <c r="BV25" i="16"/>
  <c r="BU25" i="16"/>
  <c r="BT25" i="16"/>
  <c r="BS25" i="16"/>
  <c r="BR25" i="16"/>
  <c r="BQ25" i="16"/>
  <c r="BP25" i="16"/>
  <c r="BO25" i="16"/>
  <c r="BN25" i="16"/>
  <c r="BM25" i="16"/>
  <c r="BL25" i="16"/>
  <c r="BK25" i="16"/>
  <c r="BJ25" i="16"/>
  <c r="BI25" i="16"/>
  <c r="BH25" i="16"/>
  <c r="BG25" i="16"/>
  <c r="BF25" i="16"/>
  <c r="BE25" i="16"/>
  <c r="BD25" i="16"/>
  <c r="BC25" i="16"/>
  <c r="BB25" i="16"/>
  <c r="BA25" i="16"/>
  <c r="AZ25" i="16"/>
  <c r="AY25" i="16"/>
  <c r="AX25" i="16"/>
  <c r="AW25" i="16"/>
  <c r="AV25" i="16"/>
  <c r="AU25" i="16"/>
  <c r="AT25" i="16"/>
  <c r="AS25" i="16"/>
  <c r="AR25" i="16"/>
  <c r="AQ25" i="16"/>
  <c r="AP25" i="16"/>
  <c r="AO25" i="16"/>
  <c r="AN25" i="16"/>
  <c r="AM25" i="16"/>
  <c r="AL25" i="16"/>
  <c r="AK25" i="16"/>
  <c r="AJ25" i="16"/>
  <c r="AI25" i="16"/>
  <c r="AH25" i="16"/>
  <c r="AG25" i="16"/>
  <c r="AF25" i="16"/>
  <c r="AE25" i="16"/>
  <c r="AD25" i="16"/>
  <c r="AC25" i="16"/>
  <c r="AB25" i="16"/>
  <c r="AA25" i="16"/>
  <c r="Z25" i="16"/>
  <c r="Y25" i="16"/>
  <c r="X25" i="16"/>
  <c r="W25" i="16"/>
  <c r="V25" i="16"/>
  <c r="U25" i="16"/>
  <c r="T25" i="16"/>
  <c r="S25" i="16"/>
  <c r="R25" i="16"/>
  <c r="Q25" i="16"/>
  <c r="P25" i="16"/>
  <c r="O25" i="16"/>
  <c r="N25" i="16"/>
  <c r="M25" i="16"/>
  <c r="L25" i="16"/>
  <c r="K25" i="16"/>
  <c r="J25" i="16"/>
  <c r="I25" i="16"/>
  <c r="H25" i="16"/>
  <c r="G25" i="16"/>
  <c r="C10" i="16"/>
  <c r="D9" i="16"/>
  <c r="D12" i="16" s="1"/>
  <c r="D8" i="16"/>
  <c r="E8" i="16" s="1"/>
  <c r="C31" i="15"/>
  <c r="C30" i="15"/>
  <c r="C29" i="15"/>
  <c r="D26" i="15"/>
  <c r="D25" i="15"/>
  <c r="D24" i="15"/>
  <c r="D23" i="15"/>
  <c r="D22" i="15"/>
  <c r="C17" i="15"/>
  <c r="C16" i="15"/>
  <c r="H52" i="14"/>
  <c r="E167" i="31" s="1"/>
  <c r="H51" i="14"/>
  <c r="H50" i="14"/>
  <c r="E166" i="31" s="1"/>
  <c r="C15" i="14"/>
  <c r="H40" i="13"/>
  <c r="H39" i="13"/>
  <c r="F33" i="13"/>
  <c r="H33" i="13" s="1"/>
  <c r="F32" i="13"/>
  <c r="H32" i="13" s="1"/>
  <c r="F28" i="13"/>
  <c r="H28" i="13" s="1"/>
  <c r="F23" i="13"/>
  <c r="H23" i="13" s="1"/>
  <c r="F22" i="13"/>
  <c r="H22" i="13" s="1"/>
  <c r="F21" i="13"/>
  <c r="H21" i="13" s="1"/>
  <c r="F19" i="13"/>
  <c r="H19" i="13" s="1"/>
  <c r="F18" i="13"/>
  <c r="H18" i="13" s="1"/>
  <c r="F17" i="13"/>
  <c r="H17" i="13" s="1"/>
  <c r="F16" i="13"/>
  <c r="H16" i="13" s="1"/>
  <c r="F15" i="13"/>
  <c r="H15" i="13" s="1"/>
  <c r="F14" i="13"/>
  <c r="H14" i="13" s="1"/>
  <c r="C10" i="13"/>
  <c r="H39" i="12"/>
  <c r="H38" i="12"/>
  <c r="F32" i="12"/>
  <c r="H32" i="12" s="1"/>
  <c r="F28" i="12"/>
  <c r="H28" i="12" s="1"/>
  <c r="F23" i="12"/>
  <c r="H23" i="12" s="1"/>
  <c r="F22" i="12"/>
  <c r="H22" i="12" s="1"/>
  <c r="F21" i="12"/>
  <c r="H21" i="12" s="1"/>
  <c r="F19" i="12"/>
  <c r="H19" i="12" s="1"/>
  <c r="F18" i="12"/>
  <c r="H18" i="12" s="1"/>
  <c r="F17" i="12"/>
  <c r="H17" i="12" s="1"/>
  <c r="F16" i="12"/>
  <c r="H16" i="12" s="1"/>
  <c r="F15" i="12"/>
  <c r="H15" i="12" s="1"/>
  <c r="F14" i="12"/>
  <c r="H14" i="12" s="1"/>
  <c r="C10" i="12"/>
  <c r="F24" i="11"/>
  <c r="H24" i="11" s="1"/>
  <c r="F23" i="11"/>
  <c r="H23" i="11" s="1"/>
  <c r="F16" i="11"/>
  <c r="H16" i="11" s="1"/>
  <c r="C9" i="11"/>
  <c r="C8" i="11"/>
  <c r="C18" i="10"/>
  <c r="F9" i="10"/>
  <c r="F40" i="14" s="1"/>
  <c r="H40" i="14" s="1"/>
  <c r="E9" i="10"/>
  <c r="F20" i="13" s="1"/>
  <c r="H20" i="13" s="1"/>
  <c r="D9" i="10"/>
  <c r="F20" i="12" s="1"/>
  <c r="H20" i="12" s="1"/>
  <c r="DS34" i="9"/>
  <c r="DR34" i="9"/>
  <c r="DQ34" i="9"/>
  <c r="DP34" i="9"/>
  <c r="DO34" i="9"/>
  <c r="DN34" i="9"/>
  <c r="DM34" i="9"/>
  <c r="DL34" i="9"/>
  <c r="DK34" i="9"/>
  <c r="DJ34" i="9"/>
  <c r="DI34" i="9"/>
  <c r="DH34" i="9"/>
  <c r="DG34" i="9"/>
  <c r="DF34" i="9"/>
  <c r="DE34" i="9"/>
  <c r="DD34" i="9"/>
  <c r="DC34" i="9"/>
  <c r="DB34" i="9"/>
  <c r="DA34" i="9"/>
  <c r="CZ34" i="9"/>
  <c r="CY34" i="9"/>
  <c r="CX34" i="9"/>
  <c r="CW34" i="9"/>
  <c r="CV34" i="9"/>
  <c r="CU34" i="9"/>
  <c r="CT34" i="9"/>
  <c r="CS34" i="9"/>
  <c r="CR34" i="9"/>
  <c r="CQ34" i="9"/>
  <c r="CP34" i="9"/>
  <c r="CO34" i="9"/>
  <c r="CN34" i="9"/>
  <c r="CM34" i="9"/>
  <c r="CL34" i="9"/>
  <c r="CK34" i="9"/>
  <c r="CJ34" i="9"/>
  <c r="CI34" i="9"/>
  <c r="CH34" i="9"/>
  <c r="CG34" i="9"/>
  <c r="CF34" i="9"/>
  <c r="CE34" i="9"/>
  <c r="CD34" i="9"/>
  <c r="CC34" i="9"/>
  <c r="CB34" i="9"/>
  <c r="CA34" i="9"/>
  <c r="BZ34" i="9"/>
  <c r="BY34" i="9"/>
  <c r="BX34" i="9"/>
  <c r="BW34" i="9"/>
  <c r="BV34" i="9"/>
  <c r="BU34" i="9"/>
  <c r="BT34" i="9"/>
  <c r="BS34" i="9"/>
  <c r="BR34" i="9"/>
  <c r="BQ34" i="9"/>
  <c r="BP34" i="9"/>
  <c r="BO34" i="9"/>
  <c r="BN34" i="9"/>
  <c r="BM34" i="9"/>
  <c r="BL34" i="9"/>
  <c r="BK34" i="9"/>
  <c r="BJ34" i="9"/>
  <c r="BI34" i="9"/>
  <c r="BH34" i="9"/>
  <c r="BG34" i="9"/>
  <c r="BF34" i="9"/>
  <c r="BE34" i="9"/>
  <c r="BD34" i="9"/>
  <c r="BC34" i="9"/>
  <c r="BB34" i="9"/>
  <c r="BA34" i="9"/>
  <c r="AZ34" i="9"/>
  <c r="AY34" i="9"/>
  <c r="AX34" i="9"/>
  <c r="AW34" i="9"/>
  <c r="AV34" i="9"/>
  <c r="AU34" i="9"/>
  <c r="AT34" i="9"/>
  <c r="AS34" i="9"/>
  <c r="AR34" i="9"/>
  <c r="AQ34" i="9"/>
  <c r="AP34" i="9"/>
  <c r="AO34" i="9"/>
  <c r="AN34" i="9"/>
  <c r="AM34" i="9"/>
  <c r="AL34" i="9"/>
  <c r="AK34" i="9"/>
  <c r="AJ34" i="9"/>
  <c r="AI34" i="9"/>
  <c r="AH34" i="9"/>
  <c r="AG34" i="9"/>
  <c r="AF34" i="9"/>
  <c r="AE34" i="9"/>
  <c r="AD34" i="9"/>
  <c r="AC34" i="9"/>
  <c r="AB34" i="9"/>
  <c r="AA34" i="9"/>
  <c r="Z34" i="9"/>
  <c r="Y34" i="9"/>
  <c r="X34" i="9"/>
  <c r="W34" i="9"/>
  <c r="V34" i="9"/>
  <c r="U34" i="9"/>
  <c r="T34" i="9"/>
  <c r="S34" i="9"/>
  <c r="R34" i="9"/>
  <c r="Q34" i="9"/>
  <c r="P34" i="9"/>
  <c r="O34" i="9"/>
  <c r="N34" i="9"/>
  <c r="M34" i="9"/>
  <c r="L34" i="9"/>
  <c r="K34" i="9"/>
  <c r="J34" i="9"/>
  <c r="I34" i="9"/>
  <c r="H34" i="9"/>
  <c r="G34" i="9"/>
  <c r="F34" i="9"/>
  <c r="E34" i="9"/>
  <c r="D34" i="9"/>
  <c r="C19" i="9"/>
  <c r="C18" i="9"/>
  <c r="C11" i="9"/>
  <c r="C10" i="9"/>
  <c r="C30" i="8"/>
  <c r="F21" i="8"/>
  <c r="E21" i="8"/>
  <c r="D21" i="8"/>
  <c r="F18" i="8"/>
  <c r="F20" i="8" s="1"/>
  <c r="E18" i="8"/>
  <c r="E20" i="8" s="1"/>
  <c r="D18" i="8"/>
  <c r="D20" i="8" s="1"/>
  <c r="F13" i="8"/>
  <c r="F15" i="8" s="1"/>
  <c r="E13" i="8"/>
  <c r="E15" i="8" s="1"/>
  <c r="D13" i="8"/>
  <c r="D15" i="8" s="1"/>
  <c r="C45" i="7"/>
  <c r="C40" i="7"/>
  <c r="C20" i="7"/>
  <c r="E22" i="7" s="1"/>
  <c r="E23" i="7" s="1"/>
  <c r="E11" i="7"/>
  <c r="C11" i="7"/>
  <c r="E15" i="7" s="1"/>
  <c r="C10" i="7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66" i="4"/>
  <c r="F66" i="4" s="1"/>
  <c r="E65" i="4"/>
  <c r="G65" i="4" s="1"/>
  <c r="E35" i="4"/>
  <c r="E31" i="4"/>
  <c r="C34" i="3"/>
  <c r="C32" i="3"/>
  <c r="C7" i="3"/>
  <c r="C6" i="31" s="1"/>
  <c r="C23" i="10" l="1"/>
  <c r="C25" i="9" s="1"/>
  <c r="G172" i="31"/>
  <c r="C167" i="31"/>
  <c r="G167" i="31" s="1"/>
  <c r="C166" i="31"/>
  <c r="G166" i="31" s="1"/>
  <c r="D14" i="26"/>
  <c r="F18" i="11"/>
  <c r="H18" i="11" s="1"/>
  <c r="D64" i="15"/>
  <c r="D63" i="15"/>
  <c r="D62" i="15"/>
  <c r="D61" i="15"/>
  <c r="D60" i="15"/>
  <c r="E26" i="30"/>
  <c r="E27" i="30"/>
  <c r="E82" i="30" s="1"/>
  <c r="F82" i="30" s="1"/>
  <c r="O67" i="19"/>
  <c r="Y67" i="19"/>
  <c r="Q67" i="19"/>
  <c r="AA67" i="19"/>
  <c r="AK67" i="19"/>
  <c r="E19" i="17"/>
  <c r="BP19" i="17"/>
  <c r="BQ19" i="17"/>
  <c r="AJ19" i="17"/>
  <c r="BX19" i="17"/>
  <c r="F67" i="19"/>
  <c r="AU67" i="19"/>
  <c r="BE67" i="19"/>
  <c r="BO67" i="19"/>
  <c r="BY67" i="19"/>
  <c r="CI67" i="19"/>
  <c r="CS67" i="19"/>
  <c r="DC67" i="19"/>
  <c r="DM67" i="19"/>
  <c r="CT19" i="17"/>
  <c r="E22" i="30"/>
  <c r="E80" i="30"/>
  <c r="F80" i="30" s="1"/>
  <c r="E96" i="30"/>
  <c r="F96" i="30" s="1"/>
  <c r="E122" i="30"/>
  <c r="F122" i="30" s="1"/>
  <c r="E137" i="30"/>
  <c r="F137" i="30" s="1"/>
  <c r="DB19" i="17"/>
  <c r="E94" i="30"/>
  <c r="F94" i="30" s="1"/>
  <c r="E21" i="30"/>
  <c r="V19" i="17"/>
  <c r="AF19" i="17"/>
  <c r="AP19" i="17"/>
  <c r="AZ19" i="17"/>
  <c r="BJ19" i="17"/>
  <c r="BT19" i="17"/>
  <c r="CD19" i="17"/>
  <c r="CN19" i="17"/>
  <c r="CX19" i="17"/>
  <c r="DH19" i="17"/>
  <c r="DR19" i="17"/>
  <c r="E135" i="30"/>
  <c r="F135" i="30" s="1"/>
  <c r="AD19" i="17"/>
  <c r="BH19" i="17"/>
  <c r="E108" i="30"/>
  <c r="F108" i="30" s="1"/>
  <c r="F286" i="30"/>
  <c r="F290" i="30" s="1"/>
  <c r="F291" i="30" s="1"/>
  <c r="F292" i="30" s="1"/>
  <c r="E123" i="30"/>
  <c r="F123" i="30" s="1"/>
  <c r="F70" i="30"/>
  <c r="G67" i="19"/>
  <c r="BD19" i="17"/>
  <c r="CH19" i="17"/>
  <c r="H67" i="19"/>
  <c r="R67" i="19"/>
  <c r="AB67" i="19"/>
  <c r="AL67" i="19"/>
  <c r="Q19" i="17"/>
  <c r="BY19" i="17"/>
  <c r="CI19" i="17"/>
  <c r="S67" i="19"/>
  <c r="AC67" i="19"/>
  <c r="AM67" i="19"/>
  <c r="AW67" i="19"/>
  <c r="BG67" i="19"/>
  <c r="BQ67" i="19"/>
  <c r="CA67" i="19"/>
  <c r="CK67" i="19"/>
  <c r="I19" i="17"/>
  <c r="M67" i="19"/>
  <c r="W67" i="19"/>
  <c r="AG67" i="19"/>
  <c r="AQ67" i="19"/>
  <c r="BA67" i="19"/>
  <c r="BK67" i="19"/>
  <c r="BU67" i="19"/>
  <c r="CE67" i="19"/>
  <c r="CO67" i="19"/>
  <c r="CY67" i="19"/>
  <c r="Y19" i="17"/>
  <c r="DK19" i="17"/>
  <c r="E161" i="30"/>
  <c r="F161" i="30" s="1"/>
  <c r="E109" i="30"/>
  <c r="F109" i="30" s="1"/>
  <c r="F267" i="30"/>
  <c r="E71" i="30"/>
  <c r="F71" i="30" s="1"/>
  <c r="E81" i="30"/>
  <c r="F81" i="30" s="1"/>
  <c r="E227" i="30"/>
  <c r="F227" i="30" s="1"/>
  <c r="E23" i="30"/>
  <c r="D24" i="30"/>
  <c r="E24" i="30" s="1"/>
  <c r="E136" i="30"/>
  <c r="F136" i="30" s="1"/>
  <c r="E113" i="30"/>
  <c r="F113" i="30" s="1"/>
  <c r="E254" i="30"/>
  <c r="F254" i="30" s="1"/>
  <c r="AV67" i="19"/>
  <c r="BF67" i="19"/>
  <c r="BP67" i="19"/>
  <c r="BZ67" i="19"/>
  <c r="CJ67" i="19"/>
  <c r="CT67" i="19"/>
  <c r="DD67" i="19"/>
  <c r="DN67" i="19"/>
  <c r="E140" i="30"/>
  <c r="F140" i="30" s="1"/>
  <c r="E296" i="30"/>
  <c r="F296" i="30" s="1"/>
  <c r="F298" i="30" s="1"/>
  <c r="CU67" i="19"/>
  <c r="DE67" i="19"/>
  <c r="DO67" i="19"/>
  <c r="O19" i="17"/>
  <c r="AI19" i="17"/>
  <c r="AS19" i="17"/>
  <c r="BC19" i="17"/>
  <c r="BM19" i="17"/>
  <c r="BW19" i="17"/>
  <c r="CG19" i="17"/>
  <c r="CQ19" i="17"/>
  <c r="DA19" i="17"/>
  <c r="E242" i="30"/>
  <c r="F242" i="30" s="1"/>
  <c r="K67" i="19"/>
  <c r="U67" i="19"/>
  <c r="AE67" i="19"/>
  <c r="AO67" i="19"/>
  <c r="AY67" i="19"/>
  <c r="BI67" i="19"/>
  <c r="BS67" i="19"/>
  <c r="CC67" i="19"/>
  <c r="CM67" i="19"/>
  <c r="CW67" i="19"/>
  <c r="DG67" i="19"/>
  <c r="E256" i="30"/>
  <c r="F256" i="30" s="1"/>
  <c r="E124" i="30"/>
  <c r="F124" i="30" s="1"/>
  <c r="E110" i="30"/>
  <c r="F110" i="30" s="1"/>
  <c r="E95" i="30"/>
  <c r="F95" i="30" s="1"/>
  <c r="E189" i="30"/>
  <c r="F189" i="30" s="1"/>
  <c r="E175" i="30"/>
  <c r="F175" i="30" s="1"/>
  <c r="E160" i="30"/>
  <c r="F160" i="30" s="1"/>
  <c r="E279" i="30"/>
  <c r="F279" i="30" s="1"/>
  <c r="F280" i="30" s="1"/>
  <c r="E226" i="30"/>
  <c r="F226" i="30" s="1"/>
  <c r="E59" i="19"/>
  <c r="E240" i="30"/>
  <c r="F240" i="30" s="1"/>
  <c r="F59" i="19"/>
  <c r="E188" i="30"/>
  <c r="F188" i="30" s="1"/>
  <c r="P19" i="17"/>
  <c r="DL19" i="17"/>
  <c r="D13" i="29"/>
  <c r="AB19" i="17"/>
  <c r="AV19" i="17"/>
  <c r="F19" i="17"/>
  <c r="T19" i="17"/>
  <c r="AN19" i="17"/>
  <c r="BR19" i="17"/>
  <c r="CL19" i="17"/>
  <c r="CV19" i="17"/>
  <c r="DF19" i="17"/>
  <c r="D59" i="19"/>
  <c r="D23" i="8"/>
  <c r="BF19" i="17"/>
  <c r="V7" i="22"/>
  <c r="V9" i="26" s="1"/>
  <c r="BQ7" i="22"/>
  <c r="BQ9" i="26" s="1"/>
  <c r="AR19" i="17"/>
  <c r="D19" i="17"/>
  <c r="AA19" i="17"/>
  <c r="AK19" i="17"/>
  <c r="AU19" i="17"/>
  <c r="BE19" i="17"/>
  <c r="BO19" i="17"/>
  <c r="CS19" i="17"/>
  <c r="DC19" i="17"/>
  <c r="DM19" i="17"/>
  <c r="CE7" i="22"/>
  <c r="CE9" i="26" s="1"/>
  <c r="CY7" i="22"/>
  <c r="CY9" i="26" s="1"/>
  <c r="DI67" i="19"/>
  <c r="DS67" i="19"/>
  <c r="E67" i="19"/>
  <c r="G19" i="17"/>
  <c r="R19" i="17"/>
  <c r="AL19" i="17"/>
  <c r="BZ19" i="17"/>
  <c r="CJ19" i="17"/>
  <c r="DD19" i="17"/>
  <c r="DN19" i="17"/>
  <c r="P67" i="19"/>
  <c r="Z67" i="19"/>
  <c r="AJ67" i="19"/>
  <c r="AT67" i="19"/>
  <c r="BD67" i="19"/>
  <c r="BN67" i="19"/>
  <c r="BX67" i="19"/>
  <c r="CH67" i="19"/>
  <c r="CR67" i="19"/>
  <c r="DB67" i="19"/>
  <c r="DL67" i="19"/>
  <c r="D11" i="16"/>
  <c r="AX19" i="17"/>
  <c r="CB19" i="17"/>
  <c r="DP19" i="17"/>
  <c r="F17" i="11"/>
  <c r="H17" i="11" s="1"/>
  <c r="H19" i="17"/>
  <c r="S19" i="17"/>
  <c r="AC19" i="17"/>
  <c r="AM19" i="17"/>
  <c r="AW19" i="17"/>
  <c r="BG19" i="17"/>
  <c r="CA19" i="17"/>
  <c r="CK19" i="17"/>
  <c r="CU19" i="17"/>
  <c r="DE19" i="17"/>
  <c r="DO19" i="17"/>
  <c r="AV7" i="22"/>
  <c r="AV9" i="26" s="1"/>
  <c r="BB11" i="22"/>
  <c r="U19" i="17"/>
  <c r="AE19" i="17"/>
  <c r="AO19" i="17"/>
  <c r="AY19" i="17"/>
  <c r="BI19" i="17"/>
  <c r="BS19" i="17"/>
  <c r="CC19" i="17"/>
  <c r="CM19" i="17"/>
  <c r="CW19" i="17"/>
  <c r="DG19" i="17"/>
  <c r="DQ19" i="17"/>
  <c r="CO11" i="22"/>
  <c r="C22" i="7"/>
  <c r="C23" i="7" s="1"/>
  <c r="C31" i="7" s="1"/>
  <c r="B92" i="20"/>
  <c r="CK7" i="22"/>
  <c r="CK8" i="22" s="1"/>
  <c r="CT11" i="22"/>
  <c r="Z19" i="17"/>
  <c r="AT19" i="17"/>
  <c r="BN19" i="17"/>
  <c r="CR19" i="17"/>
  <c r="N7" i="22"/>
  <c r="N9" i="26" s="1"/>
  <c r="DD11" i="22"/>
  <c r="W7" i="22"/>
  <c r="W8" i="22" s="1"/>
  <c r="G8" i="22"/>
  <c r="F73" i="24" s="1"/>
  <c r="AA7" i="22"/>
  <c r="AA9" i="26" s="1"/>
  <c r="F15" i="11"/>
  <c r="H15" i="11" s="1"/>
  <c r="AG7" i="22"/>
  <c r="AG9" i="26" s="1"/>
  <c r="AK11" i="22"/>
  <c r="AU7" i="22"/>
  <c r="AU9" i="26" s="1"/>
  <c r="J9" i="26"/>
  <c r="J8" i="22"/>
  <c r="I73" i="24" s="1"/>
  <c r="AW9" i="26"/>
  <c r="AW8" i="22"/>
  <c r="AW9" i="22" s="1"/>
  <c r="E12" i="7"/>
  <c r="F19" i="11"/>
  <c r="H19" i="11" s="1"/>
  <c r="C18" i="15"/>
  <c r="D35" i="19"/>
  <c r="D30" i="9" s="1"/>
  <c r="D31" i="9" s="1"/>
  <c r="D32" i="9" s="1"/>
  <c r="L7" i="22"/>
  <c r="L9" i="26" s="1"/>
  <c r="BG7" i="22"/>
  <c r="BG9" i="26" s="1"/>
  <c r="BZ7" i="22"/>
  <c r="BZ9" i="26" s="1"/>
  <c r="DE7" i="22"/>
  <c r="I11" i="22"/>
  <c r="CA11" i="22"/>
  <c r="C15" i="7"/>
  <c r="F20" i="11"/>
  <c r="H20" i="11" s="1"/>
  <c r="L67" i="19"/>
  <c r="V67" i="19"/>
  <c r="AF67" i="19"/>
  <c r="AP67" i="19"/>
  <c r="AZ67" i="19"/>
  <c r="BJ67" i="19"/>
  <c r="BT67" i="19"/>
  <c r="CD67" i="19"/>
  <c r="CN67" i="19"/>
  <c r="CX67" i="19"/>
  <c r="DH67" i="19"/>
  <c r="DR67" i="19"/>
  <c r="BH7" i="22"/>
  <c r="BH9" i="26" s="1"/>
  <c r="DM7" i="22"/>
  <c r="DM9" i="26" s="1"/>
  <c r="J11" i="22"/>
  <c r="CB11" i="22"/>
  <c r="D15" i="7"/>
  <c r="F21" i="11"/>
  <c r="H21" i="11" s="1"/>
  <c r="Q7" i="22"/>
  <c r="Q9" i="26" s="1"/>
  <c r="AL7" i="22"/>
  <c r="AL9" i="26" s="1"/>
  <c r="BJ7" i="22"/>
  <c r="BJ9" i="26" s="1"/>
  <c r="CD7" i="22"/>
  <c r="CD8" i="22" s="1"/>
  <c r="DN7" i="22"/>
  <c r="DN9" i="26" s="1"/>
  <c r="AW11" i="22"/>
  <c r="F23" i="8"/>
  <c r="C12" i="9"/>
  <c r="F22" i="11"/>
  <c r="H22" i="11" s="1"/>
  <c r="E9" i="16"/>
  <c r="F9" i="16" s="1"/>
  <c r="R7" i="22"/>
  <c r="AM7" i="22"/>
  <c r="AM9" i="26" s="1"/>
  <c r="BO7" i="22"/>
  <c r="BO8" i="22" s="1"/>
  <c r="DO7" i="22"/>
  <c r="CJ11" i="22"/>
  <c r="AI67" i="19"/>
  <c r="AS67" i="19"/>
  <c r="BC67" i="19"/>
  <c r="BM67" i="19"/>
  <c r="BW67" i="19"/>
  <c r="CG67" i="19"/>
  <c r="CQ67" i="19"/>
  <c r="DA67" i="19"/>
  <c r="DK67" i="19"/>
  <c r="BP7" i="22"/>
  <c r="DF8" i="22"/>
  <c r="DF9" i="22" s="1"/>
  <c r="S11" i="22"/>
  <c r="F65" i="4"/>
  <c r="D22" i="7"/>
  <c r="D23" i="7" s="1"/>
  <c r="D32" i="7" s="1"/>
  <c r="F25" i="11"/>
  <c r="H25" i="11" s="1"/>
  <c r="Y7" i="22"/>
  <c r="Y9" i="26" s="1"/>
  <c r="BR7" i="22"/>
  <c r="BR9" i="26" s="1"/>
  <c r="AI11" i="22"/>
  <c r="CS11" i="22"/>
  <c r="F26" i="11"/>
  <c r="H26" i="11" s="1"/>
  <c r="E22" i="17"/>
  <c r="E23" i="17" s="1"/>
  <c r="D144" i="24" s="1"/>
  <c r="M19" i="17"/>
  <c r="W19" i="17"/>
  <c r="AG19" i="17"/>
  <c r="AQ19" i="17"/>
  <c r="BA19" i="17"/>
  <c r="BK19" i="17"/>
  <c r="BU19" i="17"/>
  <c r="CE19" i="17"/>
  <c r="CO19" i="17"/>
  <c r="CY19" i="17"/>
  <c r="DI19" i="17"/>
  <c r="DS19" i="17"/>
  <c r="AZ7" i="22"/>
  <c r="AZ8" i="22" s="1"/>
  <c r="BT7" i="22"/>
  <c r="BT8" i="22" s="1"/>
  <c r="AD8" i="22"/>
  <c r="AD9" i="22" s="1"/>
  <c r="N19" i="17"/>
  <c r="X19" i="17"/>
  <c r="AH19" i="17"/>
  <c r="BB19" i="17"/>
  <c r="BL19" i="17"/>
  <c r="BV19" i="17"/>
  <c r="CF19" i="17"/>
  <c r="CP19" i="17"/>
  <c r="CZ19" i="17"/>
  <c r="DJ19" i="17"/>
  <c r="AB7" i="22"/>
  <c r="AB9" i="26" s="1"/>
  <c r="BD7" i="22"/>
  <c r="BD8" i="22" s="1"/>
  <c r="BU7" i="22"/>
  <c r="BU9" i="26" s="1"/>
  <c r="DC7" i="22"/>
  <c r="DC9" i="26" s="1"/>
  <c r="G11" i="22"/>
  <c r="J67" i="19"/>
  <c r="T67" i="19"/>
  <c r="AD67" i="19"/>
  <c r="AN67" i="19"/>
  <c r="AX67" i="19"/>
  <c r="BH67" i="19"/>
  <c r="BR67" i="19"/>
  <c r="CB67" i="19"/>
  <c r="CL67" i="19"/>
  <c r="CV67" i="19"/>
  <c r="DF67" i="19"/>
  <c r="DP67" i="19"/>
  <c r="AC7" i="22"/>
  <c r="AC9" i="26" s="1"/>
  <c r="BF7" i="22"/>
  <c r="BF8" i="22" s="1"/>
  <c r="BY7" i="22"/>
  <c r="BY9" i="26" s="1"/>
  <c r="H11" i="22"/>
  <c r="E23" i="8"/>
  <c r="D65" i="31" s="1"/>
  <c r="D69" i="31" s="1"/>
  <c r="DK50" i="16"/>
  <c r="DA50" i="16"/>
  <c r="CQ50" i="16"/>
  <c r="CG50" i="16"/>
  <c r="BW50" i="16"/>
  <c r="BM50" i="16"/>
  <c r="BC50" i="16"/>
  <c r="AS50" i="16"/>
  <c r="AI50" i="16"/>
  <c r="Y50" i="16"/>
  <c r="O50" i="16"/>
  <c r="E50" i="16"/>
  <c r="DK49" i="16"/>
  <c r="DA49" i="16"/>
  <c r="CQ49" i="16"/>
  <c r="CG49" i="16"/>
  <c r="BW49" i="16"/>
  <c r="BM49" i="16"/>
  <c r="BC49" i="16"/>
  <c r="AS49" i="16"/>
  <c r="AI49" i="16"/>
  <c r="Y49" i="16"/>
  <c r="O49" i="16"/>
  <c r="E49" i="16"/>
  <c r="DJ50" i="16"/>
  <c r="CZ50" i="16"/>
  <c r="CP50" i="16"/>
  <c r="CF50" i="16"/>
  <c r="BV50" i="16"/>
  <c r="BL50" i="16"/>
  <c r="BB50" i="16"/>
  <c r="AR50" i="16"/>
  <c r="AH50" i="16"/>
  <c r="X50" i="16"/>
  <c r="N50" i="16"/>
  <c r="D50" i="16"/>
  <c r="DJ49" i="16"/>
  <c r="CZ49" i="16"/>
  <c r="CP49" i="16"/>
  <c r="CF49" i="16"/>
  <c r="BV49" i="16"/>
  <c r="BL49" i="16"/>
  <c r="BB49" i="16"/>
  <c r="AR49" i="16"/>
  <c r="AH49" i="16"/>
  <c r="X49" i="16"/>
  <c r="N49" i="16"/>
  <c r="D49" i="16"/>
  <c r="DS50" i="16"/>
  <c r="DI50" i="16"/>
  <c r="CY50" i="16"/>
  <c r="CO50" i="16"/>
  <c r="CE50" i="16"/>
  <c r="BU50" i="16"/>
  <c r="BK50" i="16"/>
  <c r="BA50" i="16"/>
  <c r="AQ50" i="16"/>
  <c r="AG50" i="16"/>
  <c r="W50" i="16"/>
  <c r="M50" i="16"/>
  <c r="DS49" i="16"/>
  <c r="DI49" i="16"/>
  <c r="CY49" i="16"/>
  <c r="CO49" i="16"/>
  <c r="CE49" i="16"/>
  <c r="BU49" i="16"/>
  <c r="BK49" i="16"/>
  <c r="BA49" i="16"/>
  <c r="AQ49" i="16"/>
  <c r="AG49" i="16"/>
  <c r="W49" i="16"/>
  <c r="M49" i="16"/>
  <c r="DR50" i="16"/>
  <c r="DH50" i="16"/>
  <c r="CX50" i="16"/>
  <c r="CN50" i="16"/>
  <c r="CD50" i="16"/>
  <c r="BT50" i="16"/>
  <c r="BJ50" i="16"/>
  <c r="AZ50" i="16"/>
  <c r="AP50" i="16"/>
  <c r="AF50" i="16"/>
  <c r="V50" i="16"/>
  <c r="L50" i="16"/>
  <c r="DR49" i="16"/>
  <c r="DH49" i="16"/>
  <c r="CX49" i="16"/>
  <c r="CN49" i="16"/>
  <c r="CD49" i="16"/>
  <c r="BT49" i="16"/>
  <c r="BJ49" i="16"/>
  <c r="AZ49" i="16"/>
  <c r="AP49" i="16"/>
  <c r="AF49" i="16"/>
  <c r="V49" i="16"/>
  <c r="L49" i="16"/>
  <c r="DQ50" i="16"/>
  <c r="DG50" i="16"/>
  <c r="CW50" i="16"/>
  <c r="CM50" i="16"/>
  <c r="CC50" i="16"/>
  <c r="BS50" i="16"/>
  <c r="BI50" i="16"/>
  <c r="AY50" i="16"/>
  <c r="AO50" i="16"/>
  <c r="AE50" i="16"/>
  <c r="U50" i="16"/>
  <c r="K50" i="16"/>
  <c r="DQ49" i="16"/>
  <c r="DG49" i="16"/>
  <c r="CW49" i="16"/>
  <c r="CM49" i="16"/>
  <c r="CC49" i="16"/>
  <c r="BS49" i="16"/>
  <c r="BI49" i="16"/>
  <c r="AY49" i="16"/>
  <c r="AO49" i="16"/>
  <c r="AE49" i="16"/>
  <c r="U49" i="16"/>
  <c r="K49" i="16"/>
  <c r="DO50" i="16"/>
  <c r="DE50" i="16"/>
  <c r="CU50" i="16"/>
  <c r="CK50" i="16"/>
  <c r="CA50" i="16"/>
  <c r="BQ50" i="16"/>
  <c r="BG50" i="16"/>
  <c r="AW50" i="16"/>
  <c r="AM50" i="16"/>
  <c r="AC50" i="16"/>
  <c r="S50" i="16"/>
  <c r="I50" i="16"/>
  <c r="DO49" i="16"/>
  <c r="DE49" i="16"/>
  <c r="CU49" i="16"/>
  <c r="CK49" i="16"/>
  <c r="CA49" i="16"/>
  <c r="BQ49" i="16"/>
  <c r="BG49" i="16"/>
  <c r="AW49" i="16"/>
  <c r="AM49" i="16"/>
  <c r="AC49" i="16"/>
  <c r="S49" i="16"/>
  <c r="I49" i="16"/>
  <c r="DN50" i="16"/>
  <c r="DD50" i="16"/>
  <c r="CT50" i="16"/>
  <c r="CJ50" i="16"/>
  <c r="BZ50" i="16"/>
  <c r="BP50" i="16"/>
  <c r="BF50" i="16"/>
  <c r="AV50" i="16"/>
  <c r="AL50" i="16"/>
  <c r="AB50" i="16"/>
  <c r="R50" i="16"/>
  <c r="H50" i="16"/>
  <c r="DN49" i="16"/>
  <c r="DD49" i="16"/>
  <c r="CT49" i="16"/>
  <c r="CJ49" i="16"/>
  <c r="BZ49" i="16"/>
  <c r="BP49" i="16"/>
  <c r="BF49" i="16"/>
  <c r="AV49" i="16"/>
  <c r="AL49" i="16"/>
  <c r="AB49" i="16"/>
  <c r="R49" i="16"/>
  <c r="H49" i="16"/>
  <c r="DM50" i="16"/>
  <c r="DC50" i="16"/>
  <c r="CS50" i="16"/>
  <c r="CI50" i="16"/>
  <c r="BY50" i="16"/>
  <c r="BO50" i="16"/>
  <c r="BE50" i="16"/>
  <c r="AU50" i="16"/>
  <c r="AK50" i="16"/>
  <c r="AA50" i="16"/>
  <c r="Q50" i="16"/>
  <c r="G50" i="16"/>
  <c r="DM49" i="16"/>
  <c r="DC49" i="16"/>
  <c r="CS49" i="16"/>
  <c r="CI49" i="16"/>
  <c r="BY49" i="16"/>
  <c r="BO49" i="16"/>
  <c r="BE49" i="16"/>
  <c r="AU49" i="16"/>
  <c r="AK49" i="16"/>
  <c r="AA49" i="16"/>
  <c r="Q49" i="16"/>
  <c r="G49" i="16"/>
  <c r="DL50" i="16"/>
  <c r="DB50" i="16"/>
  <c r="CR50" i="16"/>
  <c r="CH50" i="16"/>
  <c r="BX50" i="16"/>
  <c r="BN50" i="16"/>
  <c r="BD50" i="16"/>
  <c r="AT50" i="16"/>
  <c r="AJ50" i="16"/>
  <c r="Z50" i="16"/>
  <c r="P50" i="16"/>
  <c r="AD50" i="16"/>
  <c r="CL49" i="16"/>
  <c r="AN49" i="16"/>
  <c r="DP50" i="16"/>
  <c r="T50" i="16"/>
  <c r="CH49" i="16"/>
  <c r="AJ49" i="16"/>
  <c r="DF50" i="16"/>
  <c r="J50" i="16"/>
  <c r="CB49" i="16"/>
  <c r="AD49" i="16"/>
  <c r="CV50" i="16"/>
  <c r="F50" i="16"/>
  <c r="BX49" i="16"/>
  <c r="Z49" i="16"/>
  <c r="CL50" i="16"/>
  <c r="DP49" i="16"/>
  <c r="BR49" i="16"/>
  <c r="T49" i="16"/>
  <c r="CB50" i="16"/>
  <c r="DL49" i="16"/>
  <c r="BN49" i="16"/>
  <c r="P49" i="16"/>
  <c r="BR50" i="16"/>
  <c r="DF49" i="16"/>
  <c r="BH49" i="16"/>
  <c r="J49" i="16"/>
  <c r="BH50" i="16"/>
  <c r="DB49" i="16"/>
  <c r="BD49" i="16"/>
  <c r="F49" i="16"/>
  <c r="AX50" i="16"/>
  <c r="CV49" i="16"/>
  <c r="AX49" i="16"/>
  <c r="AN50" i="16"/>
  <c r="CR49" i="16"/>
  <c r="AT49" i="16"/>
  <c r="E30" i="7"/>
  <c r="E32" i="7"/>
  <c r="E31" i="7"/>
  <c r="I20" i="5"/>
  <c r="J20" i="5" s="1"/>
  <c r="F23" i="24" s="1"/>
  <c r="D7" i="21"/>
  <c r="D10" i="21"/>
  <c r="D9" i="21"/>
  <c r="D8" i="21"/>
  <c r="D52" i="15"/>
  <c r="D48" i="15"/>
  <c r="C9" i="12"/>
  <c r="D46" i="15"/>
  <c r="D56" i="15"/>
  <c r="C9" i="13"/>
  <c r="F34" i="13" s="1"/>
  <c r="H34" i="13" s="1"/>
  <c r="D55" i="15"/>
  <c r="D54" i="15"/>
  <c r="D47" i="15"/>
  <c r="D53" i="15"/>
  <c r="D6" i="25"/>
  <c r="C3" i="24"/>
  <c r="J32" i="17"/>
  <c r="J31" i="17"/>
  <c r="L32" i="17"/>
  <c r="L19" i="17" s="1"/>
  <c r="K32" i="17"/>
  <c r="K19" i="17" s="1"/>
  <c r="G66" i="4"/>
  <c r="I21" i="5"/>
  <c r="J21" i="5" s="1"/>
  <c r="F24" i="24" s="1"/>
  <c r="C14" i="14"/>
  <c r="E11" i="16"/>
  <c r="F8" i="16"/>
  <c r="BR7" i="17"/>
  <c r="CB7" i="17"/>
  <c r="CL7" i="17"/>
  <c r="CV7" i="17"/>
  <c r="J7" i="17"/>
  <c r="DF7" i="17"/>
  <c r="P7" i="17"/>
  <c r="Z7" i="17"/>
  <c r="AJ7" i="17"/>
  <c r="AT7" i="17"/>
  <c r="BD7" i="17"/>
  <c r="BN7" i="17"/>
  <c r="BX7" i="17"/>
  <c r="CH7" i="17"/>
  <c r="CR7" i="17"/>
  <c r="DL7" i="17"/>
  <c r="G7" i="17"/>
  <c r="AA7" i="17"/>
  <c r="AK7" i="17"/>
  <c r="AU7" i="17"/>
  <c r="BO7" i="17"/>
  <c r="BY7" i="17"/>
  <c r="CI7" i="17"/>
  <c r="CS7" i="17"/>
  <c r="DC7" i="17"/>
  <c r="H7" i="17"/>
  <c r="R7" i="17"/>
  <c r="AL7" i="17"/>
  <c r="AV7" i="17"/>
  <c r="BZ7" i="17"/>
  <c r="CJ7" i="17"/>
  <c r="CT7" i="17"/>
  <c r="DD7" i="17"/>
  <c r="DN7" i="17"/>
  <c r="I7" i="17"/>
  <c r="S7" i="17"/>
  <c r="AC7" i="17"/>
  <c r="AM7" i="17"/>
  <c r="AW7" i="17"/>
  <c r="BG7" i="17"/>
  <c r="BQ7" i="17"/>
  <c r="CA7" i="17"/>
  <c r="CK7" i="17"/>
  <c r="CU7" i="17"/>
  <c r="DE7" i="17"/>
  <c r="DO7" i="17"/>
  <c r="K7" i="17"/>
  <c r="U7" i="17"/>
  <c r="AE7" i="17"/>
  <c r="AO7" i="17"/>
  <c r="CW7" i="17"/>
  <c r="DG7" i="17"/>
  <c r="DQ7" i="17"/>
  <c r="DQ67" i="19"/>
  <c r="L7" i="17"/>
  <c r="V7" i="17"/>
  <c r="AF7" i="17"/>
  <c r="AP7" i="17"/>
  <c r="DH7" i="17"/>
  <c r="DR7" i="17"/>
  <c r="W7" i="17"/>
  <c r="AG7" i="17"/>
  <c r="AQ7" i="17"/>
  <c r="DS7" i="17"/>
  <c r="AH7" i="17"/>
  <c r="AR7" i="17"/>
  <c r="N67" i="19"/>
  <c r="X67" i="19"/>
  <c r="AH67" i="19"/>
  <c r="AR67" i="19"/>
  <c r="BB67" i="19"/>
  <c r="BL67" i="19"/>
  <c r="BV67" i="19"/>
  <c r="CF67" i="19"/>
  <c r="CP67" i="19"/>
  <c r="CZ67" i="19"/>
  <c r="DJ67" i="19"/>
  <c r="AS7" i="17"/>
  <c r="D48" i="19"/>
  <c r="C145" i="24" s="1"/>
  <c r="B106" i="20"/>
  <c r="B151" i="20"/>
  <c r="B61" i="20"/>
  <c r="B99" i="20"/>
  <c r="B54" i="20"/>
  <c r="B144" i="20"/>
  <c r="D47" i="20"/>
  <c r="D38" i="19" s="1"/>
  <c r="G56" i="19"/>
  <c r="B101" i="20"/>
  <c r="B146" i="20"/>
  <c r="B56" i="20"/>
  <c r="B121" i="20"/>
  <c r="B166" i="20"/>
  <c r="B76" i="20"/>
  <c r="B152" i="20"/>
  <c r="B62" i="20"/>
  <c r="B107" i="20"/>
  <c r="B168" i="20"/>
  <c r="B123" i="20"/>
  <c r="B78" i="20"/>
  <c r="B158" i="20"/>
  <c r="B113" i="20"/>
  <c r="B68" i="20"/>
  <c r="B143" i="20"/>
  <c r="B98" i="20"/>
  <c r="B53" i="20"/>
  <c r="B147" i="20"/>
  <c r="B102" i="20"/>
  <c r="B57" i="20"/>
  <c r="B148" i="20"/>
  <c r="B103" i="20"/>
  <c r="B58" i="20"/>
  <c r="B71" i="20"/>
  <c r="B161" i="20"/>
  <c r="B116" i="20"/>
  <c r="B176" i="20"/>
  <c r="B131" i="20"/>
  <c r="B86" i="20"/>
  <c r="B153" i="20"/>
  <c r="B108" i="20"/>
  <c r="B63" i="20"/>
  <c r="B163" i="20"/>
  <c r="B73" i="20"/>
  <c r="B118" i="20"/>
  <c r="B100" i="20"/>
  <c r="B55" i="20"/>
  <c r="B145" i="20"/>
  <c r="B156" i="20"/>
  <c r="B111" i="20"/>
  <c r="B66" i="20"/>
  <c r="B157" i="20"/>
  <c r="B112" i="20"/>
  <c r="B67" i="20"/>
  <c r="B72" i="20"/>
  <c r="B162" i="20"/>
  <c r="B117" i="20"/>
  <c r="B122" i="20"/>
  <c r="B167" i="20"/>
  <c r="B77" i="20"/>
  <c r="B134" i="20"/>
  <c r="B89" i="20"/>
  <c r="B179" i="20"/>
  <c r="B181" i="20"/>
  <c r="B136" i="20"/>
  <c r="B91" i="20"/>
  <c r="B104" i="20"/>
  <c r="B59" i="20"/>
  <c r="B149" i="20"/>
  <c r="B109" i="20"/>
  <c r="B64" i="20"/>
  <c r="B154" i="20"/>
  <c r="B114" i="20"/>
  <c r="B69" i="20"/>
  <c r="B159" i="20"/>
  <c r="B119" i="20"/>
  <c r="B74" i="20"/>
  <c r="B164" i="20"/>
  <c r="B124" i="20"/>
  <c r="B79" i="20"/>
  <c r="B169" i="20"/>
  <c r="AK9" i="26"/>
  <c r="AK8" i="22"/>
  <c r="B129" i="20"/>
  <c r="B84" i="20"/>
  <c r="B174" i="20"/>
  <c r="B150" i="20"/>
  <c r="B60" i="20"/>
  <c r="B105" i="20"/>
  <c r="B155" i="20"/>
  <c r="B110" i="20"/>
  <c r="B65" i="20"/>
  <c r="B160" i="20"/>
  <c r="B70" i="20"/>
  <c r="B115" i="20"/>
  <c r="B165" i="20"/>
  <c r="B120" i="20"/>
  <c r="B75" i="20"/>
  <c r="B170" i="20"/>
  <c r="B125" i="20"/>
  <c r="B80" i="20"/>
  <c r="B126" i="20"/>
  <c r="B81" i="20"/>
  <c r="B171" i="20"/>
  <c r="B175" i="20"/>
  <c r="B85" i="20"/>
  <c r="B130" i="20"/>
  <c r="B180" i="20"/>
  <c r="B135" i="20"/>
  <c r="B90" i="20"/>
  <c r="B172" i="20"/>
  <c r="B127" i="20"/>
  <c r="B82" i="20"/>
  <c r="B87" i="20"/>
  <c r="B177" i="20"/>
  <c r="B88" i="20"/>
  <c r="B133" i="20"/>
  <c r="I9" i="26"/>
  <c r="I8" i="22"/>
  <c r="S9" i="26"/>
  <c r="S8" i="22"/>
  <c r="CU9" i="26"/>
  <c r="CU8" i="22"/>
  <c r="CJ9" i="26"/>
  <c r="CJ8" i="22"/>
  <c r="B173" i="20"/>
  <c r="B128" i="20"/>
  <c r="B83" i="20"/>
  <c r="CB9" i="26"/>
  <c r="CB8" i="22"/>
  <c r="X7" i="22"/>
  <c r="X11" i="22"/>
  <c r="AH11" i="22"/>
  <c r="AH7" i="22"/>
  <c r="AR11" i="22"/>
  <c r="AR7" i="22"/>
  <c r="BB9" i="26"/>
  <c r="BB8" i="22"/>
  <c r="BL7" i="22"/>
  <c r="BL11" i="22"/>
  <c r="BV7" i="22"/>
  <c r="BV11" i="22"/>
  <c r="CF11" i="22"/>
  <c r="CF7" i="22"/>
  <c r="CP11" i="22"/>
  <c r="CP7" i="22"/>
  <c r="CZ9" i="26"/>
  <c r="CZ8" i="22"/>
  <c r="DJ11" i="22"/>
  <c r="DJ7" i="22"/>
  <c r="D7" i="22"/>
  <c r="O11" i="22"/>
  <c r="O7" i="22"/>
  <c r="AI9" i="26"/>
  <c r="AI8" i="22"/>
  <c r="AS11" i="22"/>
  <c r="AS7" i="22"/>
  <c r="BM7" i="22"/>
  <c r="BM11" i="22"/>
  <c r="BW7" i="22"/>
  <c r="BW11" i="22"/>
  <c r="CG11" i="22"/>
  <c r="CG7" i="22"/>
  <c r="CQ11" i="22"/>
  <c r="CQ7" i="22"/>
  <c r="DA11" i="22"/>
  <c r="DA7" i="22"/>
  <c r="DK11" i="22"/>
  <c r="DK7" i="22"/>
  <c r="E7" i="22"/>
  <c r="CO9" i="26"/>
  <c r="CO8" i="22"/>
  <c r="P11" i="22"/>
  <c r="P7" i="22"/>
  <c r="Z11" i="22"/>
  <c r="Z7" i="22"/>
  <c r="AJ11" i="22"/>
  <c r="AJ7" i="22"/>
  <c r="AT11" i="22"/>
  <c r="AT7" i="22"/>
  <c r="BN11" i="22"/>
  <c r="BN7" i="22"/>
  <c r="BX11" i="22"/>
  <c r="BX7" i="22"/>
  <c r="CH11" i="22"/>
  <c r="CH7" i="22"/>
  <c r="CR11" i="22"/>
  <c r="CR7" i="22"/>
  <c r="DB11" i="22"/>
  <c r="DB7" i="22"/>
  <c r="DL11" i="22"/>
  <c r="DL7" i="22"/>
  <c r="F7" i="22"/>
  <c r="BC7" i="22"/>
  <c r="CZ11" i="22"/>
  <c r="E15" i="22"/>
  <c r="DD9" i="26"/>
  <c r="DD8" i="22"/>
  <c r="B137" i="20"/>
  <c r="CS8" i="22"/>
  <c r="H9" i="26"/>
  <c r="H8" i="22"/>
  <c r="CT8" i="22"/>
  <c r="T11" i="22"/>
  <c r="DF11" i="22"/>
  <c r="T9" i="26"/>
  <c r="T8" i="22"/>
  <c r="AN11" i="22"/>
  <c r="AN7" i="22"/>
  <c r="CL11" i="22"/>
  <c r="CL7" i="22"/>
  <c r="CV7" i="22"/>
  <c r="K11" i="22"/>
  <c r="K7" i="22"/>
  <c r="U11" i="22"/>
  <c r="U7" i="22"/>
  <c r="AE11" i="22"/>
  <c r="AE7" i="22"/>
  <c r="AO11" i="22"/>
  <c r="AO7" i="22"/>
  <c r="AY11" i="22"/>
  <c r="AY7" i="22"/>
  <c r="BI11" i="22"/>
  <c r="BI7" i="22"/>
  <c r="AX7" i="22"/>
  <c r="DP7" i="22"/>
  <c r="AD11" i="22"/>
  <c r="M11" i="22"/>
  <c r="M7" i="22"/>
  <c r="AQ7" i="22"/>
  <c r="AQ11" i="22"/>
  <c r="BA9" i="26"/>
  <c r="BA8" i="22"/>
  <c r="BK7" i="22"/>
  <c r="BK11" i="22"/>
  <c r="DI7" i="22"/>
  <c r="DI11" i="22"/>
  <c r="DS7" i="22"/>
  <c r="DS11" i="22"/>
  <c r="BA11" i="22"/>
  <c r="CN11" i="22"/>
  <c r="CN7" i="22"/>
  <c r="CX11" i="22"/>
  <c r="CX7" i="22"/>
  <c r="DH11" i="22"/>
  <c r="DH7" i="22"/>
  <c r="DR11" i="22"/>
  <c r="DR7" i="22"/>
  <c r="BE7" i="22"/>
  <c r="AP7" i="22"/>
  <c r="CU11" i="22"/>
  <c r="AF7" i="22"/>
  <c r="CI7" i="22"/>
  <c r="CA8" i="22"/>
  <c r="BS7" i="22"/>
  <c r="CC7" i="22"/>
  <c r="CM7" i="22"/>
  <c r="CW7" i="22"/>
  <c r="DG7" i="22"/>
  <c r="DQ7" i="22"/>
  <c r="D16" i="26" l="1" a="1"/>
  <c r="D16" i="26" s="1"/>
  <c r="BQ8" i="22"/>
  <c r="BQ9" i="22" s="1"/>
  <c r="L8" i="22"/>
  <c r="K73" i="24" s="1"/>
  <c r="C34" i="15"/>
  <c r="C42" i="15"/>
  <c r="C65" i="15"/>
  <c r="C93" i="15" s="1"/>
  <c r="BC15" i="17"/>
  <c r="E65" i="31"/>
  <c r="D52" i="18"/>
  <c r="E52" i="18" s="1"/>
  <c r="C65" i="31"/>
  <c r="C69" i="31" s="1"/>
  <c r="F21" i="14"/>
  <c r="H21" i="14" s="1"/>
  <c r="F41" i="14"/>
  <c r="H41" i="14" s="1"/>
  <c r="F22" i="14"/>
  <c r="H22" i="14" s="1"/>
  <c r="F23" i="14"/>
  <c r="H23" i="14" s="1"/>
  <c r="F20" i="14"/>
  <c r="H20" i="14" s="1"/>
  <c r="F25" i="14"/>
  <c r="H25" i="14" s="1"/>
  <c r="F26" i="14"/>
  <c r="H26" i="14" s="1"/>
  <c r="F27" i="14"/>
  <c r="H27" i="14" s="1"/>
  <c r="E255" i="30"/>
  <c r="F255" i="30" s="1"/>
  <c r="F260" i="30" s="1"/>
  <c r="F261" i="30" s="1"/>
  <c r="F262" i="30" s="1"/>
  <c r="C60" i="30" s="1"/>
  <c r="F20" i="5" s="1"/>
  <c r="G20" i="5" s="1"/>
  <c r="E268" i="30"/>
  <c r="F268" i="30" s="1"/>
  <c r="F273" i="30" s="1"/>
  <c r="F274" i="30" s="1"/>
  <c r="F275" i="30" s="1"/>
  <c r="C61" i="30" s="1"/>
  <c r="F21" i="5" s="1"/>
  <c r="G21" i="5" s="1"/>
  <c r="E214" i="30"/>
  <c r="F214" i="30" s="1"/>
  <c r="E239" i="30"/>
  <c r="F239" i="30" s="1"/>
  <c r="E187" i="30"/>
  <c r="F187" i="30" s="1"/>
  <c r="E200" i="30"/>
  <c r="F200" i="30" s="1"/>
  <c r="E159" i="30"/>
  <c r="F159" i="30" s="1"/>
  <c r="E173" i="30"/>
  <c r="F173" i="30" s="1"/>
  <c r="BX37" i="16"/>
  <c r="E134" i="30"/>
  <c r="F134" i="30" s="1"/>
  <c r="E148" i="30"/>
  <c r="F148" i="30" s="1"/>
  <c r="E107" i="30"/>
  <c r="F107" i="30" s="1"/>
  <c r="E121" i="30"/>
  <c r="F121" i="30" s="1"/>
  <c r="C63" i="30"/>
  <c r="F23" i="5" s="1"/>
  <c r="G23" i="5" s="1"/>
  <c r="H23" i="5" s="1"/>
  <c r="E93" i="30"/>
  <c r="F93" i="30" s="1"/>
  <c r="Q8" i="22"/>
  <c r="Q10" i="22" s="1"/>
  <c r="BJ8" i="22"/>
  <c r="BJ9" i="22" s="1"/>
  <c r="AD37" i="16"/>
  <c r="AW10" i="22"/>
  <c r="G9" i="22"/>
  <c r="F111" i="24" s="1"/>
  <c r="G10" i="22"/>
  <c r="F127" i="24" s="1"/>
  <c r="D43" i="18"/>
  <c r="E43" i="18" s="1"/>
  <c r="AT37" i="16"/>
  <c r="D28" i="18"/>
  <c r="E28" i="18" s="1"/>
  <c r="AL8" i="22"/>
  <c r="AL9" i="22" s="1"/>
  <c r="AA8" i="22"/>
  <c r="AA9" i="22" s="1"/>
  <c r="BH8" i="22"/>
  <c r="BH9" i="22" s="1"/>
  <c r="V8" i="22"/>
  <c r="V10" i="22" s="1"/>
  <c r="DN8" i="22"/>
  <c r="DN9" i="22" s="1"/>
  <c r="J9" i="22"/>
  <c r="I111" i="24" s="1"/>
  <c r="AD10" i="22"/>
  <c r="Y8" i="22"/>
  <c r="Y10" i="22" s="1"/>
  <c r="N8" i="22"/>
  <c r="N10" i="22" s="1"/>
  <c r="M127" i="24" s="1"/>
  <c r="CD9" i="26"/>
  <c r="CY8" i="22"/>
  <c r="CY10" i="22" s="1"/>
  <c r="BO9" i="26"/>
  <c r="D18" i="23"/>
  <c r="BT9" i="26"/>
  <c r="BY8" i="22"/>
  <c r="BY9" i="22" s="1"/>
  <c r="CE8" i="22"/>
  <c r="CE10" i="22" s="1"/>
  <c r="DF10" i="22"/>
  <c r="C30" i="7"/>
  <c r="D38" i="18"/>
  <c r="E38" i="18" s="1"/>
  <c r="J10" i="22"/>
  <c r="I127" i="24" s="1"/>
  <c r="D42" i="18"/>
  <c r="E42" i="18" s="1"/>
  <c r="DC8" i="22"/>
  <c r="DC10" i="22" s="1"/>
  <c r="AK15" i="17"/>
  <c r="CU15" i="17"/>
  <c r="CR15" i="17"/>
  <c r="CK15" i="17"/>
  <c r="D19" i="16"/>
  <c r="AB8" i="22"/>
  <c r="AB10" i="22" s="1"/>
  <c r="AM8" i="22"/>
  <c r="AM10" i="22" s="1"/>
  <c r="D24" i="18"/>
  <c r="E24" i="18" s="1"/>
  <c r="AD15" i="17"/>
  <c r="D36" i="19"/>
  <c r="D21" i="18"/>
  <c r="E21" i="18" s="1"/>
  <c r="AR15" i="17"/>
  <c r="CD15" i="17"/>
  <c r="AG8" i="22"/>
  <c r="AG9" i="22" s="1"/>
  <c r="DA15" i="17"/>
  <c r="AU8" i="22"/>
  <c r="AU9" i="22" s="1"/>
  <c r="BZ8" i="22"/>
  <c r="BZ10" i="22" s="1"/>
  <c r="DG15" i="17"/>
  <c r="BR15" i="17"/>
  <c r="C32" i="7"/>
  <c r="E61" i="31" s="1"/>
  <c r="D46" i="18"/>
  <c r="E46" i="18" s="1"/>
  <c r="F85" i="30"/>
  <c r="F86" i="30" s="1"/>
  <c r="F87" i="30" s="1"/>
  <c r="C40" i="15"/>
  <c r="BR8" i="22"/>
  <c r="BR10" i="22" s="1"/>
  <c r="D54" i="18"/>
  <c r="E54" i="18" s="1"/>
  <c r="AJ15" i="17"/>
  <c r="I37" i="16"/>
  <c r="DE37" i="16"/>
  <c r="BS37" i="16"/>
  <c r="AF37" i="16"/>
  <c r="CO37" i="16"/>
  <c r="AR37" i="16"/>
  <c r="E37" i="16"/>
  <c r="DA37" i="16"/>
  <c r="F230" i="30"/>
  <c r="F231" i="30" s="1"/>
  <c r="F232" i="30" s="1"/>
  <c r="C58" i="30" s="1"/>
  <c r="F18" i="5" s="1"/>
  <c r="G18" i="5" s="1"/>
  <c r="AZ9" i="26"/>
  <c r="AW15" i="17"/>
  <c r="D35" i="18"/>
  <c r="E35" i="18" s="1"/>
  <c r="D51" i="18"/>
  <c r="E51" i="18" s="1"/>
  <c r="D50" i="18"/>
  <c r="E50" i="18" s="1"/>
  <c r="D59" i="18"/>
  <c r="E59" i="18" s="1"/>
  <c r="AG15" i="17"/>
  <c r="CI15" i="17"/>
  <c r="D39" i="18"/>
  <c r="E39" i="18" s="1"/>
  <c r="F73" i="30"/>
  <c r="F74" i="30" s="1"/>
  <c r="F75" i="30" s="1"/>
  <c r="D58" i="18"/>
  <c r="E58" i="18" s="1"/>
  <c r="D26" i="18"/>
  <c r="E26" i="18" s="1"/>
  <c r="AO15" i="17"/>
  <c r="D33" i="18"/>
  <c r="E33" i="18" s="1"/>
  <c r="D41" i="18"/>
  <c r="E41" i="18" s="1"/>
  <c r="BD9" i="26"/>
  <c r="N15" i="17"/>
  <c r="DE15" i="17"/>
  <c r="CW15" i="17"/>
  <c r="BO15" i="17"/>
  <c r="D29" i="18"/>
  <c r="E29" i="18" s="1"/>
  <c r="CC15" i="17"/>
  <c r="DD15" i="17"/>
  <c r="DC15" i="17"/>
  <c r="DM8" i="22"/>
  <c r="DM9" i="22" s="1"/>
  <c r="CK9" i="26"/>
  <c r="W9" i="26"/>
  <c r="BU8" i="22"/>
  <c r="BU10" i="22" s="1"/>
  <c r="BL15" i="17"/>
  <c r="DO15" i="17"/>
  <c r="DQ15" i="17"/>
  <c r="AX15" i="17"/>
  <c r="CS15" i="17"/>
  <c r="AS15" i="17"/>
  <c r="D45" i="18"/>
  <c r="E45" i="18" s="1"/>
  <c r="D47" i="18"/>
  <c r="E47" i="18" s="1"/>
  <c r="AI15" i="17"/>
  <c r="AV8" i="22"/>
  <c r="F281" i="30"/>
  <c r="F282" i="30" s="1"/>
  <c r="C62" i="30" s="1"/>
  <c r="F22" i="5" s="1"/>
  <c r="G22" i="5" s="1"/>
  <c r="H22" i="5" s="1"/>
  <c r="BQ15" i="17"/>
  <c r="W15" i="17"/>
  <c r="U15" i="17"/>
  <c r="DN15" i="17"/>
  <c r="DL15" i="17"/>
  <c r="DK15" i="17"/>
  <c r="F299" i="30"/>
  <c r="F300" i="30" s="1"/>
  <c r="C64" i="30" s="1"/>
  <c r="BG8" i="22"/>
  <c r="BG9" i="22" s="1"/>
  <c r="CE15" i="17"/>
  <c r="S15" i="17"/>
  <c r="DR15" i="17"/>
  <c r="CV15" i="17"/>
  <c r="CJ15" i="17"/>
  <c r="CH15" i="17"/>
  <c r="D20" i="18"/>
  <c r="E20" i="18" s="1"/>
  <c r="D22" i="18"/>
  <c r="E22" i="18" s="1"/>
  <c r="D55" i="18"/>
  <c r="E55" i="18" s="1"/>
  <c r="CF15" i="17"/>
  <c r="BI15" i="17"/>
  <c r="I15" i="17"/>
  <c r="BF15" i="17"/>
  <c r="BP15" i="17"/>
  <c r="AP15" i="17"/>
  <c r="CL15" i="17"/>
  <c r="AV15" i="17"/>
  <c r="BX15" i="17"/>
  <c r="C38" i="15"/>
  <c r="D25" i="18"/>
  <c r="E25" i="18" s="1"/>
  <c r="D32" i="18"/>
  <c r="E32" i="18" s="1"/>
  <c r="D56" i="18"/>
  <c r="E56" i="18" s="1"/>
  <c r="DM15" i="17"/>
  <c r="BF9" i="26"/>
  <c r="BK15" i="17"/>
  <c r="BE15" i="17"/>
  <c r="V15" i="17"/>
  <c r="CB15" i="17"/>
  <c r="H15" i="17"/>
  <c r="BD15" i="17"/>
  <c r="D30" i="18"/>
  <c r="E30" i="18" s="1"/>
  <c r="D37" i="18"/>
  <c r="E37" i="18" s="1"/>
  <c r="D34" i="18"/>
  <c r="E34" i="18" s="1"/>
  <c r="AC8" i="22"/>
  <c r="AC10" i="22" s="1"/>
  <c r="D31" i="7"/>
  <c r="D61" i="31" s="1"/>
  <c r="E12" i="16"/>
  <c r="D15" i="17"/>
  <c r="BJ15" i="17"/>
  <c r="BA15" i="17"/>
  <c r="AZ15" i="17"/>
  <c r="BT15" i="17"/>
  <c r="BG15" i="17"/>
  <c r="AH15" i="17"/>
  <c r="AF15" i="17"/>
  <c r="K15" i="17"/>
  <c r="AN15" i="17"/>
  <c r="BZ15" i="17"/>
  <c r="AU15" i="17"/>
  <c r="AT15" i="17"/>
  <c r="M15" i="17"/>
  <c r="BS15" i="17"/>
  <c r="BU15" i="17"/>
  <c r="AM15" i="17"/>
  <c r="DS15" i="17"/>
  <c r="L15" i="17"/>
  <c r="DP15" i="17"/>
  <c r="T15" i="17"/>
  <c r="AL15" i="17"/>
  <c r="AA15" i="17"/>
  <c r="Z15" i="17"/>
  <c r="BE37" i="16"/>
  <c r="R37" i="16"/>
  <c r="DN37" i="16"/>
  <c r="CA37" i="16"/>
  <c r="AO37" i="16"/>
  <c r="CX37" i="16"/>
  <c r="BK37" i="16"/>
  <c r="N37" i="16"/>
  <c r="DJ37" i="16"/>
  <c r="BW37" i="16"/>
  <c r="CX15" i="17"/>
  <c r="CO15" i="17"/>
  <c r="CQ15" i="17"/>
  <c r="BB15" i="17"/>
  <c r="AC15" i="17"/>
  <c r="AQ15" i="17"/>
  <c r="DF15" i="17"/>
  <c r="J15" i="17"/>
  <c r="R15" i="17"/>
  <c r="G15" i="17"/>
  <c r="P15" i="17"/>
  <c r="C8" i="3"/>
  <c r="D30" i="7"/>
  <c r="DI15" i="17"/>
  <c r="CZ15" i="17"/>
  <c r="DB15" i="17"/>
  <c r="Y15" i="17"/>
  <c r="E15" i="17"/>
  <c r="BM15" i="17"/>
  <c r="CN15" i="17"/>
  <c r="Q15" i="17"/>
  <c r="D49" i="18"/>
  <c r="E49" i="18" s="1"/>
  <c r="E19" i="16"/>
  <c r="BW15" i="17"/>
  <c r="BV15" i="17"/>
  <c r="CP15" i="17"/>
  <c r="CA15" i="17"/>
  <c r="DH15" i="17"/>
  <c r="AE15" i="17"/>
  <c r="BH15" i="17"/>
  <c r="CT15" i="17"/>
  <c r="BY15" i="17"/>
  <c r="BN15" i="17"/>
  <c r="CY15" i="17"/>
  <c r="AY15" i="17"/>
  <c r="I21" i="17"/>
  <c r="I67" i="19" s="1"/>
  <c r="BD37" i="16"/>
  <c r="CS37" i="16"/>
  <c r="BF37" i="16"/>
  <c r="S37" i="16"/>
  <c r="DO37" i="16"/>
  <c r="CC37" i="16"/>
  <c r="AP37" i="16"/>
  <c r="CY37" i="16"/>
  <c r="BB37" i="16"/>
  <c r="O37" i="16"/>
  <c r="DK37" i="16"/>
  <c r="DF37" i="16"/>
  <c r="Z37" i="16"/>
  <c r="X15" i="17"/>
  <c r="DJ15" i="17"/>
  <c r="F15" i="17"/>
  <c r="CG15" i="17"/>
  <c r="F22" i="17"/>
  <c r="F23" i="17" s="1"/>
  <c r="E144" i="24" s="1"/>
  <c r="E44" i="4"/>
  <c r="E47" i="4" s="1"/>
  <c r="E62" i="4" s="1"/>
  <c r="CV37" i="16"/>
  <c r="CM15" i="17"/>
  <c r="O15" i="17"/>
  <c r="AB15" i="17"/>
  <c r="H27" i="11"/>
  <c r="P37" i="16"/>
  <c r="AN37" i="16"/>
  <c r="BO37" i="16"/>
  <c r="AB37" i="16"/>
  <c r="CK37" i="16"/>
  <c r="AY37" i="16"/>
  <c r="L37" i="16"/>
  <c r="DH37" i="16"/>
  <c r="BU37" i="16"/>
  <c r="X37" i="16"/>
  <c r="CG37" i="16"/>
  <c r="CI37" i="16"/>
  <c r="AV37" i="16"/>
  <c r="R9" i="26"/>
  <c r="R8" i="22"/>
  <c r="CL37" i="16"/>
  <c r="DE9" i="26"/>
  <c r="DE8" i="22"/>
  <c r="Q37" i="16"/>
  <c r="DM37" i="16"/>
  <c r="BZ37" i="16"/>
  <c r="AM37" i="16"/>
  <c r="CW37" i="16"/>
  <c r="BJ37" i="16"/>
  <c r="W37" i="16"/>
  <c r="DS37" i="16"/>
  <c r="BV37" i="16"/>
  <c r="AI37" i="16"/>
  <c r="J19" i="17"/>
  <c r="J37" i="16"/>
  <c r="DP37" i="16"/>
  <c r="AJ37" i="16"/>
  <c r="BP9" i="26"/>
  <c r="BP8" i="22"/>
  <c r="DO9" i="26"/>
  <c r="DO8" i="22"/>
  <c r="DG9" i="26"/>
  <c r="DG8" i="22"/>
  <c r="AP9" i="26"/>
  <c r="AP8" i="22"/>
  <c r="CN9" i="26"/>
  <c r="CN8" i="22"/>
  <c r="G73" i="24"/>
  <c r="H9" i="22"/>
  <c r="G111" i="24" s="1"/>
  <c r="H10" i="22"/>
  <c r="G127" i="24" s="1"/>
  <c r="CO10" i="22"/>
  <c r="CO9" i="22"/>
  <c r="D9" i="26"/>
  <c r="D8" i="22"/>
  <c r="BV9" i="26"/>
  <c r="BV8" i="22"/>
  <c r="X9" i="26"/>
  <c r="X8" i="22"/>
  <c r="CJ9" i="22"/>
  <c r="CJ10" i="22"/>
  <c r="BI9" i="26"/>
  <c r="BI8" i="22"/>
  <c r="CB9" i="22"/>
  <c r="CB10" i="22"/>
  <c r="F29" i="12"/>
  <c r="H29" i="12" s="1"/>
  <c r="F24" i="12"/>
  <c r="H24" i="12" s="1"/>
  <c r="F27" i="12"/>
  <c r="H27" i="12" s="1"/>
  <c r="F31" i="12"/>
  <c r="H31" i="12" s="1"/>
  <c r="F26" i="12"/>
  <c r="H26" i="12" s="1"/>
  <c r="F25" i="12"/>
  <c r="H25" i="12" s="1"/>
  <c r="F30" i="12"/>
  <c r="H30" i="12" s="1"/>
  <c r="F37" i="16"/>
  <c r="DL37" i="16"/>
  <c r="AK10" i="22"/>
  <c r="AK9" i="22"/>
  <c r="CW9" i="26"/>
  <c r="CW8" i="22"/>
  <c r="AZ10" i="22"/>
  <c r="AZ9" i="22"/>
  <c r="DI9" i="26"/>
  <c r="DI8" i="22"/>
  <c r="DP9" i="26"/>
  <c r="DP8" i="22"/>
  <c r="BF10" i="22"/>
  <c r="BF9" i="22"/>
  <c r="BC9" i="26"/>
  <c r="BC8" i="22"/>
  <c r="CH9" i="26"/>
  <c r="CH8" i="22"/>
  <c r="Z9" i="26"/>
  <c r="Z8" i="22"/>
  <c r="CG9" i="26"/>
  <c r="CG8" i="22"/>
  <c r="O9" i="26"/>
  <c r="O8" i="22"/>
  <c r="DJ9" i="26"/>
  <c r="DJ8" i="22"/>
  <c r="CM9" i="26"/>
  <c r="CM8" i="22"/>
  <c r="AX9" i="26"/>
  <c r="AX8" i="22"/>
  <c r="T10" i="22"/>
  <c r="T9" i="22"/>
  <c r="CS9" i="22"/>
  <c r="CS10" i="22"/>
  <c r="BL9" i="26"/>
  <c r="BL8" i="22"/>
  <c r="CB37" i="16"/>
  <c r="AN9" i="26"/>
  <c r="AN8" i="22"/>
  <c r="C57" i="15"/>
  <c r="C92" i="15" s="1"/>
  <c r="E48" i="7"/>
  <c r="DB37" i="16"/>
  <c r="T37" i="16"/>
  <c r="G37" i="16"/>
  <c r="DC37" i="16"/>
  <c r="BP37" i="16"/>
  <c r="AC37" i="16"/>
  <c r="CM37" i="16"/>
  <c r="AZ37" i="16"/>
  <c r="M37" i="16"/>
  <c r="DI37" i="16"/>
  <c r="BL37" i="16"/>
  <c r="Y37" i="16"/>
  <c r="DD10" i="22"/>
  <c r="DD9" i="22"/>
  <c r="CR9" i="26"/>
  <c r="CR8" i="22"/>
  <c r="AJ9" i="26"/>
  <c r="AJ8" i="22"/>
  <c r="CQ9" i="26"/>
  <c r="CQ8" i="22"/>
  <c r="AI10" i="22"/>
  <c r="AI9" i="22"/>
  <c r="W9" i="22"/>
  <c r="W10" i="22"/>
  <c r="K9" i="26"/>
  <c r="K8" i="22"/>
  <c r="CC9" i="26"/>
  <c r="CC8" i="22"/>
  <c r="BE9" i="26"/>
  <c r="BE8" i="22"/>
  <c r="BK9" i="26"/>
  <c r="BK8" i="22"/>
  <c r="AY9" i="26"/>
  <c r="AY8" i="22"/>
  <c r="CT9" i="22"/>
  <c r="CT10" i="22"/>
  <c r="BX9" i="26"/>
  <c r="BX8" i="22"/>
  <c r="P9" i="26"/>
  <c r="P8" i="22"/>
  <c r="CZ10" i="22"/>
  <c r="CZ9" i="22"/>
  <c r="BB9" i="22"/>
  <c r="BB10" i="22"/>
  <c r="D41" i="19"/>
  <c r="BS9" i="26"/>
  <c r="BS8" i="22"/>
  <c r="DR9" i="26"/>
  <c r="DR8" i="22"/>
  <c r="BA9" i="22"/>
  <c r="BA10" i="22"/>
  <c r="F9" i="26"/>
  <c r="F8" i="22"/>
  <c r="E9" i="26"/>
  <c r="E8" i="22"/>
  <c r="BW9" i="26"/>
  <c r="BW8" i="22"/>
  <c r="CU10" i="22"/>
  <c r="CU9" i="22"/>
  <c r="G46" i="20"/>
  <c r="G45" i="20"/>
  <c r="G40" i="20"/>
  <c r="G44" i="20"/>
  <c r="G39" i="20"/>
  <c r="G43" i="20"/>
  <c r="G38" i="20"/>
  <c r="G33" i="20"/>
  <c r="G28" i="20"/>
  <c r="G23" i="20"/>
  <c r="G32" i="20"/>
  <c r="G27" i="20"/>
  <c r="G22" i="20"/>
  <c r="G42" i="20"/>
  <c r="G31" i="20"/>
  <c r="G26" i="20"/>
  <c r="G21" i="20"/>
  <c r="G16" i="20"/>
  <c r="G41" i="20"/>
  <c r="G35" i="20"/>
  <c r="G36" i="20"/>
  <c r="G25" i="20"/>
  <c r="G37" i="20"/>
  <c r="G24" i="20"/>
  <c r="G12" i="20"/>
  <c r="G13" i="20"/>
  <c r="G14" i="20"/>
  <c r="G11" i="20"/>
  <c r="G30" i="20"/>
  <c r="G17" i="20"/>
  <c r="G20" i="20"/>
  <c r="G15" i="20"/>
  <c r="G18" i="20"/>
  <c r="G9" i="20"/>
  <c r="J57" i="19"/>
  <c r="G65" i="19"/>
  <c r="G10" i="20"/>
  <c r="G66" i="19"/>
  <c r="G19" i="20"/>
  <c r="G29" i="20"/>
  <c r="G8" i="20"/>
  <c r="G34" i="20"/>
  <c r="G43" i="19"/>
  <c r="D48" i="20"/>
  <c r="BR37" i="16"/>
  <c r="DQ9" i="26"/>
  <c r="DQ8" i="22"/>
  <c r="DS9" i="26"/>
  <c r="C31" i="22"/>
  <c r="DS8" i="22"/>
  <c r="BO9" i="22"/>
  <c r="BO10" i="22"/>
  <c r="U9" i="26"/>
  <c r="U8" i="22"/>
  <c r="BT10" i="22"/>
  <c r="BT9" i="22"/>
  <c r="CA9" i="22"/>
  <c r="CA10" i="22"/>
  <c r="AO9" i="26"/>
  <c r="AO8" i="22"/>
  <c r="BD10" i="22"/>
  <c r="BD9" i="22"/>
  <c r="DL9" i="26"/>
  <c r="DL8" i="22"/>
  <c r="BN9" i="26"/>
  <c r="BN8" i="22"/>
  <c r="DK9" i="26"/>
  <c r="DK8" i="22"/>
  <c r="CP9" i="26"/>
  <c r="CP8" i="22"/>
  <c r="AR9" i="26"/>
  <c r="AR8" i="22"/>
  <c r="AA37" i="16"/>
  <c r="CJ37" i="16"/>
  <c r="AW37" i="16"/>
  <c r="K37" i="16"/>
  <c r="DG37" i="16"/>
  <c r="BT37" i="16"/>
  <c r="AG37" i="16"/>
  <c r="CF37" i="16"/>
  <c r="AS37" i="16"/>
  <c r="DH9" i="26"/>
  <c r="DH8" i="22"/>
  <c r="BM9" i="26"/>
  <c r="BM8" i="22"/>
  <c r="CK10" i="22"/>
  <c r="CK9" i="22"/>
  <c r="S10" i="22"/>
  <c r="S9" i="22"/>
  <c r="CR37" i="16"/>
  <c r="BH37" i="16"/>
  <c r="CH37" i="16"/>
  <c r="AK37" i="16"/>
  <c r="CT37" i="16"/>
  <c r="BG37" i="16"/>
  <c r="U37" i="16"/>
  <c r="DQ37" i="16"/>
  <c r="CD37" i="16"/>
  <c r="AQ37" i="16"/>
  <c r="CP37" i="16"/>
  <c r="BC37" i="16"/>
  <c r="CI9" i="26"/>
  <c r="CI8" i="22"/>
  <c r="AQ9" i="26"/>
  <c r="AQ8" i="22"/>
  <c r="CD10" i="22"/>
  <c r="CD9" i="22"/>
  <c r="AE9" i="26"/>
  <c r="AE8" i="22"/>
  <c r="CV9" i="26"/>
  <c r="CV8" i="22"/>
  <c r="F15" i="22"/>
  <c r="E16" i="22"/>
  <c r="D146" i="24" s="1"/>
  <c r="DB9" i="26"/>
  <c r="DB8" i="22"/>
  <c r="AT9" i="26"/>
  <c r="AT8" i="22"/>
  <c r="DA9" i="26"/>
  <c r="DA8" i="22"/>
  <c r="AS9" i="26"/>
  <c r="AS8" i="22"/>
  <c r="CF9" i="26"/>
  <c r="CF8" i="22"/>
  <c r="AH9" i="26"/>
  <c r="AH8" i="22"/>
  <c r="C12" i="21"/>
  <c r="F165" i="31" s="1"/>
  <c r="F171" i="31" s="1"/>
  <c r="AU37" i="16"/>
  <c r="H37" i="16"/>
  <c r="DD37" i="16"/>
  <c r="BQ37" i="16"/>
  <c r="AE37" i="16"/>
  <c r="CN37" i="16"/>
  <c r="BA37" i="16"/>
  <c r="D37" i="16"/>
  <c r="CZ37" i="16"/>
  <c r="BM37" i="16"/>
  <c r="D57" i="18"/>
  <c r="E57" i="18" s="1"/>
  <c r="D36" i="18"/>
  <c r="E36" i="18" s="1"/>
  <c r="D31" i="18"/>
  <c r="E31" i="18" s="1"/>
  <c r="D27" i="18"/>
  <c r="E27" i="18" s="1"/>
  <c r="D53" i="18"/>
  <c r="E53" i="18" s="1"/>
  <c r="D44" i="18"/>
  <c r="E44" i="18" s="1"/>
  <c r="D40" i="18"/>
  <c r="E40" i="18" s="1"/>
  <c r="D23" i="18"/>
  <c r="E23" i="18" s="1"/>
  <c r="D48" i="18"/>
  <c r="E48" i="18" s="1"/>
  <c r="D27" i="16"/>
  <c r="D67" i="19" s="1"/>
  <c r="AF9" i="26"/>
  <c r="AF8" i="22"/>
  <c r="CX9" i="26"/>
  <c r="CX8" i="22"/>
  <c r="M9" i="26"/>
  <c r="M8" i="22"/>
  <c r="CL9" i="26"/>
  <c r="CL8" i="22"/>
  <c r="H73" i="24"/>
  <c r="I9" i="22"/>
  <c r="H111" i="24" s="1"/>
  <c r="I10" i="22"/>
  <c r="H127" i="24" s="1"/>
  <c r="F19" i="16"/>
  <c r="F11" i="16"/>
  <c r="G8" i="16"/>
  <c r="F31" i="13"/>
  <c r="H31" i="13" s="1"/>
  <c r="F26" i="13"/>
  <c r="H26" i="13" s="1"/>
  <c r="F30" i="13"/>
  <c r="H30" i="13" s="1"/>
  <c r="F25" i="13"/>
  <c r="H25" i="13" s="1"/>
  <c r="F29" i="13"/>
  <c r="H29" i="13" s="1"/>
  <c r="F24" i="13"/>
  <c r="H24" i="13" s="1"/>
  <c r="F27" i="13"/>
  <c r="H27" i="13" s="1"/>
  <c r="AX37" i="16"/>
  <c r="F12" i="16"/>
  <c r="G9" i="16"/>
  <c r="C49" i="15"/>
  <c r="C91" i="15" s="1"/>
  <c r="BN37" i="16"/>
  <c r="BY37" i="16"/>
  <c r="AL37" i="16"/>
  <c r="CU37" i="16"/>
  <c r="BI37" i="16"/>
  <c r="V37" i="16"/>
  <c r="DR37" i="16"/>
  <c r="CE37" i="16"/>
  <c r="AH37" i="16"/>
  <c r="CQ37" i="16"/>
  <c r="C26" i="33" l="1"/>
  <c r="E33" i="33" s="1"/>
  <c r="D12" i="26"/>
  <c r="C45" i="33"/>
  <c r="E34" i="11" s="1"/>
  <c r="F34" i="11" s="1"/>
  <c r="H34" i="11" s="1"/>
  <c r="D169" i="31" s="1"/>
  <c r="G169" i="31" s="1"/>
  <c r="D22" i="19"/>
  <c r="D8" i="26"/>
  <c r="D44" i="19"/>
  <c r="L9" i="22"/>
  <c r="K111" i="24" s="1"/>
  <c r="L10" i="22"/>
  <c r="K127" i="24" s="1"/>
  <c r="E69" i="31"/>
  <c r="C125" i="31"/>
  <c r="BQ10" i="22"/>
  <c r="C61" i="31"/>
  <c r="AL10" i="22"/>
  <c r="CY9" i="22"/>
  <c r="AM9" i="22"/>
  <c r="BH10" i="22"/>
  <c r="DN10" i="22"/>
  <c r="DK8" i="17"/>
  <c r="DK12" i="17" s="1"/>
  <c r="C7" i="31"/>
  <c r="AA10" i="22"/>
  <c r="Y9" i="22"/>
  <c r="BY10" i="22"/>
  <c r="H48" i="14"/>
  <c r="E165" i="31" s="1"/>
  <c r="H38" i="13"/>
  <c r="H41" i="13" s="1"/>
  <c r="H42" i="13" s="1"/>
  <c r="H43" i="13" s="1"/>
  <c r="D68" i="31" s="1"/>
  <c r="BJ10" i="22"/>
  <c r="M73" i="24"/>
  <c r="H37" i="12"/>
  <c r="H28" i="11"/>
  <c r="D165" i="31" s="1"/>
  <c r="F24" i="5"/>
  <c r="G24" i="5" s="1"/>
  <c r="H24" i="5" s="1"/>
  <c r="Q9" i="22"/>
  <c r="CE9" i="22"/>
  <c r="V9" i="22"/>
  <c r="N9" i="22"/>
  <c r="M111" i="24" s="1"/>
  <c r="AU10" i="22"/>
  <c r="DM10" i="22"/>
  <c r="AB9" i="22"/>
  <c r="BZ9" i="22"/>
  <c r="DC9" i="22"/>
  <c r="C48" i="7"/>
  <c r="C49" i="7" s="1"/>
  <c r="C50" i="7" s="1"/>
  <c r="C51" i="7" s="1"/>
  <c r="AZ8" i="17"/>
  <c r="AZ12" i="17" s="1"/>
  <c r="AC9" i="22"/>
  <c r="BR9" i="22"/>
  <c r="BG10" i="22"/>
  <c r="BL8" i="17"/>
  <c r="BL12" i="17" s="1"/>
  <c r="Z8" i="17"/>
  <c r="Z12" i="17" s="1"/>
  <c r="DA8" i="17"/>
  <c r="DA12" i="17" s="1"/>
  <c r="AT8" i="17"/>
  <c r="AT12" i="17" s="1"/>
  <c r="CI8" i="17"/>
  <c r="CI12" i="17" s="1"/>
  <c r="CA8" i="17"/>
  <c r="CA12" i="17" s="1"/>
  <c r="AG10" i="22"/>
  <c r="AB8" i="17"/>
  <c r="AB12" i="17" s="1"/>
  <c r="CU8" i="17"/>
  <c r="CU12" i="17" s="1"/>
  <c r="CN8" i="17"/>
  <c r="CN12" i="17" s="1"/>
  <c r="BU9" i="22"/>
  <c r="X8" i="17"/>
  <c r="X12" i="17" s="1"/>
  <c r="AJ8" i="17"/>
  <c r="AJ12" i="17" s="1"/>
  <c r="R8" i="17"/>
  <c r="R12" i="17" s="1"/>
  <c r="CK8" i="17"/>
  <c r="CK12" i="17" s="1"/>
  <c r="BJ8" i="17"/>
  <c r="BJ12" i="17" s="1"/>
  <c r="AR8" i="17"/>
  <c r="AR12" i="17" s="1"/>
  <c r="E67" i="18"/>
  <c r="D14" i="16"/>
  <c r="D16" i="16" s="1"/>
  <c r="CH8" i="17"/>
  <c r="CH12" i="17" s="1"/>
  <c r="AV8" i="17"/>
  <c r="AV12" i="17" s="1"/>
  <c r="U8" i="17"/>
  <c r="U12" i="17" s="1"/>
  <c r="DH8" i="17"/>
  <c r="DH12" i="17" s="1"/>
  <c r="CP8" i="17"/>
  <c r="CP12" i="17" s="1"/>
  <c r="DF8" i="17"/>
  <c r="DF12" i="17" s="1"/>
  <c r="DL8" i="17"/>
  <c r="DL12" i="17" s="1"/>
  <c r="BF8" i="17"/>
  <c r="BF12" i="17" s="1"/>
  <c r="AO8" i="17"/>
  <c r="AO12" i="17" s="1"/>
  <c r="W8" i="17"/>
  <c r="W12" i="17" s="1"/>
  <c r="CZ8" i="17"/>
  <c r="CZ12" i="17" s="1"/>
  <c r="DP8" i="17"/>
  <c r="DP12" i="17" s="1"/>
  <c r="G8" i="17"/>
  <c r="G12" i="17" s="1"/>
  <c r="BP8" i="17"/>
  <c r="BP12" i="17" s="1"/>
  <c r="BI8" i="17"/>
  <c r="BI12" i="17" s="1"/>
  <c r="BA8" i="17"/>
  <c r="BA12" i="17" s="1"/>
  <c r="DJ8" i="17"/>
  <c r="DJ12" i="17" s="1"/>
  <c r="AD8" i="17"/>
  <c r="AD12" i="17" s="1"/>
  <c r="Q8" i="17"/>
  <c r="Q12" i="17" s="1"/>
  <c r="DN8" i="17"/>
  <c r="DN12" i="17" s="1"/>
  <c r="CC8" i="17"/>
  <c r="CC12" i="17" s="1"/>
  <c r="BU8" i="17"/>
  <c r="BU12" i="17" s="1"/>
  <c r="Y8" i="17"/>
  <c r="Y12" i="17" s="1"/>
  <c r="AN8" i="17"/>
  <c r="AN12" i="17" s="1"/>
  <c r="AA8" i="17"/>
  <c r="AA12" i="17" s="1"/>
  <c r="I8" i="17"/>
  <c r="I12" i="17" s="1"/>
  <c r="DG8" i="17"/>
  <c r="DG12" i="17" s="1"/>
  <c r="CE8" i="17"/>
  <c r="CE12" i="17" s="1"/>
  <c r="AI8" i="17"/>
  <c r="AI12" i="17" s="1"/>
  <c r="CB8" i="17"/>
  <c r="CB12" i="17" s="1"/>
  <c r="AU8" i="17"/>
  <c r="AU12" i="17" s="1"/>
  <c r="AC8" i="17"/>
  <c r="AC12" i="17" s="1"/>
  <c r="L8" i="17"/>
  <c r="L12" i="17" s="1"/>
  <c r="CO8" i="17"/>
  <c r="CO12" i="17" s="1"/>
  <c r="CG8" i="17"/>
  <c r="CG12" i="17" s="1"/>
  <c r="F8" i="17"/>
  <c r="F12" i="17" s="1"/>
  <c r="BO8" i="17"/>
  <c r="BO12" i="17" s="1"/>
  <c r="BG8" i="17"/>
  <c r="BG12" i="17" s="1"/>
  <c r="AP8" i="17"/>
  <c r="AP12" i="17" s="1"/>
  <c r="CY8" i="17"/>
  <c r="CY12" i="17" s="1"/>
  <c r="CQ8" i="17"/>
  <c r="CQ12" i="17" s="1"/>
  <c r="E14" i="16"/>
  <c r="E16" i="16" s="1"/>
  <c r="T8" i="17"/>
  <c r="T12" i="17" s="1"/>
  <c r="BD8" i="17"/>
  <c r="BD12" i="17" s="1"/>
  <c r="DM8" i="17"/>
  <c r="DM12" i="17" s="1"/>
  <c r="AW8" i="17"/>
  <c r="AW12" i="17" s="1"/>
  <c r="CM8" i="17"/>
  <c r="CM12" i="17" s="1"/>
  <c r="AG8" i="17"/>
  <c r="AG12" i="17" s="1"/>
  <c r="BV8" i="17"/>
  <c r="BV12" i="17" s="1"/>
  <c r="E65" i="18"/>
  <c r="P8" i="17"/>
  <c r="P12" i="17" s="1"/>
  <c r="AK8" i="17"/>
  <c r="AK12" i="17" s="1"/>
  <c r="BZ8" i="17"/>
  <c r="BZ12" i="17" s="1"/>
  <c r="AE8" i="17"/>
  <c r="AE12" i="17" s="1"/>
  <c r="BT8" i="17"/>
  <c r="BT12" i="17" s="1"/>
  <c r="DS8" i="17"/>
  <c r="DS12" i="17" s="1"/>
  <c r="BC8" i="17"/>
  <c r="BC12" i="17" s="1"/>
  <c r="D48" i="7"/>
  <c r="D49" i="7" s="1"/>
  <c r="D50" i="7" s="1"/>
  <c r="D51" i="7" s="1"/>
  <c r="E49" i="7"/>
  <c r="E50" i="7" s="1"/>
  <c r="E51" i="7" s="1"/>
  <c r="BH8" i="17"/>
  <c r="BH12" i="17" s="1"/>
  <c r="CR8" i="17"/>
  <c r="CR12" i="17" s="1"/>
  <c r="H8" i="17"/>
  <c r="H12" i="17" s="1"/>
  <c r="AM8" i="17"/>
  <c r="AM12" i="17" s="1"/>
  <c r="BS8" i="17"/>
  <c r="BS12" i="17" s="1"/>
  <c r="CX8" i="17"/>
  <c r="CX12" i="17" s="1"/>
  <c r="N8" i="17"/>
  <c r="N12" i="17" s="1"/>
  <c r="AS8" i="17"/>
  <c r="AS12" i="17" s="1"/>
  <c r="AX8" i="17"/>
  <c r="AX12" i="17" s="1"/>
  <c r="BN8" i="17"/>
  <c r="BN12" i="17" s="1"/>
  <c r="BY8" i="17"/>
  <c r="BY12" i="17" s="1"/>
  <c r="CT8" i="17"/>
  <c r="CT12" i="17" s="1"/>
  <c r="K8" i="17"/>
  <c r="K12" i="17" s="1"/>
  <c r="V8" i="17"/>
  <c r="V12" i="17" s="1"/>
  <c r="AQ8" i="17"/>
  <c r="AQ12" i="17" s="1"/>
  <c r="BB8" i="17"/>
  <c r="BB12" i="17" s="1"/>
  <c r="BW8" i="17"/>
  <c r="BW12" i="17" s="1"/>
  <c r="E48" i="4"/>
  <c r="E63" i="4" s="1"/>
  <c r="G63" i="4" s="1"/>
  <c r="E49" i="4"/>
  <c r="E64" i="4" s="1"/>
  <c r="I19" i="5" s="1"/>
  <c r="J19" i="5" s="1"/>
  <c r="F22" i="24" s="1"/>
  <c r="E45" i="4"/>
  <c r="E55" i="4" s="1"/>
  <c r="E46" i="4"/>
  <c r="E199" i="30"/>
  <c r="F199" i="30" s="1"/>
  <c r="F205" i="30" s="1"/>
  <c r="E172" i="30"/>
  <c r="F172" i="30" s="1"/>
  <c r="F180" i="30" s="1"/>
  <c r="E186" i="30"/>
  <c r="F186" i="30" s="1"/>
  <c r="F193" i="30" s="1"/>
  <c r="E238" i="30"/>
  <c r="F238" i="30" s="1"/>
  <c r="E158" i="30"/>
  <c r="F158" i="30" s="1"/>
  <c r="F165" i="30" s="1"/>
  <c r="AV9" i="22"/>
  <c r="AV10" i="22"/>
  <c r="E212" i="30"/>
  <c r="F212" i="30" s="1"/>
  <c r="F219" i="30" s="1"/>
  <c r="E133" i="30"/>
  <c r="F133" i="30" s="1"/>
  <c r="F141" i="30" s="1"/>
  <c r="E147" i="30"/>
  <c r="F147" i="30" s="1"/>
  <c r="F152" i="30" s="1"/>
  <c r="E237" i="30"/>
  <c r="F237" i="30" s="1"/>
  <c r="E106" i="30"/>
  <c r="F106" i="30" s="1"/>
  <c r="F114" i="30" s="1"/>
  <c r="E120" i="30"/>
  <c r="F120" i="30" s="1"/>
  <c r="F127" i="30" s="1"/>
  <c r="E92" i="30"/>
  <c r="F92" i="30" s="1"/>
  <c r="F99" i="30" s="1"/>
  <c r="J8" i="17"/>
  <c r="J12" i="17" s="1"/>
  <c r="CL8" i="17"/>
  <c r="CL12" i="17" s="1"/>
  <c r="DB8" i="17"/>
  <c r="DB12" i="17" s="1"/>
  <c r="CS8" i="17"/>
  <c r="CS12" i="17" s="1"/>
  <c r="DD8" i="17"/>
  <c r="DD12" i="17" s="1"/>
  <c r="DE8" i="17"/>
  <c r="DE12" i="17" s="1"/>
  <c r="DQ8" i="17"/>
  <c r="DQ12" i="17" s="1"/>
  <c r="DR8" i="17"/>
  <c r="DR12" i="17" s="1"/>
  <c r="D8" i="17"/>
  <c r="D12" i="17" s="1"/>
  <c r="E8" i="17"/>
  <c r="E12" i="17" s="1"/>
  <c r="E66" i="18"/>
  <c r="DC8" i="17"/>
  <c r="DC12" i="17" s="1"/>
  <c r="CJ8" i="17"/>
  <c r="CJ12" i="17" s="1"/>
  <c r="BQ8" i="17"/>
  <c r="BQ12" i="17" s="1"/>
  <c r="AY8" i="17"/>
  <c r="AY12" i="17" s="1"/>
  <c r="AF8" i="17"/>
  <c r="AF12" i="17" s="1"/>
  <c r="M8" i="17"/>
  <c r="M12" i="17" s="1"/>
  <c r="DI8" i="17"/>
  <c r="DI12" i="17" s="1"/>
  <c r="CF8" i="17"/>
  <c r="CF12" i="17" s="1"/>
  <c r="BM8" i="17"/>
  <c r="BM12" i="17" s="1"/>
  <c r="CV8" i="17"/>
  <c r="CV12" i="17" s="1"/>
  <c r="BR8" i="17"/>
  <c r="BR12" i="17" s="1"/>
  <c r="BX8" i="17"/>
  <c r="BX12" i="17" s="1"/>
  <c r="BE8" i="17"/>
  <c r="BE12" i="17" s="1"/>
  <c r="AL8" i="17"/>
  <c r="AL12" i="17" s="1"/>
  <c r="S8" i="17"/>
  <c r="S12" i="17" s="1"/>
  <c r="DO8" i="17"/>
  <c r="DO12" i="17" s="1"/>
  <c r="CW8" i="17"/>
  <c r="CW12" i="17" s="1"/>
  <c r="CD8" i="17"/>
  <c r="CD12" i="17" s="1"/>
  <c r="BK8" i="17"/>
  <c r="BK12" i="17" s="1"/>
  <c r="AH8" i="17"/>
  <c r="AH12" i="17" s="1"/>
  <c r="O8" i="17"/>
  <c r="O12" i="17" s="1"/>
  <c r="DE10" i="22"/>
  <c r="DE9" i="22"/>
  <c r="DO10" i="22"/>
  <c r="DO9" i="22"/>
  <c r="R10" i="22"/>
  <c r="R9" i="22"/>
  <c r="BP10" i="22"/>
  <c r="BP9" i="22"/>
  <c r="K20" i="5"/>
  <c r="G23" i="24" s="1"/>
  <c r="H20" i="5"/>
  <c r="DK10" i="22"/>
  <c r="DK9" i="22"/>
  <c r="BW10" i="22"/>
  <c r="BW9" i="22"/>
  <c r="W73" i="24"/>
  <c r="DH10" i="22"/>
  <c r="DH9" i="22"/>
  <c r="DS9" i="22"/>
  <c r="DS10" i="22"/>
  <c r="D73" i="24"/>
  <c r="E10" i="22"/>
  <c r="D127" i="24" s="1"/>
  <c r="E9" i="22"/>
  <c r="D111" i="24" s="1"/>
  <c r="BE10" i="22"/>
  <c r="BE9" i="22"/>
  <c r="K21" i="5"/>
  <c r="G24" i="24" s="1"/>
  <c r="H21" i="5"/>
  <c r="AE10" i="22"/>
  <c r="AE9" i="22"/>
  <c r="P73" i="24"/>
  <c r="CI9" i="22"/>
  <c r="CI10" i="22"/>
  <c r="BM10" i="22"/>
  <c r="BM9" i="22"/>
  <c r="BN10" i="22"/>
  <c r="BN9" i="22"/>
  <c r="DB10" i="22"/>
  <c r="DB9" i="22"/>
  <c r="AO10" i="22"/>
  <c r="AO9" i="22"/>
  <c r="CX10" i="22"/>
  <c r="CX9" i="22"/>
  <c r="AS9" i="22"/>
  <c r="AS10" i="22"/>
  <c r="AQ10" i="22"/>
  <c r="AQ9" i="22"/>
  <c r="DL10" i="22"/>
  <c r="DL9" i="22"/>
  <c r="DQ10" i="22"/>
  <c r="DQ9" i="22"/>
  <c r="T73" i="24"/>
  <c r="BX10" i="22"/>
  <c r="BX9" i="22"/>
  <c r="G19" i="16"/>
  <c r="G11" i="16"/>
  <c r="H8" i="16"/>
  <c r="AR10" i="22"/>
  <c r="AR9" i="22"/>
  <c r="C26" i="22"/>
  <c r="Y14" i="22"/>
  <c r="G12" i="16"/>
  <c r="H9" i="16"/>
  <c r="F16" i="22"/>
  <c r="E146" i="24" s="1"/>
  <c r="G15" i="22"/>
  <c r="AF10" i="22"/>
  <c r="AF9" i="22"/>
  <c r="DA10" i="22"/>
  <c r="DA9" i="22"/>
  <c r="U10" i="22"/>
  <c r="U9" i="22"/>
  <c r="G59" i="19"/>
  <c r="CL10" i="22"/>
  <c r="CL9" i="22"/>
  <c r="U73" i="24"/>
  <c r="V73" i="24"/>
  <c r="CV10" i="22"/>
  <c r="CV9" i="22"/>
  <c r="CP9" i="22"/>
  <c r="CP10" i="22"/>
  <c r="AH10" i="22"/>
  <c r="AH9" i="22"/>
  <c r="L73" i="24"/>
  <c r="M9" i="22"/>
  <c r="L111" i="24" s="1"/>
  <c r="M10" i="22"/>
  <c r="L127" i="24" s="1"/>
  <c r="CF9" i="22"/>
  <c r="CF10" i="22"/>
  <c r="H18" i="5"/>
  <c r="F14" i="16"/>
  <c r="AT10" i="22"/>
  <c r="AT9" i="22"/>
  <c r="CC10" i="22"/>
  <c r="CC9" i="22"/>
  <c r="CQ9" i="22"/>
  <c r="CQ10" i="22"/>
  <c r="CW10" i="22"/>
  <c r="CW9" i="22"/>
  <c r="AP10" i="22"/>
  <c r="AP9" i="22"/>
  <c r="E73" i="24"/>
  <c r="F10" i="22"/>
  <c r="E127" i="24" s="1"/>
  <c r="F9" i="22"/>
  <c r="E111" i="24" s="1"/>
  <c r="AY10" i="22"/>
  <c r="AY9" i="22"/>
  <c r="CM10" i="22"/>
  <c r="CM9" i="22"/>
  <c r="CG9" i="22"/>
  <c r="CG10" i="22"/>
  <c r="DR10" i="22"/>
  <c r="DR9" i="22"/>
  <c r="J73" i="24"/>
  <c r="K10" i="22"/>
  <c r="J127" i="24" s="1"/>
  <c r="K9" i="22"/>
  <c r="J111" i="24" s="1"/>
  <c r="AJ10" i="22"/>
  <c r="AJ9" i="22"/>
  <c r="DP10" i="22"/>
  <c r="DP9" i="22"/>
  <c r="DG10" i="22"/>
  <c r="DG9" i="22"/>
  <c r="S73" i="24"/>
  <c r="BL10" i="22"/>
  <c r="BL9" i="22"/>
  <c r="Z10" i="22"/>
  <c r="Z9" i="22"/>
  <c r="BS10" i="22"/>
  <c r="BS9" i="22"/>
  <c r="CR10" i="22"/>
  <c r="CR9" i="22"/>
  <c r="Q73" i="24"/>
  <c r="AN9" i="22"/>
  <c r="AN10" i="22"/>
  <c r="DI9" i="22"/>
  <c r="DI10" i="22"/>
  <c r="O73" i="24"/>
  <c r="P10" i="22"/>
  <c r="P9" i="22"/>
  <c r="CH10" i="22"/>
  <c r="CH9" i="22"/>
  <c r="X9" i="22"/>
  <c r="X10" i="22"/>
  <c r="BK10" i="22"/>
  <c r="BK9" i="22"/>
  <c r="DJ9" i="22"/>
  <c r="DJ10" i="22"/>
  <c r="BC9" i="22"/>
  <c r="BC10" i="22"/>
  <c r="BV9" i="22"/>
  <c r="BV10" i="22"/>
  <c r="G62" i="4"/>
  <c r="F62" i="4"/>
  <c r="I17" i="5"/>
  <c r="J17" i="5" s="1"/>
  <c r="F20" i="24" s="1"/>
  <c r="CN10" i="22"/>
  <c r="CN9" i="22"/>
  <c r="AX9" i="22"/>
  <c r="AX10" i="22"/>
  <c r="N73" i="24"/>
  <c r="O9" i="22"/>
  <c r="N111" i="24" s="1"/>
  <c r="O10" i="22"/>
  <c r="N127" i="24" s="1"/>
  <c r="R73" i="24"/>
  <c r="BI10" i="22"/>
  <c r="BI9" i="22"/>
  <c r="C73" i="24"/>
  <c r="D10" i="22"/>
  <c r="C127" i="24" s="1"/>
  <c r="D9" i="22"/>
  <c r="C111" i="24" s="1"/>
  <c r="H40" i="12" l="1"/>
  <c r="H41" i="12" s="1"/>
  <c r="C165" i="31"/>
  <c r="D33" i="33"/>
  <c r="C33" i="33"/>
  <c r="F33" i="33"/>
  <c r="C34" i="33" s="1"/>
  <c r="H35" i="11"/>
  <c r="H36" i="11" s="1"/>
  <c r="CW7" i="26"/>
  <c r="DI7" i="26"/>
  <c r="DR7" i="26"/>
  <c r="K7" i="26"/>
  <c r="H7" i="26"/>
  <c r="AK7" i="26"/>
  <c r="E6" i="26"/>
  <c r="AC7" i="26"/>
  <c r="BU7" i="26"/>
  <c r="DP7" i="26"/>
  <c r="AV7" i="26"/>
  <c r="BL7" i="26"/>
  <c r="DO7" i="26"/>
  <c r="M7" i="26"/>
  <c r="DQ7" i="26"/>
  <c r="CT7" i="26"/>
  <c r="CR7" i="26"/>
  <c r="P7" i="26"/>
  <c r="CQ7" i="26"/>
  <c r="AU7" i="26"/>
  <c r="CC7" i="26"/>
  <c r="CZ7" i="26"/>
  <c r="CH7" i="26"/>
  <c r="CN7" i="26"/>
  <c r="S7" i="26"/>
  <c r="AF7" i="26"/>
  <c r="DE7" i="26"/>
  <c r="BY7" i="26"/>
  <c r="BH7" i="26"/>
  <c r="CY7" i="26"/>
  <c r="CB7" i="26"/>
  <c r="DN7" i="26"/>
  <c r="W7" i="26"/>
  <c r="D6" i="26"/>
  <c r="D21" i="16"/>
  <c r="CU7" i="26"/>
  <c r="AL7" i="26"/>
  <c r="AY7" i="26"/>
  <c r="DD7" i="26"/>
  <c r="BN7" i="26"/>
  <c r="BV7" i="26"/>
  <c r="AP7" i="26"/>
  <c r="AI7" i="26"/>
  <c r="Q7" i="26"/>
  <c r="AO7" i="26"/>
  <c r="AB7" i="26"/>
  <c r="BE7" i="26"/>
  <c r="BQ7" i="26"/>
  <c r="CS7" i="26"/>
  <c r="AX7" i="26"/>
  <c r="AG7" i="26"/>
  <c r="BG7" i="26"/>
  <c r="CE7" i="26"/>
  <c r="AD7" i="26"/>
  <c r="BF7" i="26"/>
  <c r="AR7" i="26"/>
  <c r="AZ7" i="26"/>
  <c r="BX7" i="26"/>
  <c r="CJ7" i="26"/>
  <c r="DB7" i="26"/>
  <c r="AS7" i="26"/>
  <c r="BC7" i="26"/>
  <c r="CM7" i="26"/>
  <c r="BO7" i="26"/>
  <c r="DG7" i="26"/>
  <c r="DJ7" i="26"/>
  <c r="DL7" i="26"/>
  <c r="BJ7" i="26"/>
  <c r="CA7" i="26"/>
  <c r="O7" i="26"/>
  <c r="BR7" i="26"/>
  <c r="DC7" i="26"/>
  <c r="CL7" i="26"/>
  <c r="BW7" i="26"/>
  <c r="N7" i="26"/>
  <c r="DS7" i="26"/>
  <c r="AW7" i="26"/>
  <c r="F7" i="26"/>
  <c r="I7" i="26"/>
  <c r="BA7" i="26"/>
  <c r="DF7" i="26"/>
  <c r="CK7" i="26"/>
  <c r="CI7" i="26"/>
  <c r="DK7" i="26"/>
  <c r="AH7" i="26"/>
  <c r="CV7" i="26"/>
  <c r="J7" i="26"/>
  <c r="BB7" i="26"/>
  <c r="CX7" i="26"/>
  <c r="BT7" i="26"/>
  <c r="DM7" i="26"/>
  <c r="CG7" i="26"/>
  <c r="AA7" i="26"/>
  <c r="BI7" i="26"/>
  <c r="CP7" i="26"/>
  <c r="R7" i="26"/>
  <c r="AT7" i="26"/>
  <c r="BK7" i="26"/>
  <c r="BM7" i="26"/>
  <c r="E7" i="26"/>
  <c r="AQ7" i="26"/>
  <c r="BS7" i="26"/>
  <c r="AE7" i="26"/>
  <c r="BD7" i="26"/>
  <c r="CO7" i="26"/>
  <c r="AN7" i="26"/>
  <c r="BP7" i="26"/>
  <c r="DH7" i="26"/>
  <c r="AJ7" i="26"/>
  <c r="DA7" i="26"/>
  <c r="CD7" i="26"/>
  <c r="CF7" i="26"/>
  <c r="D7" i="26"/>
  <c r="D16" i="17"/>
  <c r="V7" i="26"/>
  <c r="AM7" i="26"/>
  <c r="BZ7" i="26"/>
  <c r="T7" i="26"/>
  <c r="L7" i="26"/>
  <c r="Y7" i="26"/>
  <c r="G7" i="26"/>
  <c r="U7" i="26"/>
  <c r="X7" i="26"/>
  <c r="Z7" i="26"/>
  <c r="E54" i="4"/>
  <c r="G54" i="4" s="1"/>
  <c r="E56" i="4"/>
  <c r="I11" i="5" s="1"/>
  <c r="J11" i="5" s="1"/>
  <c r="F14" i="24" s="1"/>
  <c r="I18" i="5"/>
  <c r="J18" i="5" s="1"/>
  <c r="F21" i="24" s="1"/>
  <c r="E53" i="4"/>
  <c r="G53" i="4" s="1"/>
  <c r="F63" i="4"/>
  <c r="F64" i="4"/>
  <c r="G64" i="4"/>
  <c r="E57" i="4"/>
  <c r="I12" i="5" s="1"/>
  <c r="J12" i="5" s="1"/>
  <c r="F15" i="24" s="1"/>
  <c r="E61" i="4"/>
  <c r="F61" i="4" s="1"/>
  <c r="E60" i="4"/>
  <c r="G60" i="4" s="1"/>
  <c r="E59" i="4"/>
  <c r="I14" i="5" s="1"/>
  <c r="J14" i="5" s="1"/>
  <c r="F17" i="24" s="1"/>
  <c r="E58" i="4"/>
  <c r="F58" i="4" s="1"/>
  <c r="P127" i="24"/>
  <c r="F153" i="30"/>
  <c r="F154" i="30" s="1"/>
  <c r="C52" i="30" s="1"/>
  <c r="F12" i="5" s="1"/>
  <c r="G12" i="5" s="1"/>
  <c r="H12" i="5" s="1"/>
  <c r="F142" i="30"/>
  <c r="F143" i="30" s="1"/>
  <c r="C51" i="30" s="1"/>
  <c r="F11" i="5" s="1"/>
  <c r="G11" i="5" s="1"/>
  <c r="H11" i="5" s="1"/>
  <c r="F220" i="30"/>
  <c r="F221" i="30" s="1"/>
  <c r="C57" i="30" s="1"/>
  <c r="F17" i="5" s="1"/>
  <c r="G17" i="5" s="1"/>
  <c r="K17" i="5" s="1"/>
  <c r="G20" i="24" s="1"/>
  <c r="D32" i="24" s="1"/>
  <c r="F166" i="30"/>
  <c r="F167" i="30" s="1"/>
  <c r="C53" i="30" s="1"/>
  <c r="F13" i="5" s="1"/>
  <c r="G13" i="5" s="1"/>
  <c r="F100" i="30"/>
  <c r="F101" i="30" s="1"/>
  <c r="C48" i="30" s="1"/>
  <c r="F8" i="5" s="1"/>
  <c r="G8" i="5" s="1"/>
  <c r="H8" i="5" s="1"/>
  <c r="F128" i="30"/>
  <c r="F129" i="30" s="1"/>
  <c r="C50" i="30" s="1"/>
  <c r="F10" i="5" s="1"/>
  <c r="G10" i="5" s="1"/>
  <c r="H10" i="5" s="1"/>
  <c r="F194" i="30"/>
  <c r="F195" i="30" s="1"/>
  <c r="C55" i="30" s="1"/>
  <c r="F15" i="5" s="1"/>
  <c r="G15" i="5" s="1"/>
  <c r="F115" i="30"/>
  <c r="F116" i="30" s="1"/>
  <c r="C49" i="30" s="1"/>
  <c r="F9" i="5" s="1"/>
  <c r="G9" i="5" s="1"/>
  <c r="H9" i="5" s="1"/>
  <c r="F181" i="30"/>
  <c r="F182" i="30" s="1"/>
  <c r="C54" i="30" s="1"/>
  <c r="F14" i="5" s="1"/>
  <c r="G14" i="5" s="1"/>
  <c r="F247" i="30"/>
  <c r="F206" i="30"/>
  <c r="F207" i="30" s="1"/>
  <c r="C56" i="30" s="1"/>
  <c r="F16" i="5" s="1"/>
  <c r="G16" i="5" s="1"/>
  <c r="O111" i="24"/>
  <c r="U127" i="24"/>
  <c r="R111" i="24"/>
  <c r="R127" i="24"/>
  <c r="O127" i="24"/>
  <c r="S111" i="24"/>
  <c r="D35" i="24"/>
  <c r="U111" i="24"/>
  <c r="P111" i="24"/>
  <c r="V127" i="24"/>
  <c r="T127" i="24"/>
  <c r="W111" i="24"/>
  <c r="G16" i="22"/>
  <c r="F146" i="24" s="1"/>
  <c r="H15" i="22"/>
  <c r="W127" i="24"/>
  <c r="I9" i="16"/>
  <c r="H12" i="16"/>
  <c r="C36" i="18"/>
  <c r="F36" i="18" s="1"/>
  <c r="C31" i="18"/>
  <c r="F31" i="18" s="1"/>
  <c r="C27" i="18"/>
  <c r="F27" i="18" s="1"/>
  <c r="C48" i="18"/>
  <c r="F48" i="18" s="1"/>
  <c r="C23" i="18"/>
  <c r="F23" i="18" s="1"/>
  <c r="C57" i="18"/>
  <c r="F57" i="18" s="1"/>
  <c r="C53" i="18"/>
  <c r="F53" i="18" s="1"/>
  <c r="C40" i="18"/>
  <c r="F40" i="18" s="1"/>
  <c r="C44" i="18"/>
  <c r="F44" i="18" s="1"/>
  <c r="I10" i="5"/>
  <c r="J10" i="5" s="1"/>
  <c r="F13" i="24" s="1"/>
  <c r="G55" i="4"/>
  <c r="F55" i="4"/>
  <c r="S127" i="24"/>
  <c r="Q127" i="24"/>
  <c r="H19" i="16"/>
  <c r="H11" i="16"/>
  <c r="I8" i="16"/>
  <c r="Q111" i="24"/>
  <c r="H49" i="14"/>
  <c r="H53" i="14" s="1"/>
  <c r="F16" i="16"/>
  <c r="V111" i="24"/>
  <c r="G14" i="16"/>
  <c r="T111" i="24"/>
  <c r="G165" i="31" l="1"/>
  <c r="H37" i="11"/>
  <c r="D25" i="16" s="1"/>
  <c r="D170" i="31"/>
  <c r="D171" i="31" s="1"/>
  <c r="H42" i="12"/>
  <c r="C68" i="31" s="1"/>
  <c r="C128" i="31" s="1"/>
  <c r="C170" i="31"/>
  <c r="C171" i="31" s="1"/>
  <c r="D18" i="26" a="1"/>
  <c r="D18" i="26" s="1"/>
  <c r="D10" i="26"/>
  <c r="D11" i="26" s="1"/>
  <c r="D17" i="23" s="1"/>
  <c r="C128" i="24"/>
  <c r="D17" i="26"/>
  <c r="F6" i="26"/>
  <c r="I9" i="5"/>
  <c r="J9" i="5" s="1"/>
  <c r="F12" i="24" s="1"/>
  <c r="F54" i="4"/>
  <c r="F53" i="4"/>
  <c r="I8" i="5"/>
  <c r="J8" i="5" s="1"/>
  <c r="G56" i="4"/>
  <c r="F56" i="4"/>
  <c r="K18" i="5"/>
  <c r="G21" i="24" s="1"/>
  <c r="D33" i="24" s="1"/>
  <c r="F59" i="4"/>
  <c r="G59" i="4"/>
  <c r="I16" i="5"/>
  <c r="J16" i="5" s="1"/>
  <c r="F19" i="24" s="1"/>
  <c r="G61" i="4"/>
  <c r="I15" i="5"/>
  <c r="J15" i="5" s="1"/>
  <c r="F18" i="24" s="1"/>
  <c r="F57" i="4"/>
  <c r="G57" i="4"/>
  <c r="G58" i="4"/>
  <c r="I13" i="5"/>
  <c r="J13" i="5" s="1"/>
  <c r="F16" i="24" s="1"/>
  <c r="E71" i="4"/>
  <c r="E67" i="4" s="1"/>
  <c r="F60" i="4"/>
  <c r="H17" i="5"/>
  <c r="F248" i="30"/>
  <c r="F249" i="30" s="1"/>
  <c r="C59" i="30" s="1"/>
  <c r="F19" i="5" s="1"/>
  <c r="G19" i="5" s="1"/>
  <c r="K19" i="5" s="1"/>
  <c r="G22" i="24" s="1"/>
  <c r="D34" i="24" s="1"/>
  <c r="K10" i="5"/>
  <c r="G13" i="24" s="1"/>
  <c r="H16" i="5"/>
  <c r="H13" i="5"/>
  <c r="H54" i="14"/>
  <c r="H14" i="16"/>
  <c r="K12" i="5"/>
  <c r="G15" i="24" s="1"/>
  <c r="H15" i="5"/>
  <c r="H16" i="22"/>
  <c r="G146" i="24" s="1"/>
  <c r="I15" i="22"/>
  <c r="K14" i="5"/>
  <c r="G17" i="24" s="1"/>
  <c r="H14" i="5"/>
  <c r="G16" i="16"/>
  <c r="I12" i="16"/>
  <c r="J9" i="16"/>
  <c r="K11" i="5"/>
  <c r="G14" i="24" s="1"/>
  <c r="I19" i="16"/>
  <c r="I11" i="16"/>
  <c r="J8" i="16"/>
  <c r="C29" i="18" l="1"/>
  <c r="F29" i="18" s="1"/>
  <c r="J26" i="16"/>
  <c r="CS26" i="16"/>
  <c r="AW26" i="16"/>
  <c r="AA26" i="16"/>
  <c r="CL26" i="16"/>
  <c r="CB26" i="16"/>
  <c r="BF26" i="16"/>
  <c r="BC26" i="16"/>
  <c r="CM26" i="16"/>
  <c r="DE26" i="16"/>
  <c r="BJ26" i="16"/>
  <c r="AM26" i="16"/>
  <c r="DL26" i="16"/>
  <c r="DB26" i="16"/>
  <c r="BR26" i="16"/>
  <c r="CQ26" i="16"/>
  <c r="C33" i="18"/>
  <c r="F33" i="18" s="1"/>
  <c r="BV26" i="16"/>
  <c r="AZ26" i="16"/>
  <c r="BB26" i="16"/>
  <c r="DN26" i="16"/>
  <c r="CE26" i="16"/>
  <c r="DA26" i="16"/>
  <c r="C43" i="18"/>
  <c r="F43" i="18" s="1"/>
  <c r="C32" i="18"/>
  <c r="F32" i="18" s="1"/>
  <c r="AJ26" i="16"/>
  <c r="CX26" i="16"/>
  <c r="AR26" i="16"/>
  <c r="C42" i="18"/>
  <c r="F42" i="18" s="1"/>
  <c r="BH26" i="16"/>
  <c r="AX26" i="16"/>
  <c r="DJ26" i="16"/>
  <c r="E26" i="16"/>
  <c r="AL26" i="16"/>
  <c r="CA26" i="16"/>
  <c r="DP26" i="16"/>
  <c r="K26" i="16"/>
  <c r="V26" i="16"/>
  <c r="L26" i="16"/>
  <c r="BX26" i="16"/>
  <c r="BA26" i="16"/>
  <c r="DM26" i="16"/>
  <c r="DC26" i="16"/>
  <c r="O26" i="16"/>
  <c r="AO26" i="16"/>
  <c r="W26" i="16"/>
  <c r="CI26" i="16"/>
  <c r="CK26" i="16"/>
  <c r="BO26" i="16"/>
  <c r="G26" i="16"/>
  <c r="CR26" i="16"/>
  <c r="C35" i="18"/>
  <c r="F35" i="18" s="1"/>
  <c r="CN26" i="16"/>
  <c r="C50" i="18"/>
  <c r="F50" i="18" s="1"/>
  <c r="C56" i="18"/>
  <c r="F56" i="18" s="1"/>
  <c r="BE26" i="16"/>
  <c r="C25" i="18"/>
  <c r="F25" i="18" s="1"/>
  <c r="I26" i="16"/>
  <c r="DF26" i="16"/>
  <c r="BK26" i="16"/>
  <c r="AN26" i="16"/>
  <c r="CZ26" i="16"/>
  <c r="BQ26" i="16"/>
  <c r="C59" i="18"/>
  <c r="F59" i="18" s="1"/>
  <c r="AU26" i="16"/>
  <c r="X26" i="16"/>
  <c r="CJ26" i="16"/>
  <c r="BN26" i="16"/>
  <c r="F26" i="16"/>
  <c r="DO26" i="16"/>
  <c r="Y26" i="16"/>
  <c r="BS26" i="16"/>
  <c r="BG26" i="16"/>
  <c r="AK26" i="16"/>
  <c r="CV26" i="16"/>
  <c r="BZ26" i="16"/>
  <c r="BP26" i="16"/>
  <c r="H26" i="16"/>
  <c r="AS26" i="16"/>
  <c r="CC26" i="16"/>
  <c r="AV26" i="16"/>
  <c r="M26" i="16"/>
  <c r="BY26" i="16"/>
  <c r="AP26" i="16"/>
  <c r="CO26" i="16"/>
  <c r="AT26" i="16"/>
  <c r="AI26" i="16"/>
  <c r="BI26" i="16"/>
  <c r="C41" i="18"/>
  <c r="F41" i="18" s="1"/>
  <c r="C28" i="18"/>
  <c r="F28" i="18" s="1"/>
  <c r="C46" i="18"/>
  <c r="F46" i="18" s="1"/>
  <c r="AH26" i="16"/>
  <c r="BU26" i="16"/>
  <c r="Z26" i="16"/>
  <c r="BL26" i="16"/>
  <c r="CY26" i="16"/>
  <c r="AQ26" i="16"/>
  <c r="CP26" i="16"/>
  <c r="C30" i="18"/>
  <c r="F30" i="18" s="1"/>
  <c r="DK26" i="16"/>
  <c r="DG26" i="16"/>
  <c r="C55" i="18"/>
  <c r="F55" i="18" s="1"/>
  <c r="D26" i="16"/>
  <c r="D16" i="23" s="1"/>
  <c r="BD26" i="16"/>
  <c r="CD26" i="16"/>
  <c r="DD26" i="16"/>
  <c r="BM26" i="16"/>
  <c r="AY26" i="16"/>
  <c r="C22" i="18"/>
  <c r="F22" i="18" s="1"/>
  <c r="C20" i="18"/>
  <c r="F20" i="18" s="1"/>
  <c r="D27" i="19" s="1"/>
  <c r="D24" i="19" s="1"/>
  <c r="CW26" i="16"/>
  <c r="C26" i="18"/>
  <c r="F26" i="18" s="1"/>
  <c r="H55" i="14"/>
  <c r="E170" i="31"/>
  <c r="C37" i="18"/>
  <c r="F37" i="18" s="1"/>
  <c r="C51" i="18"/>
  <c r="F51" i="18" s="1"/>
  <c r="E25" i="16"/>
  <c r="F25" i="16"/>
  <c r="BT26" i="16"/>
  <c r="CH26" i="16"/>
  <c r="CU26" i="16"/>
  <c r="DI26" i="16"/>
  <c r="P26" i="16"/>
  <c r="Q26" i="16"/>
  <c r="R26" i="16"/>
  <c r="S26" i="16"/>
  <c r="T26" i="16"/>
  <c r="C39" i="18"/>
  <c r="F39" i="18" s="1"/>
  <c r="BW26" i="16"/>
  <c r="U26" i="16"/>
  <c r="C45" i="18"/>
  <c r="F45" i="18" s="1"/>
  <c r="C47" i="18"/>
  <c r="F47" i="18" s="1"/>
  <c r="C58" i="18"/>
  <c r="F58" i="18" s="1"/>
  <c r="CF26" i="16"/>
  <c r="CT26" i="16"/>
  <c r="DH26" i="16"/>
  <c r="N26" i="16"/>
  <c r="AB26" i="16"/>
  <c r="AC26" i="16"/>
  <c r="AD26" i="16"/>
  <c r="AF26" i="16"/>
  <c r="AG26" i="16"/>
  <c r="C24" i="18"/>
  <c r="F24" i="18" s="1"/>
  <c r="CG26" i="16"/>
  <c r="AE26" i="16"/>
  <c r="C54" i="18"/>
  <c r="F54" i="18" s="1"/>
  <c r="C52" i="18"/>
  <c r="F52" i="18" s="1"/>
  <c r="C38" i="18"/>
  <c r="F38" i="18" s="1"/>
  <c r="C21" i="18"/>
  <c r="F21" i="18" s="1"/>
  <c r="D19" i="26"/>
  <c r="D45" i="19"/>
  <c r="D17" i="17"/>
  <c r="D22" i="16"/>
  <c r="D13" i="26"/>
  <c r="D15" i="26" s="1"/>
  <c r="G6" i="26"/>
  <c r="K8" i="5"/>
  <c r="G11" i="24" s="1"/>
  <c r="K9" i="5"/>
  <c r="G12" i="24" s="1"/>
  <c r="E68" i="4"/>
  <c r="G68" i="4" s="1"/>
  <c r="K16" i="5"/>
  <c r="G19" i="24" s="1"/>
  <c r="K15" i="5"/>
  <c r="G18" i="24" s="1"/>
  <c r="E69" i="4"/>
  <c r="F69" i="4" s="1"/>
  <c r="K13" i="5"/>
  <c r="G16" i="24" s="1"/>
  <c r="H19" i="5"/>
  <c r="J12" i="16"/>
  <c r="K9" i="16"/>
  <c r="H16" i="16"/>
  <c r="J19" i="16"/>
  <c r="J11" i="16"/>
  <c r="K8" i="16"/>
  <c r="I22" i="5"/>
  <c r="G67" i="4"/>
  <c r="F67" i="4"/>
  <c r="I14" i="16"/>
  <c r="I16" i="22"/>
  <c r="H146" i="24" s="1"/>
  <c r="J15" i="22"/>
  <c r="F11" i="24"/>
  <c r="E68" i="31" l="1"/>
  <c r="C124" i="31" s="1"/>
  <c r="C23" i="23"/>
  <c r="D28" i="16"/>
  <c r="D29" i="16" s="1"/>
  <c r="C143" i="24" s="1"/>
  <c r="C147" i="24" s="1"/>
  <c r="E27" i="19"/>
  <c r="G170" i="31"/>
  <c r="G171" i="31" s="1"/>
  <c r="E171" i="31"/>
  <c r="C49" i="18"/>
  <c r="F49" i="18" s="1"/>
  <c r="H20" i="17"/>
  <c r="C33" i="17"/>
  <c r="I20" i="17"/>
  <c r="C34" i="18"/>
  <c r="F34" i="18" s="1"/>
  <c r="G20" i="17"/>
  <c r="G22" i="17" s="1"/>
  <c r="G23" i="17" s="1"/>
  <c r="F144" i="24" s="1"/>
  <c r="C38" i="16"/>
  <c r="C113" i="24"/>
  <c r="H6" i="26"/>
  <c r="D30" i="24"/>
  <c r="F68" i="4"/>
  <c r="I23" i="5"/>
  <c r="J23" i="5" s="1"/>
  <c r="F26" i="24" s="1"/>
  <c r="G69" i="4"/>
  <c r="I24" i="5"/>
  <c r="K24" i="5" s="1"/>
  <c r="G27" i="24" s="1"/>
  <c r="D31" i="24"/>
  <c r="K12" i="16"/>
  <c r="L9" i="16"/>
  <c r="K15" i="22"/>
  <c r="J16" i="22"/>
  <c r="I146" i="24" s="1"/>
  <c r="I16" i="16"/>
  <c r="J22" i="5"/>
  <c r="K22" i="5"/>
  <c r="K19" i="16"/>
  <c r="K11" i="16"/>
  <c r="L8" i="16"/>
  <c r="J14" i="16"/>
  <c r="G175" i="31" l="1"/>
  <c r="G174" i="31"/>
  <c r="G176" i="31" s="1"/>
  <c r="E30" i="31"/>
  <c r="E180" i="31" s="1"/>
  <c r="C30" i="31"/>
  <c r="C180" i="31" s="1"/>
  <c r="D30" i="31"/>
  <c r="D180" i="31" s="1"/>
  <c r="E28" i="16"/>
  <c r="F28" i="16" s="1"/>
  <c r="F29" i="16" s="1"/>
  <c r="E143" i="24" s="1"/>
  <c r="H22" i="17"/>
  <c r="I22" i="17" s="1"/>
  <c r="C9" i="31"/>
  <c r="D12" i="25"/>
  <c r="I6" i="26"/>
  <c r="K23" i="5"/>
  <c r="G26" i="24" s="1"/>
  <c r="I25" i="5"/>
  <c r="J24" i="5"/>
  <c r="F27" i="24" s="1"/>
  <c r="J16" i="16"/>
  <c r="L15" i="22"/>
  <c r="K16" i="22"/>
  <c r="J146" i="24" s="1"/>
  <c r="M9" i="16"/>
  <c r="L12" i="16"/>
  <c r="K14" i="16"/>
  <c r="G25" i="24"/>
  <c r="F25" i="24"/>
  <c r="L19" i="16"/>
  <c r="L11" i="16"/>
  <c r="M8" i="16"/>
  <c r="E29" i="16" l="1"/>
  <c r="D143" i="24" s="1"/>
  <c r="G28" i="16"/>
  <c r="H28" i="16" s="1"/>
  <c r="H23" i="17"/>
  <c r="G144" i="24" s="1"/>
  <c r="J6" i="26"/>
  <c r="K25" i="5"/>
  <c r="M17" i="5" s="1"/>
  <c r="E20" i="24" s="1"/>
  <c r="J25" i="5"/>
  <c r="L12" i="5" s="1"/>
  <c r="D15" i="24" s="1"/>
  <c r="D36" i="24"/>
  <c r="M19" i="16"/>
  <c r="M11" i="16"/>
  <c r="N8" i="16"/>
  <c r="M12" i="16"/>
  <c r="N9" i="16"/>
  <c r="L14" i="16"/>
  <c r="J22" i="17"/>
  <c r="I23" i="17"/>
  <c r="H144" i="24" s="1"/>
  <c r="K16" i="16"/>
  <c r="L16" i="22"/>
  <c r="K146" i="24" s="1"/>
  <c r="M15" i="22"/>
  <c r="G29" i="16" l="1"/>
  <c r="F143" i="24" s="1"/>
  <c r="K6" i="26"/>
  <c r="M19" i="5"/>
  <c r="E22" i="24" s="1"/>
  <c r="M8" i="5"/>
  <c r="E11" i="24" s="1"/>
  <c r="M13" i="5"/>
  <c r="E16" i="24" s="1"/>
  <c r="M23" i="5"/>
  <c r="E26" i="24" s="1"/>
  <c r="M18" i="5"/>
  <c r="E21" i="24" s="1"/>
  <c r="C27" i="3"/>
  <c r="M10" i="5"/>
  <c r="E13" i="24" s="1"/>
  <c r="L15" i="5"/>
  <c r="D18" i="24" s="1"/>
  <c r="M21" i="5"/>
  <c r="E24" i="24" s="1"/>
  <c r="C53" i="7"/>
  <c r="C55" i="7" s="1"/>
  <c r="M9" i="5"/>
  <c r="E12" i="24" s="1"/>
  <c r="M14" i="5"/>
  <c r="E17" i="24" s="1"/>
  <c r="M20" i="5"/>
  <c r="E23" i="24" s="1"/>
  <c r="M11" i="5"/>
  <c r="E14" i="24" s="1"/>
  <c r="C54" i="7"/>
  <c r="M16" i="5"/>
  <c r="E19" i="24" s="1"/>
  <c r="M24" i="5"/>
  <c r="E27" i="24" s="1"/>
  <c r="M22" i="5"/>
  <c r="E25" i="24" s="1"/>
  <c r="M12" i="5"/>
  <c r="E15" i="24" s="1"/>
  <c r="L10" i="5"/>
  <c r="D13" i="24" s="1"/>
  <c r="L23" i="5"/>
  <c r="D26" i="24" s="1"/>
  <c r="L24" i="5"/>
  <c r="D27" i="24" s="1"/>
  <c r="L16" i="5"/>
  <c r="D19" i="24" s="1"/>
  <c r="C27" i="5"/>
  <c r="L17" i="5"/>
  <c r="D20" i="24" s="1"/>
  <c r="C32" i="24" s="1"/>
  <c r="L9" i="5"/>
  <c r="D12" i="24" s="1"/>
  <c r="C26" i="3"/>
  <c r="C19" i="32" s="1"/>
  <c r="C26" i="5"/>
  <c r="C17" i="31" s="1"/>
  <c r="M15" i="5"/>
  <c r="E18" i="24" s="1"/>
  <c r="L14" i="5"/>
  <c r="D17" i="24" s="1"/>
  <c r="L20" i="5"/>
  <c r="D23" i="24" s="1"/>
  <c r="L8" i="5"/>
  <c r="D11" i="24" s="1"/>
  <c r="L11" i="5"/>
  <c r="D14" i="24" s="1"/>
  <c r="L19" i="5"/>
  <c r="D22" i="24" s="1"/>
  <c r="C34" i="24" s="1"/>
  <c r="L22" i="5"/>
  <c r="D25" i="24" s="1"/>
  <c r="L13" i="5"/>
  <c r="D16" i="24" s="1"/>
  <c r="L21" i="5"/>
  <c r="D24" i="24" s="1"/>
  <c r="L18" i="5"/>
  <c r="D21" i="24" s="1"/>
  <c r="C33" i="24" s="1"/>
  <c r="M16" i="22"/>
  <c r="L146" i="24" s="1"/>
  <c r="N15" i="22"/>
  <c r="J23" i="17"/>
  <c r="I144" i="24" s="1"/>
  <c r="K22" i="17"/>
  <c r="O9" i="16"/>
  <c r="N12" i="16"/>
  <c r="L16" i="16"/>
  <c r="N19" i="16"/>
  <c r="N11" i="16"/>
  <c r="O8" i="16"/>
  <c r="M14" i="16"/>
  <c r="H29" i="16"/>
  <c r="G143" i="24" s="1"/>
  <c r="I28" i="16"/>
  <c r="L6" i="26" l="1"/>
  <c r="C17" i="32"/>
  <c r="C18" i="32"/>
  <c r="D63" i="31"/>
  <c r="E63" i="31"/>
  <c r="G66" i="18"/>
  <c r="C63" i="31"/>
  <c r="D62" i="31"/>
  <c r="D64" i="31" s="1"/>
  <c r="E62" i="31"/>
  <c r="E64" i="31" s="1"/>
  <c r="K15" i="16"/>
  <c r="K18" i="16" s="1"/>
  <c r="C62" i="31"/>
  <c r="C64" i="31" s="1"/>
  <c r="D40" i="19"/>
  <c r="G17" i="16"/>
  <c r="I17" i="16"/>
  <c r="F17" i="16"/>
  <c r="D17" i="16"/>
  <c r="J17" i="16"/>
  <c r="K17" i="16"/>
  <c r="AQ9" i="17"/>
  <c r="AQ10" i="17" s="1"/>
  <c r="AQ13" i="17" s="1"/>
  <c r="V9" i="17"/>
  <c r="V10" i="17" s="1"/>
  <c r="V13" i="17" s="1"/>
  <c r="H55" i="24"/>
  <c r="H93" i="24" s="1"/>
  <c r="H15" i="16"/>
  <c r="H18" i="16" s="1"/>
  <c r="AV9" i="17"/>
  <c r="AV10" i="17" s="1"/>
  <c r="AV13" i="17" s="1"/>
  <c r="L9" i="17"/>
  <c r="K64" i="24" s="1"/>
  <c r="K102" i="24" s="1"/>
  <c r="AH9" i="17"/>
  <c r="AH10" i="17" s="1"/>
  <c r="AH13" i="17" s="1"/>
  <c r="BZ9" i="17"/>
  <c r="BZ10" i="17" s="1"/>
  <c r="BZ13" i="17" s="1"/>
  <c r="AY9" i="17"/>
  <c r="AY10" i="17" s="1"/>
  <c r="AY13" i="17" s="1"/>
  <c r="AX9" i="17"/>
  <c r="AX10" i="17" s="1"/>
  <c r="AX13" i="17" s="1"/>
  <c r="L17" i="16"/>
  <c r="H17" i="16"/>
  <c r="I9" i="17"/>
  <c r="H65" i="24" s="1"/>
  <c r="H103" i="24" s="1"/>
  <c r="J15" i="16"/>
  <c r="J18" i="16" s="1"/>
  <c r="AG9" i="17"/>
  <c r="AG10" i="17" s="1"/>
  <c r="AG13" i="17" s="1"/>
  <c r="G67" i="18"/>
  <c r="G15" i="16"/>
  <c r="G18" i="16" s="1"/>
  <c r="DH9" i="17"/>
  <c r="DH10" i="17" s="1"/>
  <c r="DH11" i="17" s="1"/>
  <c r="DH14" i="17" s="1"/>
  <c r="Z9" i="17"/>
  <c r="Z10" i="17" s="1"/>
  <c r="Z13" i="17" s="1"/>
  <c r="I55" i="24"/>
  <c r="I93" i="24" s="1"/>
  <c r="H53" i="24"/>
  <c r="H91" i="24" s="1"/>
  <c r="E17" i="16"/>
  <c r="DG9" i="17"/>
  <c r="DG10" i="17" s="1"/>
  <c r="DG13" i="17" s="1"/>
  <c r="CU9" i="17"/>
  <c r="CU10" i="17" s="1"/>
  <c r="CU13" i="17" s="1"/>
  <c r="G65" i="18"/>
  <c r="BO9" i="17"/>
  <c r="BO10" i="17" s="1"/>
  <c r="BO13" i="17" s="1"/>
  <c r="J53" i="24"/>
  <c r="J91" i="24" s="1"/>
  <c r="G54" i="24"/>
  <c r="G92" i="24" s="1"/>
  <c r="F66" i="18"/>
  <c r="CV9" i="17"/>
  <c r="CV10" i="17" s="1"/>
  <c r="CV11" i="17" s="1"/>
  <c r="CV14" i="17" s="1"/>
  <c r="I15" i="16"/>
  <c r="I18" i="16" s="1"/>
  <c r="CY9" i="17"/>
  <c r="CY10" i="17" s="1"/>
  <c r="CY13" i="17" s="1"/>
  <c r="U9" i="17"/>
  <c r="U10" i="17" s="1"/>
  <c r="U13" i="17" s="1"/>
  <c r="L15" i="16"/>
  <c r="L18" i="16" s="1"/>
  <c r="AJ9" i="17"/>
  <c r="AJ10" i="17" s="1"/>
  <c r="AJ13" i="17" s="1"/>
  <c r="F65" i="18"/>
  <c r="AI9" i="17"/>
  <c r="AI10" i="17" s="1"/>
  <c r="AI13" i="17" s="1"/>
  <c r="AA9" i="17"/>
  <c r="AA10" i="17" s="1"/>
  <c r="AA13" i="17" s="1"/>
  <c r="AN9" i="17"/>
  <c r="AN10" i="17" s="1"/>
  <c r="AN11" i="17" s="1"/>
  <c r="AN14" i="17" s="1"/>
  <c r="G46" i="24"/>
  <c r="G84" i="24" s="1"/>
  <c r="F55" i="24"/>
  <c r="F93" i="24" s="1"/>
  <c r="BW9" i="17"/>
  <c r="BW10" i="17" s="1"/>
  <c r="BW13" i="17" s="1"/>
  <c r="AR9" i="17"/>
  <c r="AR10" i="17" s="1"/>
  <c r="AR13" i="17" s="1"/>
  <c r="C53" i="24"/>
  <c r="C91" i="24" s="1"/>
  <c r="F44" i="24"/>
  <c r="F82" i="24" s="1"/>
  <c r="CT9" i="17"/>
  <c r="CT10" i="17" s="1"/>
  <c r="CT13" i="17" s="1"/>
  <c r="CF9" i="17"/>
  <c r="CF10" i="17" s="1"/>
  <c r="CF13" i="17" s="1"/>
  <c r="C55" i="24"/>
  <c r="C93" i="24" s="1"/>
  <c r="C31" i="24"/>
  <c r="D52" i="24" s="1"/>
  <c r="D90" i="24" s="1"/>
  <c r="O9" i="17"/>
  <c r="N66" i="24" s="1"/>
  <c r="N104" i="24" s="1"/>
  <c r="Y9" i="17"/>
  <c r="Y10" i="17" s="1"/>
  <c r="Y13" i="17" s="1"/>
  <c r="DB9" i="17"/>
  <c r="DB10" i="17" s="1"/>
  <c r="DB13" i="17" s="1"/>
  <c r="BI9" i="17"/>
  <c r="BI10" i="17" s="1"/>
  <c r="BI13" i="17" s="1"/>
  <c r="DS9" i="17"/>
  <c r="DS10" i="17" s="1"/>
  <c r="DS13" i="17" s="1"/>
  <c r="J44" i="24"/>
  <c r="J82" i="24" s="1"/>
  <c r="G45" i="24"/>
  <c r="G83" i="24" s="1"/>
  <c r="E9" i="17"/>
  <c r="D64" i="24" s="1"/>
  <c r="D102" i="24" s="1"/>
  <c r="BG9" i="17"/>
  <c r="BG10" i="17" s="1"/>
  <c r="BG13" i="17" s="1"/>
  <c r="AW9" i="17"/>
  <c r="AW10" i="17" s="1"/>
  <c r="AW13" i="17" s="1"/>
  <c r="BU9" i="17"/>
  <c r="BU10" i="17" s="1"/>
  <c r="BU13" i="17" s="1"/>
  <c r="CX9" i="17"/>
  <c r="CX10" i="17" s="1"/>
  <c r="CX13" i="17" s="1"/>
  <c r="CW9" i="17"/>
  <c r="CW10" i="17" s="1"/>
  <c r="CW13" i="17" s="1"/>
  <c r="DN9" i="17"/>
  <c r="DN10" i="17" s="1"/>
  <c r="DN13" i="17" s="1"/>
  <c r="F67" i="18"/>
  <c r="DP9" i="17"/>
  <c r="DP10" i="17" s="1"/>
  <c r="DP13" i="17" s="1"/>
  <c r="D46" i="24"/>
  <c r="D84" i="24" s="1"/>
  <c r="I45" i="24"/>
  <c r="I83" i="24" s="1"/>
  <c r="F15" i="16"/>
  <c r="F18" i="16" s="1"/>
  <c r="BD9" i="17"/>
  <c r="BD10" i="17" s="1"/>
  <c r="BD13" i="17" s="1"/>
  <c r="BM9" i="17"/>
  <c r="BM10" i="17" s="1"/>
  <c r="BM13" i="17" s="1"/>
  <c r="BA9" i="17"/>
  <c r="BA10" i="17" s="1"/>
  <c r="BA13" i="17" s="1"/>
  <c r="R9" i="17"/>
  <c r="R10" i="17" s="1"/>
  <c r="R13" i="17" s="1"/>
  <c r="D39" i="19"/>
  <c r="D42" i="19" s="1"/>
  <c r="C125" i="24" s="1"/>
  <c r="L55" i="24"/>
  <c r="L93" i="24" s="1"/>
  <c r="I44" i="24"/>
  <c r="I82" i="24" s="1"/>
  <c r="G53" i="24"/>
  <c r="G91" i="24" s="1"/>
  <c r="F46" i="24"/>
  <c r="F84" i="24" s="1"/>
  <c r="CI9" i="17"/>
  <c r="CI10" i="17" s="1"/>
  <c r="CI13" i="17" s="1"/>
  <c r="DL9" i="17"/>
  <c r="DL10" i="17" s="1"/>
  <c r="DL13" i="17" s="1"/>
  <c r="M9" i="17"/>
  <c r="L66" i="24" s="1"/>
  <c r="L104" i="24" s="1"/>
  <c r="E53" i="24"/>
  <c r="E91" i="24" s="1"/>
  <c r="D9" i="17"/>
  <c r="C66" i="24" s="1"/>
  <c r="C104" i="24" s="1"/>
  <c r="AP9" i="17"/>
  <c r="AP10" i="17" s="1"/>
  <c r="AP13" i="17" s="1"/>
  <c r="DM9" i="17"/>
  <c r="DM10" i="17" s="1"/>
  <c r="DM13" i="17" s="1"/>
  <c r="CR9" i="17"/>
  <c r="CR10" i="17" s="1"/>
  <c r="CR13" i="17" s="1"/>
  <c r="CD9" i="17"/>
  <c r="CD10" i="17" s="1"/>
  <c r="CD13" i="17" s="1"/>
  <c r="AT9" i="17"/>
  <c r="AT10" i="17" s="1"/>
  <c r="AT13" i="17" s="1"/>
  <c r="N9" i="17"/>
  <c r="M65" i="24" s="1"/>
  <c r="M103" i="24" s="1"/>
  <c r="D44" i="24"/>
  <c r="D82" i="24" s="1"/>
  <c r="K53" i="24"/>
  <c r="K91" i="24" s="1"/>
  <c r="C30" i="24"/>
  <c r="C51" i="24" s="1"/>
  <c r="C89" i="24" s="1"/>
  <c r="I46" i="24"/>
  <c r="I84" i="24" s="1"/>
  <c r="G44" i="24"/>
  <c r="G82" i="24" s="1"/>
  <c r="DJ9" i="17"/>
  <c r="AU9" i="17"/>
  <c r="AU10" i="17" s="1"/>
  <c r="AU13" i="17" s="1"/>
  <c r="E45" i="24"/>
  <c r="E83" i="24" s="1"/>
  <c r="E46" i="24"/>
  <c r="E84" i="24" s="1"/>
  <c r="AE9" i="17"/>
  <c r="AE10" i="17" s="1"/>
  <c r="AE13" i="17" s="1"/>
  <c r="AL9" i="17"/>
  <c r="AL10" i="17" s="1"/>
  <c r="AL13" i="17" s="1"/>
  <c r="P9" i="17"/>
  <c r="P10" i="17" s="1"/>
  <c r="AF9" i="17"/>
  <c r="AF10" i="17" s="1"/>
  <c r="AF13" i="17" s="1"/>
  <c r="K9" i="17"/>
  <c r="J66" i="24" s="1"/>
  <c r="J104" i="24" s="1"/>
  <c r="E15" i="16"/>
  <c r="E18" i="16" s="1"/>
  <c r="CA9" i="17"/>
  <c r="DD9" i="17"/>
  <c r="DD10" i="17" s="1"/>
  <c r="DD13" i="17" s="1"/>
  <c r="D45" i="24"/>
  <c r="D83" i="24" s="1"/>
  <c r="BB9" i="17"/>
  <c r="BB10" i="17" s="1"/>
  <c r="BB13" i="17" s="1"/>
  <c r="DC9" i="17"/>
  <c r="DC10" i="17" s="1"/>
  <c r="DC13" i="17" s="1"/>
  <c r="CH9" i="17"/>
  <c r="CH10" i="17" s="1"/>
  <c r="CH13" i="17" s="1"/>
  <c r="AM9" i="17"/>
  <c r="AM10" i="17" s="1"/>
  <c r="AM13" i="17" s="1"/>
  <c r="Q9" i="17"/>
  <c r="Q10" i="17" s="1"/>
  <c r="Q13" i="17" s="1"/>
  <c r="DI9" i="17"/>
  <c r="J46" i="24"/>
  <c r="J84" i="24" s="1"/>
  <c r="H44" i="24"/>
  <c r="H82" i="24" s="1"/>
  <c r="G55" i="24"/>
  <c r="G93" i="24" s="1"/>
  <c r="AZ9" i="17"/>
  <c r="AZ10" i="17" s="1"/>
  <c r="AZ11" i="17" s="1"/>
  <c r="AZ14" i="17" s="1"/>
  <c r="X9" i="17"/>
  <c r="X10" i="17" s="1"/>
  <c r="X13" i="17" s="1"/>
  <c r="DF9" i="17"/>
  <c r="DF10" i="17" s="1"/>
  <c r="DF13" i="17" s="1"/>
  <c r="BR9" i="17"/>
  <c r="BR10" i="17" s="1"/>
  <c r="BR13" i="17" s="1"/>
  <c r="S9" i="17"/>
  <c r="S10" i="17" s="1"/>
  <c r="S13" i="17" s="1"/>
  <c r="DA9" i="17"/>
  <c r="DA10" i="17" s="1"/>
  <c r="DA13" i="17" s="1"/>
  <c r="BY9" i="17"/>
  <c r="BY10" i="17" s="1"/>
  <c r="BY13" i="17" s="1"/>
  <c r="DR9" i="17"/>
  <c r="DR10" i="17" s="1"/>
  <c r="DR13" i="17" s="1"/>
  <c r="BH9" i="17"/>
  <c r="BH10" i="17" s="1"/>
  <c r="BH13" i="17" s="1"/>
  <c r="AC9" i="17"/>
  <c r="G9" i="17"/>
  <c r="F66" i="24" s="1"/>
  <c r="F104" i="24" s="1"/>
  <c r="CS9" i="17"/>
  <c r="CS10" i="17" s="1"/>
  <c r="CS13" i="17" s="1"/>
  <c r="C54" i="24"/>
  <c r="C92" i="24" s="1"/>
  <c r="L53" i="24"/>
  <c r="L91" i="24" s="1"/>
  <c r="K54" i="24"/>
  <c r="K92" i="24" s="1"/>
  <c r="BF9" i="17"/>
  <c r="BF10" i="17" s="1"/>
  <c r="BF13" i="17" s="1"/>
  <c r="CZ9" i="17"/>
  <c r="CZ10" i="17" s="1"/>
  <c r="CZ13" i="17" s="1"/>
  <c r="BS9" i="17"/>
  <c r="BS10" i="17" s="1"/>
  <c r="BS13" i="17" s="1"/>
  <c r="CJ9" i="17"/>
  <c r="DO9" i="17"/>
  <c r="DO10" i="17" s="1"/>
  <c r="DO13" i="17" s="1"/>
  <c r="BN9" i="17"/>
  <c r="BN10" i="17" s="1"/>
  <c r="BN13" i="17" s="1"/>
  <c r="BK9" i="17"/>
  <c r="BK10" i="17" s="1"/>
  <c r="BK13" i="17" s="1"/>
  <c r="CE9" i="17"/>
  <c r="CE10" i="17" s="1"/>
  <c r="CE13" i="17" s="1"/>
  <c r="F9" i="17"/>
  <c r="E65" i="24" s="1"/>
  <c r="E103" i="24" s="1"/>
  <c r="AB9" i="17"/>
  <c r="AB10" i="17" s="1"/>
  <c r="AB11" i="17" s="1"/>
  <c r="AB14" i="17" s="1"/>
  <c r="AS9" i="17"/>
  <c r="AS10" i="17" s="1"/>
  <c r="AS13" i="17" s="1"/>
  <c r="CL9" i="17"/>
  <c r="CL10" i="17" s="1"/>
  <c r="CL13" i="17" s="1"/>
  <c r="C44" i="24"/>
  <c r="C82" i="24" s="1"/>
  <c r="J55" i="24"/>
  <c r="J93" i="24" s="1"/>
  <c r="H54" i="24"/>
  <c r="H92" i="24" s="1"/>
  <c r="F53" i="24"/>
  <c r="F91" i="24" s="1"/>
  <c r="E44" i="24"/>
  <c r="E82" i="24" s="1"/>
  <c r="W9" i="17"/>
  <c r="H9" i="17"/>
  <c r="DQ9" i="17"/>
  <c r="DQ10" i="17" s="1"/>
  <c r="DQ13" i="17" s="1"/>
  <c r="BE9" i="17"/>
  <c r="BE10" i="17" s="1"/>
  <c r="BE13" i="17" s="1"/>
  <c r="BJ9" i="17"/>
  <c r="BJ10" i="17" s="1"/>
  <c r="BJ13" i="17" s="1"/>
  <c r="BX9" i="17"/>
  <c r="BX10" i="17" s="1"/>
  <c r="E55" i="24"/>
  <c r="E93" i="24" s="1"/>
  <c r="D15" i="16"/>
  <c r="D18" i="16" s="1"/>
  <c r="AK9" i="17"/>
  <c r="AK10" i="17" s="1"/>
  <c r="AK13" i="17" s="1"/>
  <c r="BP9" i="17"/>
  <c r="BP10" i="17" s="1"/>
  <c r="BP13" i="17" s="1"/>
  <c r="CN9" i="17"/>
  <c r="CN10" i="17" s="1"/>
  <c r="CN13" i="17" s="1"/>
  <c r="L44" i="24"/>
  <c r="L82" i="24" s="1"/>
  <c r="J9" i="17"/>
  <c r="I65" i="24" s="1"/>
  <c r="I103" i="24" s="1"/>
  <c r="BT9" i="17"/>
  <c r="BT10" i="17" s="1"/>
  <c r="BT13" i="17" s="1"/>
  <c r="BC9" i="17"/>
  <c r="BC10" i="17" s="1"/>
  <c r="BC13" i="17" s="1"/>
  <c r="CC9" i="17"/>
  <c r="CC10" i="17" s="1"/>
  <c r="CC13" i="17" s="1"/>
  <c r="CG9" i="17"/>
  <c r="CG10" i="17" s="1"/>
  <c r="CG13" i="17" s="1"/>
  <c r="CM9" i="17"/>
  <c r="CM10" i="17" s="1"/>
  <c r="CM13" i="17" s="1"/>
  <c r="T9" i="17"/>
  <c r="D55" i="24"/>
  <c r="D93" i="24" s="1"/>
  <c r="C35" i="24"/>
  <c r="J47" i="24" s="1"/>
  <c r="J85" i="24" s="1"/>
  <c r="C36" i="24"/>
  <c r="I48" i="24" s="1"/>
  <c r="I86" i="24" s="1"/>
  <c r="I53" i="24"/>
  <c r="I91" i="24" s="1"/>
  <c r="H46" i="24"/>
  <c r="H84" i="24" s="1"/>
  <c r="F45" i="24"/>
  <c r="F83" i="24" s="1"/>
  <c r="AO9" i="17"/>
  <c r="AO10" i="17" s="1"/>
  <c r="AO13" i="17" s="1"/>
  <c r="DE9" i="17"/>
  <c r="DE10" i="17" s="1"/>
  <c r="DE13" i="17" s="1"/>
  <c r="BL9" i="17"/>
  <c r="BL10" i="17" s="1"/>
  <c r="BL11" i="17" s="1"/>
  <c r="BL14" i="17" s="1"/>
  <c r="CQ9" i="17"/>
  <c r="CQ10" i="17" s="1"/>
  <c r="CQ13" i="17" s="1"/>
  <c r="CO9" i="17"/>
  <c r="CO10" i="17" s="1"/>
  <c r="CO13" i="17" s="1"/>
  <c r="E54" i="24"/>
  <c r="E92" i="24" s="1"/>
  <c r="CP9" i="17"/>
  <c r="CP10" i="17" s="1"/>
  <c r="CP13" i="17" s="1"/>
  <c r="CK9" i="17"/>
  <c r="CK10" i="17" s="1"/>
  <c r="CK13" i="17" s="1"/>
  <c r="AD9" i="17"/>
  <c r="AD10" i="17" s="1"/>
  <c r="AD13" i="17" s="1"/>
  <c r="CB9" i="17"/>
  <c r="CB10" i="17" s="1"/>
  <c r="CB13" i="17" s="1"/>
  <c r="DK9" i="17"/>
  <c r="DK10" i="17" s="1"/>
  <c r="DK13" i="17" s="1"/>
  <c r="BV9" i="17"/>
  <c r="BQ9" i="17"/>
  <c r="BQ10" i="17" s="1"/>
  <c r="BQ13" i="17" s="1"/>
  <c r="C46" i="24"/>
  <c r="C84" i="24" s="1"/>
  <c r="K46" i="24"/>
  <c r="K84" i="24" s="1"/>
  <c r="C45" i="24"/>
  <c r="C83" i="24" s="1"/>
  <c r="D53" i="24"/>
  <c r="D91" i="24" s="1"/>
  <c r="K55" i="24"/>
  <c r="K93" i="24" s="1"/>
  <c r="J54" i="24"/>
  <c r="J92" i="24" s="1"/>
  <c r="I54" i="24"/>
  <c r="I92" i="24" s="1"/>
  <c r="F54" i="24"/>
  <c r="F92" i="24" s="1"/>
  <c r="L46" i="24"/>
  <c r="L84" i="24" s="1"/>
  <c r="K44" i="24"/>
  <c r="K82" i="24" s="1"/>
  <c r="K45" i="24"/>
  <c r="K83" i="24" s="1"/>
  <c r="D54" i="24"/>
  <c r="D92" i="24" s="1"/>
  <c r="L45" i="24"/>
  <c r="L83" i="24" s="1"/>
  <c r="L54" i="24"/>
  <c r="L92" i="24" s="1"/>
  <c r="J45" i="24"/>
  <c r="J83" i="24" s="1"/>
  <c r="H45" i="24"/>
  <c r="H83" i="24" s="1"/>
  <c r="J28" i="16"/>
  <c r="I29" i="16"/>
  <c r="H143" i="24" s="1"/>
  <c r="O19" i="16"/>
  <c r="O11" i="16"/>
  <c r="P8" i="16"/>
  <c r="M17" i="16"/>
  <c r="M16" i="16"/>
  <c r="M15" i="16"/>
  <c r="M45" i="24"/>
  <c r="M83" i="24" s="1"/>
  <c r="M44" i="24"/>
  <c r="M82" i="24" s="1"/>
  <c r="M46" i="24"/>
  <c r="M84" i="24" s="1"/>
  <c r="N14" i="16"/>
  <c r="O15" i="22"/>
  <c r="N16" i="22"/>
  <c r="M146" i="24" s="1"/>
  <c r="M54" i="24"/>
  <c r="M92" i="24" s="1"/>
  <c r="M55" i="24"/>
  <c r="M93" i="24" s="1"/>
  <c r="M53" i="24"/>
  <c r="M91" i="24" s="1"/>
  <c r="O12" i="16"/>
  <c r="P9" i="16"/>
  <c r="L22" i="17"/>
  <c r="K23" i="17"/>
  <c r="J144" i="24" s="1"/>
  <c r="M6" i="26" l="1"/>
  <c r="C123" i="31"/>
  <c r="E66" i="31"/>
  <c r="D66" i="31"/>
  <c r="D71" i="31" s="1"/>
  <c r="C66" i="31"/>
  <c r="G63" i="24"/>
  <c r="G101" i="24" s="1"/>
  <c r="L10" i="17"/>
  <c r="K69" i="24" s="1"/>
  <c r="K107" i="24" s="1"/>
  <c r="K66" i="24"/>
  <c r="K104" i="24" s="1"/>
  <c r="C64" i="24"/>
  <c r="C102" i="24" s="1"/>
  <c r="M10" i="17"/>
  <c r="M11" i="17" s="1"/>
  <c r="M14" i="17" s="1"/>
  <c r="L124" i="24" s="1"/>
  <c r="K65" i="24"/>
  <c r="K103" i="24" s="1"/>
  <c r="I10" i="17"/>
  <c r="I13" i="17" s="1"/>
  <c r="H66" i="24"/>
  <c r="H104" i="24" s="1"/>
  <c r="D10" i="17"/>
  <c r="D11" i="17" s="1"/>
  <c r="D14" i="17" s="1"/>
  <c r="C124" i="24" s="1"/>
  <c r="J63" i="24"/>
  <c r="J101" i="24" s="1"/>
  <c r="K43" i="24"/>
  <c r="K81" i="24" s="1"/>
  <c r="E52" i="24"/>
  <c r="E90" i="24" s="1"/>
  <c r="D65" i="24"/>
  <c r="D103" i="24" s="1"/>
  <c r="L52" i="24"/>
  <c r="L90" i="24" s="1"/>
  <c r="K63" i="24"/>
  <c r="K101" i="24" s="1"/>
  <c r="C63" i="24"/>
  <c r="C101" i="24" s="1"/>
  <c r="G52" i="24"/>
  <c r="G90" i="24" s="1"/>
  <c r="J52" i="24"/>
  <c r="J90" i="24" s="1"/>
  <c r="G43" i="24"/>
  <c r="G81" i="24" s="1"/>
  <c r="K52" i="24"/>
  <c r="K90" i="24" s="1"/>
  <c r="C110" i="24"/>
  <c r="H64" i="24"/>
  <c r="H102" i="24" s="1"/>
  <c r="M43" i="24"/>
  <c r="M81" i="24" s="1"/>
  <c r="C72" i="24"/>
  <c r="C65" i="24"/>
  <c r="C103" i="24" s="1"/>
  <c r="M57" i="24"/>
  <c r="M95" i="24" s="1"/>
  <c r="G65" i="24"/>
  <c r="G103" i="24" s="1"/>
  <c r="N10" i="17"/>
  <c r="N11" i="17" s="1"/>
  <c r="N14" i="17" s="1"/>
  <c r="M124" i="24" s="1"/>
  <c r="M63" i="24"/>
  <c r="M101" i="24" s="1"/>
  <c r="G67" i="24"/>
  <c r="G105" i="24" s="1"/>
  <c r="O10" i="17"/>
  <c r="O11" i="17" s="1"/>
  <c r="O14" i="17" s="1"/>
  <c r="N124" i="24" s="1"/>
  <c r="C52" i="24"/>
  <c r="C90" i="24" s="1"/>
  <c r="M52" i="24"/>
  <c r="M90" i="24" s="1"/>
  <c r="H43" i="24"/>
  <c r="H81" i="24" s="1"/>
  <c r="G62" i="24"/>
  <c r="G100" i="24" s="1"/>
  <c r="L51" i="24"/>
  <c r="L89" i="24" s="1"/>
  <c r="F52" i="24"/>
  <c r="F90" i="24" s="1"/>
  <c r="J42" i="24"/>
  <c r="J80" i="24" s="1"/>
  <c r="K42" i="24"/>
  <c r="K80" i="24" s="1"/>
  <c r="C62" i="24"/>
  <c r="C100" i="24" s="1"/>
  <c r="M42" i="24"/>
  <c r="M80" i="24" s="1"/>
  <c r="C43" i="24"/>
  <c r="C81" i="24" s="1"/>
  <c r="I43" i="24"/>
  <c r="I81" i="24" s="1"/>
  <c r="K62" i="24"/>
  <c r="K100" i="24" s="1"/>
  <c r="N64" i="24"/>
  <c r="N102" i="24" s="1"/>
  <c r="E43" i="24"/>
  <c r="E81" i="24" s="1"/>
  <c r="G51" i="24"/>
  <c r="G89" i="24" s="1"/>
  <c r="J10" i="17"/>
  <c r="J11" i="17" s="1"/>
  <c r="J14" i="17" s="1"/>
  <c r="I124" i="24" s="1"/>
  <c r="F63" i="24"/>
  <c r="F101" i="24" s="1"/>
  <c r="D62" i="24"/>
  <c r="D100" i="24" s="1"/>
  <c r="D43" i="24"/>
  <c r="D81" i="24" s="1"/>
  <c r="J43" i="24"/>
  <c r="J81" i="24" s="1"/>
  <c r="H62" i="24"/>
  <c r="H100" i="24" s="1"/>
  <c r="D63" i="24"/>
  <c r="D101" i="24" s="1"/>
  <c r="D42" i="24"/>
  <c r="D80" i="24" s="1"/>
  <c r="I52" i="24"/>
  <c r="I90" i="24" s="1"/>
  <c r="N63" i="24"/>
  <c r="N101" i="24" s="1"/>
  <c r="I66" i="24"/>
  <c r="I104" i="24" s="1"/>
  <c r="M62" i="24"/>
  <c r="M100" i="24" s="1"/>
  <c r="L62" i="24"/>
  <c r="L100" i="24" s="1"/>
  <c r="H52" i="24"/>
  <c r="H90" i="24" s="1"/>
  <c r="I64" i="24"/>
  <c r="I102" i="24" s="1"/>
  <c r="L65" i="24"/>
  <c r="L103" i="24" s="1"/>
  <c r="O65" i="24"/>
  <c r="O103" i="24" s="1"/>
  <c r="I63" i="24"/>
  <c r="I101" i="24" s="1"/>
  <c r="L64" i="24"/>
  <c r="L102" i="24" s="1"/>
  <c r="D51" i="24"/>
  <c r="D89" i="24" s="1"/>
  <c r="P64" i="24"/>
  <c r="P102" i="24" s="1"/>
  <c r="AC10" i="17"/>
  <c r="AC13" i="17" s="1"/>
  <c r="G64" i="24"/>
  <c r="G102" i="24" s="1"/>
  <c r="F42" i="24"/>
  <c r="F80" i="24" s="1"/>
  <c r="E51" i="24"/>
  <c r="E89" i="24" s="1"/>
  <c r="M64" i="24"/>
  <c r="M102" i="24" s="1"/>
  <c r="K51" i="24"/>
  <c r="K89" i="24" s="1"/>
  <c r="I62" i="24"/>
  <c r="I100" i="24" s="1"/>
  <c r="H51" i="24"/>
  <c r="H89" i="24" s="1"/>
  <c r="J57" i="24"/>
  <c r="J95" i="24" s="1"/>
  <c r="M51" i="24"/>
  <c r="M89" i="24" s="1"/>
  <c r="M66" i="24"/>
  <c r="M104" i="24" s="1"/>
  <c r="C67" i="24"/>
  <c r="C105" i="24" s="1"/>
  <c r="L63" i="24"/>
  <c r="L101" i="24" s="1"/>
  <c r="N65" i="24"/>
  <c r="N103" i="24" s="1"/>
  <c r="L43" i="24"/>
  <c r="L81" i="24" s="1"/>
  <c r="H42" i="24"/>
  <c r="H80" i="24" s="1"/>
  <c r="K57" i="24"/>
  <c r="K95" i="24" s="1"/>
  <c r="J64" i="24"/>
  <c r="J102" i="24" s="1"/>
  <c r="H63" i="24"/>
  <c r="H101" i="24" s="1"/>
  <c r="I42" i="24"/>
  <c r="I80" i="24" s="1"/>
  <c r="J51" i="24"/>
  <c r="J89" i="24" s="1"/>
  <c r="I57" i="24"/>
  <c r="I95" i="24" s="1"/>
  <c r="I51" i="24"/>
  <c r="I89" i="24" s="1"/>
  <c r="P67" i="24"/>
  <c r="P105" i="24" s="1"/>
  <c r="W10" i="17"/>
  <c r="W13" i="17" s="1"/>
  <c r="O62" i="24"/>
  <c r="O100" i="24" s="1"/>
  <c r="J56" i="24"/>
  <c r="J94" i="24" s="1"/>
  <c r="F65" i="24"/>
  <c r="F103" i="24" s="1"/>
  <c r="G56" i="24"/>
  <c r="G94" i="24" s="1"/>
  <c r="P66" i="24"/>
  <c r="P104" i="24" s="1"/>
  <c r="D56" i="24"/>
  <c r="D94" i="24" s="1"/>
  <c r="F47" i="24"/>
  <c r="F85" i="24" s="1"/>
  <c r="M67" i="24"/>
  <c r="M105" i="24" s="1"/>
  <c r="F67" i="24"/>
  <c r="F105" i="24" s="1"/>
  <c r="K47" i="24"/>
  <c r="K85" i="24" s="1"/>
  <c r="P63" i="24"/>
  <c r="P101" i="24" s="1"/>
  <c r="I67" i="24"/>
  <c r="I105" i="24" s="1"/>
  <c r="F68" i="24"/>
  <c r="F106" i="24" s="1"/>
  <c r="V64" i="24"/>
  <c r="V102" i="24" s="1"/>
  <c r="T10" i="17"/>
  <c r="T13" i="17" s="1"/>
  <c r="M47" i="24"/>
  <c r="M85" i="24" s="1"/>
  <c r="F43" i="24"/>
  <c r="F81" i="24" s="1"/>
  <c r="M56" i="24"/>
  <c r="M94" i="24" s="1"/>
  <c r="R62" i="24"/>
  <c r="R100" i="24" s="1"/>
  <c r="F62" i="24"/>
  <c r="F100" i="24" s="1"/>
  <c r="E10" i="17"/>
  <c r="D69" i="24" s="1"/>
  <c r="D107" i="24" s="1"/>
  <c r="O63" i="24"/>
  <c r="O101" i="24" s="1"/>
  <c r="C47" i="24"/>
  <c r="C85" i="24" s="1"/>
  <c r="O64" i="24"/>
  <c r="O102" i="24" s="1"/>
  <c r="O68" i="24"/>
  <c r="O106" i="24" s="1"/>
  <c r="O67" i="24"/>
  <c r="O105" i="24" s="1"/>
  <c r="L67" i="24"/>
  <c r="L105" i="24" s="1"/>
  <c r="G10" i="17"/>
  <c r="G11" i="17" s="1"/>
  <c r="N67" i="24"/>
  <c r="N105" i="24" s="1"/>
  <c r="Q65" i="24"/>
  <c r="Q103" i="24" s="1"/>
  <c r="Q63" i="24"/>
  <c r="Q101" i="24" s="1"/>
  <c r="Q62" i="24"/>
  <c r="Q100" i="24" s="1"/>
  <c r="F64" i="24"/>
  <c r="F102" i="24" s="1"/>
  <c r="D66" i="24"/>
  <c r="D104" i="24" s="1"/>
  <c r="L42" i="24"/>
  <c r="L80" i="24" s="1"/>
  <c r="H56" i="24"/>
  <c r="H94" i="24" s="1"/>
  <c r="S65" i="24"/>
  <c r="S103" i="24" s="1"/>
  <c r="U67" i="24"/>
  <c r="U105" i="24" s="1"/>
  <c r="T62" i="24"/>
  <c r="T100" i="24" s="1"/>
  <c r="W64" i="24"/>
  <c r="W102" i="24" s="1"/>
  <c r="F51" i="24"/>
  <c r="F89" i="24" s="1"/>
  <c r="G42" i="24"/>
  <c r="G80" i="24" s="1"/>
  <c r="J62" i="24"/>
  <c r="J100" i="24" s="1"/>
  <c r="C42" i="24"/>
  <c r="C80" i="24" s="1"/>
  <c r="E42" i="24"/>
  <c r="E80" i="24" s="1"/>
  <c r="S68" i="24"/>
  <c r="S106" i="24" s="1"/>
  <c r="T66" i="24"/>
  <c r="T104" i="24" s="1"/>
  <c r="U65" i="24"/>
  <c r="U103" i="24" s="1"/>
  <c r="G68" i="24"/>
  <c r="G106" i="24" s="1"/>
  <c r="E67" i="24"/>
  <c r="E105" i="24" s="1"/>
  <c r="S62" i="24"/>
  <c r="S100" i="24" s="1"/>
  <c r="T68" i="24"/>
  <c r="T106" i="24" s="1"/>
  <c r="CA10" i="17"/>
  <c r="CA13" i="17" s="1"/>
  <c r="T64" i="24"/>
  <c r="T102" i="24" s="1"/>
  <c r="DJ10" i="17"/>
  <c r="DJ13" i="17" s="1"/>
  <c r="W66" i="24"/>
  <c r="W104" i="24" s="1"/>
  <c r="R63" i="24"/>
  <c r="R101" i="24" s="1"/>
  <c r="C56" i="24"/>
  <c r="C94" i="24" s="1"/>
  <c r="H47" i="24"/>
  <c r="H85" i="24" s="1"/>
  <c r="BV10" i="17"/>
  <c r="BV13" i="17" s="1"/>
  <c r="D68" i="24"/>
  <c r="D106" i="24" s="1"/>
  <c r="Q64" i="24"/>
  <c r="Q102" i="24" s="1"/>
  <c r="T67" i="24"/>
  <c r="T105" i="24" s="1"/>
  <c r="CJ10" i="17"/>
  <c r="CJ11" i="17" s="1"/>
  <c r="CJ14" i="17" s="1"/>
  <c r="T65" i="24"/>
  <c r="T103" i="24" s="1"/>
  <c r="R64" i="24"/>
  <c r="R102" i="24" s="1"/>
  <c r="U66" i="24"/>
  <c r="U104" i="24" s="1"/>
  <c r="T63" i="24"/>
  <c r="T101" i="24" s="1"/>
  <c r="W65" i="24"/>
  <c r="W103" i="24" s="1"/>
  <c r="S66" i="24"/>
  <c r="S104" i="24" s="1"/>
  <c r="V63" i="24"/>
  <c r="V101" i="24" s="1"/>
  <c r="P68" i="24"/>
  <c r="P106" i="24" s="1"/>
  <c r="S67" i="24"/>
  <c r="S105" i="24" s="1"/>
  <c r="V62" i="24"/>
  <c r="V100" i="24" s="1"/>
  <c r="V65" i="24"/>
  <c r="V103" i="24" s="1"/>
  <c r="G66" i="24"/>
  <c r="G104" i="24" s="1"/>
  <c r="R67" i="24"/>
  <c r="R105" i="24" s="1"/>
  <c r="K68" i="24"/>
  <c r="K106" i="24" s="1"/>
  <c r="M68" i="24"/>
  <c r="M106" i="24" s="1"/>
  <c r="P62" i="24"/>
  <c r="P100" i="24" s="1"/>
  <c r="U63" i="24"/>
  <c r="U101" i="24" s="1"/>
  <c r="J65" i="24"/>
  <c r="J103" i="24" s="1"/>
  <c r="W67" i="24"/>
  <c r="W105" i="24" s="1"/>
  <c r="M48" i="24"/>
  <c r="M86" i="24" s="1"/>
  <c r="Q68" i="24"/>
  <c r="Q106" i="24" s="1"/>
  <c r="E64" i="24"/>
  <c r="E102" i="24" s="1"/>
  <c r="P65" i="24"/>
  <c r="P103" i="24" s="1"/>
  <c r="D57" i="24"/>
  <c r="D95" i="24" s="1"/>
  <c r="H57" i="24"/>
  <c r="H95" i="24" s="1"/>
  <c r="C68" i="24"/>
  <c r="C106" i="24" s="1"/>
  <c r="U64" i="24"/>
  <c r="U102" i="24" s="1"/>
  <c r="L68" i="24"/>
  <c r="L106" i="24" s="1"/>
  <c r="E68" i="24"/>
  <c r="E106" i="24" s="1"/>
  <c r="N68" i="24"/>
  <c r="N106" i="24" s="1"/>
  <c r="V66" i="24"/>
  <c r="V104" i="24" s="1"/>
  <c r="G47" i="24"/>
  <c r="G85" i="24" s="1"/>
  <c r="H48" i="24"/>
  <c r="H86" i="24" s="1"/>
  <c r="DI10" i="17"/>
  <c r="DI13" i="17" s="1"/>
  <c r="F10" i="17"/>
  <c r="F11" i="17" s="1"/>
  <c r="F14" i="17" s="1"/>
  <c r="E124" i="24" s="1"/>
  <c r="D48" i="24"/>
  <c r="D86" i="24" s="1"/>
  <c r="L57" i="24"/>
  <c r="L95" i="24" s="1"/>
  <c r="F56" i="24"/>
  <c r="F94" i="24" s="1"/>
  <c r="K56" i="24"/>
  <c r="K94" i="24" s="1"/>
  <c r="W63" i="24"/>
  <c r="W101" i="24" s="1"/>
  <c r="R66" i="24"/>
  <c r="R104" i="24" s="1"/>
  <c r="V67" i="24"/>
  <c r="V105" i="24" s="1"/>
  <c r="E62" i="24"/>
  <c r="E100" i="24" s="1"/>
  <c r="F57" i="24"/>
  <c r="F95" i="24" s="1"/>
  <c r="G48" i="24"/>
  <c r="G86" i="24" s="1"/>
  <c r="K10" i="17"/>
  <c r="K13" i="17" s="1"/>
  <c r="H68" i="24"/>
  <c r="H106" i="24" s="1"/>
  <c r="V68" i="24"/>
  <c r="V106" i="24" s="1"/>
  <c r="E56" i="24"/>
  <c r="E94" i="24" s="1"/>
  <c r="I56" i="24"/>
  <c r="I94" i="24" s="1"/>
  <c r="C57" i="24"/>
  <c r="C95" i="24" s="1"/>
  <c r="K48" i="24"/>
  <c r="K86" i="24" s="1"/>
  <c r="U62" i="24"/>
  <c r="U100" i="24" s="1"/>
  <c r="H10" i="17"/>
  <c r="G69" i="24" s="1"/>
  <c r="G107" i="24" s="1"/>
  <c r="Q66" i="24"/>
  <c r="Q104" i="24" s="1"/>
  <c r="S63" i="24"/>
  <c r="S101" i="24" s="1"/>
  <c r="J67" i="24"/>
  <c r="J105" i="24" s="1"/>
  <c r="I68" i="24"/>
  <c r="I106" i="24" s="1"/>
  <c r="O66" i="24"/>
  <c r="O104" i="24" s="1"/>
  <c r="E66" i="24"/>
  <c r="E104" i="24" s="1"/>
  <c r="K67" i="24"/>
  <c r="K105" i="24" s="1"/>
  <c r="W68" i="24"/>
  <c r="W106" i="24" s="1"/>
  <c r="W62" i="24"/>
  <c r="W100" i="24" s="1"/>
  <c r="H67" i="24"/>
  <c r="H105" i="24" s="1"/>
  <c r="R68" i="24"/>
  <c r="R106" i="24" s="1"/>
  <c r="E63" i="24"/>
  <c r="E101" i="24" s="1"/>
  <c r="Q67" i="24"/>
  <c r="Q105" i="24" s="1"/>
  <c r="D47" i="24"/>
  <c r="D85" i="24" s="1"/>
  <c r="J68" i="24"/>
  <c r="J106" i="24" s="1"/>
  <c r="R65" i="24"/>
  <c r="R103" i="24" s="1"/>
  <c r="N62" i="24"/>
  <c r="N100" i="24" s="1"/>
  <c r="L56" i="24"/>
  <c r="L94" i="24" s="1"/>
  <c r="L48" i="24"/>
  <c r="L86" i="24" s="1"/>
  <c r="E47" i="24"/>
  <c r="E85" i="24" s="1"/>
  <c r="S64" i="24"/>
  <c r="S102" i="24" s="1"/>
  <c r="U68" i="24"/>
  <c r="U106" i="24" s="1"/>
  <c r="G57" i="24"/>
  <c r="G95" i="24" s="1"/>
  <c r="J48" i="24"/>
  <c r="J86" i="24" s="1"/>
  <c r="E48" i="24"/>
  <c r="E86" i="24" s="1"/>
  <c r="E57" i="24"/>
  <c r="E95" i="24" s="1"/>
  <c r="C48" i="24"/>
  <c r="C86" i="24" s="1"/>
  <c r="D67" i="24"/>
  <c r="D105" i="24" s="1"/>
  <c r="I47" i="24"/>
  <c r="I85" i="24" s="1"/>
  <c r="L47" i="24"/>
  <c r="L85" i="24" s="1"/>
  <c r="F48" i="24"/>
  <c r="F86" i="24" s="1"/>
  <c r="AG11" i="17"/>
  <c r="AG14" i="17" s="1"/>
  <c r="BZ11" i="17"/>
  <c r="BZ14" i="17" s="1"/>
  <c r="BG11" i="17"/>
  <c r="BG14" i="17" s="1"/>
  <c r="Y11" i="17"/>
  <c r="Y14" i="17" s="1"/>
  <c r="DO11" i="17"/>
  <c r="DO14" i="17" s="1"/>
  <c r="AU11" i="17"/>
  <c r="AU14" i="17" s="1"/>
  <c r="BC11" i="17"/>
  <c r="BC14" i="17" s="1"/>
  <c r="AR11" i="17"/>
  <c r="AR14" i="17" s="1"/>
  <c r="AA11" i="17"/>
  <c r="AA14" i="17" s="1"/>
  <c r="CQ11" i="17"/>
  <c r="CQ14" i="17" s="1"/>
  <c r="DD11" i="17"/>
  <c r="DD14" i="17" s="1"/>
  <c r="BE11" i="17"/>
  <c r="BE14" i="17" s="1"/>
  <c r="CF11" i="17"/>
  <c r="CF14" i="17" s="1"/>
  <c r="BR11" i="17"/>
  <c r="BR14" i="17" s="1"/>
  <c r="AV11" i="17"/>
  <c r="AV14" i="17" s="1"/>
  <c r="BD11" i="17"/>
  <c r="BD14" i="17" s="1"/>
  <c r="CG11" i="17"/>
  <c r="CG14" i="17" s="1"/>
  <c r="BI11" i="17"/>
  <c r="BI14" i="17" s="1"/>
  <c r="BW11" i="17"/>
  <c r="BW14" i="17" s="1"/>
  <c r="Q11" i="17"/>
  <c r="Q14" i="17" s="1"/>
  <c r="BM11" i="17"/>
  <c r="BM14" i="17" s="1"/>
  <c r="AP11" i="17"/>
  <c r="AP14" i="17" s="1"/>
  <c r="CD11" i="17"/>
  <c r="CD14" i="17" s="1"/>
  <c r="BJ11" i="17"/>
  <c r="BJ14" i="17" s="1"/>
  <c r="DC11" i="17"/>
  <c r="DC14" i="17" s="1"/>
  <c r="U11" i="17"/>
  <c r="U14" i="17" s="1"/>
  <c r="BT11" i="17"/>
  <c r="BT14" i="17" s="1"/>
  <c r="BY11" i="17"/>
  <c r="BY14" i="17" s="1"/>
  <c r="CR11" i="17"/>
  <c r="CR14" i="17" s="1"/>
  <c r="CP11" i="17"/>
  <c r="CP14" i="17" s="1"/>
  <c r="BU11" i="17"/>
  <c r="BU14" i="17" s="1"/>
  <c r="DG11" i="17"/>
  <c r="DG14" i="17" s="1"/>
  <c r="AL11" i="17"/>
  <c r="AL14" i="17" s="1"/>
  <c r="AM11" i="17"/>
  <c r="AM14" i="17" s="1"/>
  <c r="CW11" i="17"/>
  <c r="CW14" i="17" s="1"/>
  <c r="V11" i="17"/>
  <c r="V14" i="17" s="1"/>
  <c r="DQ11" i="17"/>
  <c r="DQ14" i="17" s="1"/>
  <c r="CK11" i="17"/>
  <c r="CK14" i="17" s="1"/>
  <c r="AQ11" i="17"/>
  <c r="AQ14" i="17" s="1"/>
  <c r="AT11" i="17"/>
  <c r="AT14" i="17" s="1"/>
  <c r="CZ11" i="17"/>
  <c r="CZ14" i="17" s="1"/>
  <c r="CC11" i="17"/>
  <c r="CC14" i="17" s="1"/>
  <c r="CB11" i="17"/>
  <c r="CB14" i="17" s="1"/>
  <c r="BX13" i="17"/>
  <c r="CM11" i="17"/>
  <c r="CM14" i="17" s="1"/>
  <c r="Z11" i="17"/>
  <c r="Z14" i="17" s="1"/>
  <c r="CO11" i="17"/>
  <c r="CO14" i="17" s="1"/>
  <c r="BX11" i="17"/>
  <c r="BX14" i="17" s="1"/>
  <c r="CX11" i="17"/>
  <c r="CX14" i="17" s="1"/>
  <c r="BN11" i="17"/>
  <c r="BN14" i="17" s="1"/>
  <c r="X11" i="17"/>
  <c r="X14" i="17" s="1"/>
  <c r="BQ11" i="17"/>
  <c r="BQ14" i="17" s="1"/>
  <c r="CT11" i="17"/>
  <c r="CT14" i="17" s="1"/>
  <c r="AS11" i="17"/>
  <c r="AS14" i="17" s="1"/>
  <c r="AO11" i="17"/>
  <c r="AO14" i="17" s="1"/>
  <c r="BB11" i="17"/>
  <c r="BB14" i="17" s="1"/>
  <c r="AI11" i="17"/>
  <c r="AI14" i="17" s="1"/>
  <c r="DH13" i="17"/>
  <c r="DP11" i="17"/>
  <c r="DP14" i="17" s="1"/>
  <c r="K28" i="16"/>
  <c r="J29" i="16"/>
  <c r="I143" i="24" s="1"/>
  <c r="AE11" i="17"/>
  <c r="AE14" i="17" s="1"/>
  <c r="BH11" i="17"/>
  <c r="BH14" i="17" s="1"/>
  <c r="DN11" i="17"/>
  <c r="DN14" i="17" s="1"/>
  <c r="AY11" i="17"/>
  <c r="AY14" i="17" s="1"/>
  <c r="AX11" i="17"/>
  <c r="AX14" i="17" s="1"/>
  <c r="R11" i="17"/>
  <c r="R14" i="17" s="1"/>
  <c r="BO11" i="17"/>
  <c r="BO14" i="17" s="1"/>
  <c r="AK11" i="17"/>
  <c r="AK14" i="17" s="1"/>
  <c r="CS11" i="17"/>
  <c r="CS14" i="17" s="1"/>
  <c r="BA11" i="17"/>
  <c r="BA14" i="17" s="1"/>
  <c r="DK11" i="17"/>
  <c r="DK14" i="17" s="1"/>
  <c r="DA11" i="17"/>
  <c r="DA14" i="17" s="1"/>
  <c r="N56" i="24"/>
  <c r="N94" i="24" s="1"/>
  <c r="N57" i="24"/>
  <c r="N95" i="24" s="1"/>
  <c r="N54" i="24"/>
  <c r="N92" i="24" s="1"/>
  <c r="N55" i="24"/>
  <c r="N93" i="24" s="1"/>
  <c r="N53" i="24"/>
  <c r="N91" i="24" s="1"/>
  <c r="N52" i="24"/>
  <c r="N90" i="24" s="1"/>
  <c r="N51" i="24"/>
  <c r="CH11" i="17"/>
  <c r="CH14" i="17" s="1"/>
  <c r="BK11" i="17"/>
  <c r="BK14" i="17" s="1"/>
  <c r="DE11" i="17"/>
  <c r="DE14" i="17" s="1"/>
  <c r="P15" i="22"/>
  <c r="O16" i="22"/>
  <c r="N146" i="24" s="1"/>
  <c r="M18" i="16"/>
  <c r="AF11" i="17"/>
  <c r="AF14" i="17" s="1"/>
  <c r="AB13" i="17"/>
  <c r="AJ11" i="17"/>
  <c r="AJ14" i="17" s="1"/>
  <c r="AH11" i="17"/>
  <c r="AH14" i="17" s="1"/>
  <c r="DM11" i="17"/>
  <c r="DM14" i="17" s="1"/>
  <c r="DL11" i="17"/>
  <c r="DL14" i="17" s="1"/>
  <c r="DB11" i="17"/>
  <c r="DB14" i="17" s="1"/>
  <c r="CU11" i="17"/>
  <c r="CU14" i="17" s="1"/>
  <c r="AW11" i="17"/>
  <c r="AW14" i="17" s="1"/>
  <c r="P12" i="16"/>
  <c r="Q9" i="16"/>
  <c r="CY11" i="17"/>
  <c r="CY14" i="17" s="1"/>
  <c r="BL13" i="17"/>
  <c r="R69" i="24"/>
  <c r="R107" i="24" s="1"/>
  <c r="AZ13" i="17"/>
  <c r="P13" i="17"/>
  <c r="AD11" i="17"/>
  <c r="AD14" i="17" s="1"/>
  <c r="L23" i="17"/>
  <c r="K144" i="24" s="1"/>
  <c r="M22" i="17"/>
  <c r="V69" i="24"/>
  <c r="V107" i="24" s="1"/>
  <c r="CV13" i="17"/>
  <c r="CI11" i="17"/>
  <c r="CI14" i="17" s="1"/>
  <c r="BS11" i="17"/>
  <c r="BS14" i="17" s="1"/>
  <c r="DS11" i="17"/>
  <c r="DS14" i="17" s="1"/>
  <c r="CE11" i="17"/>
  <c r="CE14" i="17" s="1"/>
  <c r="DF11" i="17"/>
  <c r="DF14" i="17" s="1"/>
  <c r="CN11" i="17"/>
  <c r="CN14" i="17" s="1"/>
  <c r="CL11" i="17"/>
  <c r="CL14" i="17" s="1"/>
  <c r="DR11" i="17"/>
  <c r="DR14" i="17" s="1"/>
  <c r="BF11" i="17"/>
  <c r="BF14" i="17" s="1"/>
  <c r="N17" i="16"/>
  <c r="N16" i="16"/>
  <c r="N15" i="16"/>
  <c r="P19" i="16"/>
  <c r="P11" i="16"/>
  <c r="Q8" i="16"/>
  <c r="P11" i="17"/>
  <c r="P14" i="17" s="1"/>
  <c r="N44" i="24"/>
  <c r="N82" i="24" s="1"/>
  <c r="N43" i="24"/>
  <c r="N81" i="24" s="1"/>
  <c r="N42" i="24"/>
  <c r="N48" i="24"/>
  <c r="N86" i="24" s="1"/>
  <c r="N47" i="24"/>
  <c r="N85" i="24" s="1"/>
  <c r="N46" i="24"/>
  <c r="N84" i="24" s="1"/>
  <c r="N45" i="24"/>
  <c r="N83" i="24" s="1"/>
  <c r="O14" i="16"/>
  <c r="Q69" i="24"/>
  <c r="Q107" i="24" s="1"/>
  <c r="AN13" i="17"/>
  <c r="BP11" i="17"/>
  <c r="BP14" i="17" s="1"/>
  <c r="S11" i="17"/>
  <c r="S14" i="17" s="1"/>
  <c r="N6" i="26" l="1"/>
  <c r="E71" i="31"/>
  <c r="C127" i="31"/>
  <c r="C71" i="31"/>
  <c r="C126" i="31"/>
  <c r="E67" i="31"/>
  <c r="E70" i="31"/>
  <c r="D67" i="31"/>
  <c r="D70" i="31"/>
  <c r="C67" i="31"/>
  <c r="C70" i="31"/>
  <c r="I11" i="17"/>
  <c r="I14" i="17" s="1"/>
  <c r="H124" i="24" s="1"/>
  <c r="L11" i="17"/>
  <c r="L14" i="17" s="1"/>
  <c r="K124" i="24" s="1"/>
  <c r="M13" i="17"/>
  <c r="L13" i="17"/>
  <c r="H69" i="24"/>
  <c r="H107" i="24" s="1"/>
  <c r="H108" i="24" s="1"/>
  <c r="H109" i="24" s="1"/>
  <c r="D14" i="23"/>
  <c r="C172" i="24" s="1"/>
  <c r="L69" i="24"/>
  <c r="L107" i="24" s="1"/>
  <c r="L108" i="24" s="1"/>
  <c r="L109" i="24" s="1"/>
  <c r="D13" i="17"/>
  <c r="C69" i="24"/>
  <c r="C107" i="24" s="1"/>
  <c r="C108" i="24" s="1"/>
  <c r="C109" i="24" s="1"/>
  <c r="D33" i="9"/>
  <c r="D41" i="9" s="1"/>
  <c r="N69" i="24"/>
  <c r="N107" i="24" s="1"/>
  <c r="N108" i="24" s="1"/>
  <c r="N109" i="24" s="1"/>
  <c r="N13" i="17"/>
  <c r="M69" i="24"/>
  <c r="M107" i="24" s="1"/>
  <c r="M108" i="24" s="1"/>
  <c r="M109" i="24" s="1"/>
  <c r="O13" i="17"/>
  <c r="P69" i="24"/>
  <c r="P107" i="24" s="1"/>
  <c r="P108" i="24" s="1"/>
  <c r="P109" i="24" s="1"/>
  <c r="F69" i="24"/>
  <c r="F107" i="24" s="1"/>
  <c r="F108" i="24" s="1"/>
  <c r="F109" i="24" s="1"/>
  <c r="G13" i="17"/>
  <c r="M96" i="24"/>
  <c r="H11" i="17"/>
  <c r="H14" i="17" s="1"/>
  <c r="G124" i="24" s="1"/>
  <c r="M58" i="24"/>
  <c r="M122" i="24" s="1"/>
  <c r="F87" i="24"/>
  <c r="I69" i="24"/>
  <c r="I107" i="24" s="1"/>
  <c r="I108" i="24" s="1"/>
  <c r="I109" i="24" s="1"/>
  <c r="J13" i="17"/>
  <c r="T11" i="17"/>
  <c r="T14" i="17" s="1"/>
  <c r="AC11" i="17"/>
  <c r="AC14" i="17" s="1"/>
  <c r="P124" i="24" s="1"/>
  <c r="G96" i="24"/>
  <c r="D96" i="24"/>
  <c r="E11" i="17"/>
  <c r="E14" i="17" s="1"/>
  <c r="D124" i="24" s="1"/>
  <c r="E13" i="17"/>
  <c r="J69" i="24"/>
  <c r="J107" i="24" s="1"/>
  <c r="J108" i="24" s="1"/>
  <c r="J109" i="24" s="1"/>
  <c r="O69" i="24"/>
  <c r="O107" i="24" s="1"/>
  <c r="O108" i="24" s="1"/>
  <c r="O109" i="24" s="1"/>
  <c r="DI11" i="17"/>
  <c r="DI14" i="17" s="1"/>
  <c r="W11" i="17"/>
  <c r="W14" i="17" s="1"/>
  <c r="S69" i="24"/>
  <c r="S107" i="24" s="1"/>
  <c r="S108" i="24" s="1"/>
  <c r="S109" i="24" s="1"/>
  <c r="K11" i="17"/>
  <c r="K14" i="17" s="1"/>
  <c r="J124" i="24" s="1"/>
  <c r="BV11" i="17"/>
  <c r="BV14" i="17" s="1"/>
  <c r="S124" i="24" s="1"/>
  <c r="I96" i="24"/>
  <c r="D58" i="24"/>
  <c r="D122" i="24" s="1"/>
  <c r="D87" i="24"/>
  <c r="J96" i="24"/>
  <c r="K87" i="24"/>
  <c r="C96" i="24"/>
  <c r="E69" i="24"/>
  <c r="E107" i="24" s="1"/>
  <c r="E108" i="24" s="1"/>
  <c r="E109" i="24" s="1"/>
  <c r="F49" i="24"/>
  <c r="F121" i="24" s="1"/>
  <c r="J58" i="24"/>
  <c r="J122" i="24" s="1"/>
  <c r="C87" i="24"/>
  <c r="F13" i="17"/>
  <c r="F96" i="24"/>
  <c r="U69" i="24"/>
  <c r="U107" i="24" s="1"/>
  <c r="U108" i="24" s="1"/>
  <c r="U109" i="24" s="1"/>
  <c r="K96" i="24"/>
  <c r="K49" i="24"/>
  <c r="K121" i="24" s="1"/>
  <c r="L87" i="24"/>
  <c r="G87" i="24"/>
  <c r="H96" i="24"/>
  <c r="H87" i="24"/>
  <c r="H13" i="17"/>
  <c r="E87" i="24"/>
  <c r="W69" i="24"/>
  <c r="W107" i="24" s="1"/>
  <c r="W108" i="24" s="1"/>
  <c r="W109" i="24" s="1"/>
  <c r="CJ13" i="17"/>
  <c r="H49" i="24"/>
  <c r="H121" i="24" s="1"/>
  <c r="H58" i="24"/>
  <c r="H122" i="24" s="1"/>
  <c r="E96" i="24"/>
  <c r="DJ11" i="17"/>
  <c r="DJ14" i="17" s="1"/>
  <c r="F58" i="24"/>
  <c r="F122" i="24" s="1"/>
  <c r="G49" i="24"/>
  <c r="G121" i="24" s="1"/>
  <c r="L58" i="24"/>
  <c r="L122" i="24" s="1"/>
  <c r="CA11" i="17"/>
  <c r="CA14" i="17" s="1"/>
  <c r="T124" i="24" s="1"/>
  <c r="L96" i="24"/>
  <c r="M49" i="24"/>
  <c r="T69" i="24"/>
  <c r="T107" i="24" s="1"/>
  <c r="T108" i="24" s="1"/>
  <c r="T109" i="24" s="1"/>
  <c r="G58" i="24"/>
  <c r="G122" i="24" s="1"/>
  <c r="M87" i="24"/>
  <c r="K58" i="24"/>
  <c r="K122" i="24" s="1"/>
  <c r="I58" i="24"/>
  <c r="I122" i="24" s="1"/>
  <c r="D49" i="24"/>
  <c r="D121" i="24" s="1"/>
  <c r="C58" i="24"/>
  <c r="C122" i="24" s="1"/>
  <c r="J87" i="24"/>
  <c r="J49" i="24"/>
  <c r="J121" i="24" s="1"/>
  <c r="I49" i="24"/>
  <c r="I121" i="24" s="1"/>
  <c r="E58" i="24"/>
  <c r="E122" i="24" s="1"/>
  <c r="I87" i="24"/>
  <c r="C49" i="24"/>
  <c r="C121" i="24" s="1"/>
  <c r="E49" i="24"/>
  <c r="E121" i="24" s="1"/>
  <c r="L49" i="24"/>
  <c r="L121" i="24" s="1"/>
  <c r="D108" i="24"/>
  <c r="D109" i="24" s="1"/>
  <c r="K108" i="24"/>
  <c r="K109" i="24" s="1"/>
  <c r="K70" i="24"/>
  <c r="K71" i="24" s="1"/>
  <c r="R124" i="24"/>
  <c r="D70" i="24"/>
  <c r="D71" i="24" s="1"/>
  <c r="R108" i="24"/>
  <c r="R109" i="24" s="1"/>
  <c r="Q124" i="24"/>
  <c r="V124" i="24"/>
  <c r="L28" i="16"/>
  <c r="K29" i="16"/>
  <c r="J143" i="24" s="1"/>
  <c r="Q70" i="24"/>
  <c r="Q71" i="24" s="1"/>
  <c r="Q19" i="16"/>
  <c r="Q11" i="16"/>
  <c r="R8" i="16"/>
  <c r="N22" i="17"/>
  <c r="M23" i="17"/>
  <c r="L144" i="24" s="1"/>
  <c r="Q12" i="16"/>
  <c r="R9" i="16"/>
  <c r="G70" i="24"/>
  <c r="G71" i="24" s="1"/>
  <c r="G14" i="17"/>
  <c r="F124" i="24" s="1"/>
  <c r="Q108" i="24"/>
  <c r="Q109" i="24" s="1"/>
  <c r="O17" i="16"/>
  <c r="O16" i="16"/>
  <c r="O15" i="16"/>
  <c r="N18" i="16"/>
  <c r="P14" i="16"/>
  <c r="G108" i="24"/>
  <c r="G109" i="24" s="1"/>
  <c r="N80" i="24"/>
  <c r="N87" i="24" s="1"/>
  <c r="N49" i="24"/>
  <c r="P16" i="22"/>
  <c r="Q15" i="22"/>
  <c r="N89" i="24"/>
  <c r="N96" i="24" s="1"/>
  <c r="N58" i="24"/>
  <c r="N122" i="24" s="1"/>
  <c r="V70" i="24"/>
  <c r="V71" i="24" s="1"/>
  <c r="U124" i="24"/>
  <c r="V108" i="24"/>
  <c r="V109" i="24" s="1"/>
  <c r="R70" i="24"/>
  <c r="R71" i="24" s="1"/>
  <c r="O6" i="26" l="1"/>
  <c r="C129" i="31"/>
  <c r="L70" i="24"/>
  <c r="L71" i="24" s="1"/>
  <c r="H70" i="24"/>
  <c r="H71" i="24" s="1"/>
  <c r="D35" i="9"/>
  <c r="D36" i="9" s="1"/>
  <c r="D38" i="9" s="1"/>
  <c r="D20" i="16" s="1"/>
  <c r="D23" i="16" s="1"/>
  <c r="C70" i="24"/>
  <c r="C71" i="24" s="1"/>
  <c r="D40" i="9"/>
  <c r="D39" i="9"/>
  <c r="C137" i="24" s="1"/>
  <c r="N70" i="24"/>
  <c r="N71" i="24" s="1"/>
  <c r="I70" i="24"/>
  <c r="I71" i="24" s="1"/>
  <c r="P70" i="24"/>
  <c r="P71" i="24" s="1"/>
  <c r="M70" i="24"/>
  <c r="M71" i="24" s="1"/>
  <c r="D97" i="24"/>
  <c r="F70" i="24"/>
  <c r="F71" i="24" s="1"/>
  <c r="M59" i="24"/>
  <c r="M97" i="24"/>
  <c r="F97" i="24"/>
  <c r="C97" i="24"/>
  <c r="C114" i="24" s="1"/>
  <c r="G97" i="24"/>
  <c r="O124" i="24"/>
  <c r="W124" i="24"/>
  <c r="H123" i="24"/>
  <c r="K97" i="24"/>
  <c r="O70" i="24"/>
  <c r="O71" i="24" s="1"/>
  <c r="J70" i="24"/>
  <c r="J71" i="24" s="1"/>
  <c r="S70" i="24"/>
  <c r="S71" i="24" s="1"/>
  <c r="E70" i="24"/>
  <c r="E71" i="24" s="1"/>
  <c r="J97" i="24"/>
  <c r="E97" i="24"/>
  <c r="W70" i="24"/>
  <c r="W71" i="24" s="1"/>
  <c r="D123" i="24"/>
  <c r="H97" i="24"/>
  <c r="F123" i="24"/>
  <c r="I97" i="24"/>
  <c r="J123" i="24"/>
  <c r="F59" i="24"/>
  <c r="U70" i="24"/>
  <c r="U71" i="24" s="1"/>
  <c r="I123" i="24"/>
  <c r="L123" i="24"/>
  <c r="D59" i="24"/>
  <c r="G123" i="24"/>
  <c r="L97" i="24"/>
  <c r="E123" i="24"/>
  <c r="T70" i="24"/>
  <c r="T71" i="24" s="1"/>
  <c r="K123" i="24"/>
  <c r="H59" i="24"/>
  <c r="G59" i="24"/>
  <c r="E59" i="24"/>
  <c r="K59" i="24"/>
  <c r="M121" i="24"/>
  <c r="M123" i="24" s="1"/>
  <c r="C123" i="24"/>
  <c r="I59" i="24"/>
  <c r="C59" i="24"/>
  <c r="J59" i="24"/>
  <c r="L59" i="24"/>
  <c r="R12" i="16"/>
  <c r="S9" i="16"/>
  <c r="O18" i="16"/>
  <c r="C139" i="24"/>
  <c r="D12" i="22"/>
  <c r="O22" i="17"/>
  <c r="N23" i="17"/>
  <c r="M144" i="24" s="1"/>
  <c r="M28" i="16"/>
  <c r="L29" i="16"/>
  <c r="K143" i="24" s="1"/>
  <c r="R15" i="22"/>
  <c r="Q16" i="22"/>
  <c r="P17" i="16"/>
  <c r="P16" i="16"/>
  <c r="P15" i="16"/>
  <c r="R19" i="16"/>
  <c r="R11" i="16"/>
  <c r="S8" i="16"/>
  <c r="N121" i="24"/>
  <c r="N123" i="24" s="1"/>
  <c r="N59" i="24"/>
  <c r="Q14" i="16"/>
  <c r="N97" i="24"/>
  <c r="D46" i="19" l="1"/>
  <c r="C126" i="24" s="1"/>
  <c r="C129" i="24" s="1"/>
  <c r="D18" i="17"/>
  <c r="D24" i="17" s="1"/>
  <c r="D25" i="17" s="1"/>
  <c r="C154" i="24" s="1"/>
  <c r="P6" i="26"/>
  <c r="C138" i="24"/>
  <c r="D37" i="9"/>
  <c r="C136" i="24"/>
  <c r="D19" i="23"/>
  <c r="C75" i="24"/>
  <c r="C171" i="24" s="1"/>
  <c r="C173" i="24" s="1"/>
  <c r="P18" i="16"/>
  <c r="D30" i="16"/>
  <c r="D31" i="16" s="1"/>
  <c r="C153" i="24" s="1"/>
  <c r="S12" i="16"/>
  <c r="T9" i="16"/>
  <c r="S19" i="16"/>
  <c r="S11" i="16"/>
  <c r="T8" i="16"/>
  <c r="D17" i="22"/>
  <c r="D18" i="22" s="1"/>
  <c r="C156" i="24" s="1"/>
  <c r="R14" i="16"/>
  <c r="S15" i="22"/>
  <c r="R16" i="22"/>
  <c r="Q17" i="16"/>
  <c r="Q16" i="16"/>
  <c r="Q15" i="16"/>
  <c r="N28" i="16"/>
  <c r="M29" i="16"/>
  <c r="L143" i="24" s="1"/>
  <c r="O23" i="17"/>
  <c r="N144" i="24" s="1"/>
  <c r="P22" i="17"/>
  <c r="Q6" i="26" l="1"/>
  <c r="C140" i="24"/>
  <c r="D49" i="19"/>
  <c r="D50" i="19" s="1"/>
  <c r="C155" i="24" s="1"/>
  <c r="C157" i="24" s="1"/>
  <c r="C116" i="24"/>
  <c r="C117" i="24" s="1"/>
  <c r="D13" i="19"/>
  <c r="D14" i="19" s="1"/>
  <c r="D15" i="23"/>
  <c r="D26" i="17"/>
  <c r="D8" i="19" s="1"/>
  <c r="S16" i="22"/>
  <c r="T15" i="22"/>
  <c r="N29" i="16"/>
  <c r="M143" i="24" s="1"/>
  <c r="O28" i="16"/>
  <c r="T12" i="16"/>
  <c r="U9" i="16"/>
  <c r="D19" i="22"/>
  <c r="T19" i="16"/>
  <c r="T11" i="16"/>
  <c r="U8" i="16"/>
  <c r="S14" i="16"/>
  <c r="Q22" i="17"/>
  <c r="P23" i="17"/>
  <c r="Q18" i="16"/>
  <c r="R16" i="16"/>
  <c r="R17" i="16"/>
  <c r="R15" i="16"/>
  <c r="D32" i="16"/>
  <c r="R6" i="26" l="1"/>
  <c r="C159" i="24"/>
  <c r="C176" i="24"/>
  <c r="D51" i="19"/>
  <c r="D55" i="19" s="1"/>
  <c r="C131" i="24"/>
  <c r="C132" i="24" s="1"/>
  <c r="D27" i="17"/>
  <c r="D7" i="23" s="1"/>
  <c r="R18" i="16"/>
  <c r="U19" i="16"/>
  <c r="U11" i="16"/>
  <c r="V8" i="16"/>
  <c r="T14" i="16"/>
  <c r="D20" i="22"/>
  <c r="D9" i="19"/>
  <c r="R22" i="17"/>
  <c r="Q23" i="17"/>
  <c r="U12" i="16"/>
  <c r="V9" i="16"/>
  <c r="D7" i="19"/>
  <c r="D33" i="16"/>
  <c r="P28" i="16"/>
  <c r="O29" i="16"/>
  <c r="N143" i="24" s="1"/>
  <c r="S17" i="16"/>
  <c r="S16" i="16"/>
  <c r="S15" i="16"/>
  <c r="U15" i="22"/>
  <c r="T16" i="22"/>
  <c r="S6" i="26" l="1"/>
  <c r="D28" i="17"/>
  <c r="D29" i="17"/>
  <c r="D30" i="17" s="1"/>
  <c r="C149" i="24"/>
  <c r="C162" i="24" s="1"/>
  <c r="C175" i="24" s="1"/>
  <c r="C177" i="24" s="1"/>
  <c r="D10" i="19"/>
  <c r="D11" i="19" s="1"/>
  <c r="D53" i="19" s="1"/>
  <c r="E16" i="19" s="1"/>
  <c r="D22" i="22"/>
  <c r="D23" i="22" s="1"/>
  <c r="D21" i="22"/>
  <c r="D9" i="23"/>
  <c r="V19" i="16"/>
  <c r="V11" i="16"/>
  <c r="W8" i="16"/>
  <c r="D8" i="23"/>
  <c r="S22" i="17"/>
  <c r="R23" i="17"/>
  <c r="V15" i="22"/>
  <c r="U16" i="22"/>
  <c r="P29" i="16"/>
  <c r="Q28" i="16"/>
  <c r="U14" i="16"/>
  <c r="D6" i="23"/>
  <c r="D35" i="16"/>
  <c r="D36" i="16" s="1"/>
  <c r="D34" i="16"/>
  <c r="T17" i="16"/>
  <c r="T16" i="16"/>
  <c r="T15" i="16"/>
  <c r="S18" i="16"/>
  <c r="V12" i="16"/>
  <c r="W9" i="16"/>
  <c r="T6" i="26" l="1"/>
  <c r="C163" i="24"/>
  <c r="C150" i="24"/>
  <c r="D10" i="23"/>
  <c r="D12" i="23" s="1"/>
  <c r="D13" i="23" s="1"/>
  <c r="U17" i="16"/>
  <c r="U16" i="16"/>
  <c r="U15" i="16"/>
  <c r="R28" i="16"/>
  <c r="Q29" i="16"/>
  <c r="W12" i="16"/>
  <c r="X9" i="16"/>
  <c r="E17" i="19"/>
  <c r="W19" i="16"/>
  <c r="W11" i="16"/>
  <c r="X8" i="16"/>
  <c r="V14" i="16"/>
  <c r="V16" i="22"/>
  <c r="W15" i="22"/>
  <c r="T18" i="16"/>
  <c r="T22" i="17"/>
  <c r="S23" i="17"/>
  <c r="U6" i="26" l="1"/>
  <c r="E21" i="19"/>
  <c r="E19" i="19"/>
  <c r="E20" i="19"/>
  <c r="D11" i="23"/>
  <c r="V17" i="16"/>
  <c r="V16" i="16"/>
  <c r="V15" i="16"/>
  <c r="R29" i="16"/>
  <c r="S28" i="16"/>
  <c r="X12" i="16"/>
  <c r="Y9" i="16"/>
  <c r="X19" i="16"/>
  <c r="X11" i="16"/>
  <c r="Y8" i="16"/>
  <c r="U18" i="16"/>
  <c r="W14" i="16"/>
  <c r="T23" i="17"/>
  <c r="U22" i="17"/>
  <c r="X15" i="22"/>
  <c r="W16" i="22"/>
  <c r="E22" i="19" l="1"/>
  <c r="V6" i="26"/>
  <c r="E14" i="26"/>
  <c r="E12" i="26"/>
  <c r="X14" i="16"/>
  <c r="X17" i="16" s="1"/>
  <c r="V22" i="17"/>
  <c r="U23" i="17"/>
  <c r="T28" i="16"/>
  <c r="S29" i="16"/>
  <c r="V18" i="16"/>
  <c r="Y19" i="16"/>
  <c r="Y11" i="16"/>
  <c r="Z8" i="16"/>
  <c r="X16" i="22"/>
  <c r="Y15" i="22"/>
  <c r="Y12" i="16"/>
  <c r="Z9" i="16"/>
  <c r="W17" i="16"/>
  <c r="W16" i="16"/>
  <c r="W15" i="16"/>
  <c r="E24" i="19" l="1"/>
  <c r="E16" i="26" a="1"/>
  <c r="E16" i="26" s="1"/>
  <c r="E21" i="16" s="1"/>
  <c r="W6" i="26"/>
  <c r="X15" i="16"/>
  <c r="X18" i="16" s="1"/>
  <c r="X16" i="16"/>
  <c r="U28" i="16"/>
  <c r="T29" i="16"/>
  <c r="Z15" i="22"/>
  <c r="Y16" i="22"/>
  <c r="Z19" i="16"/>
  <c r="Z11" i="16"/>
  <c r="AA8" i="16"/>
  <c r="V23" i="17"/>
  <c r="W22" i="17"/>
  <c r="Y14" i="16"/>
  <c r="W18" i="16"/>
  <c r="Z12" i="16"/>
  <c r="AA9" i="16"/>
  <c r="E16" i="17" l="1"/>
  <c r="X6" i="26"/>
  <c r="AA12" i="16"/>
  <c r="AB9" i="16"/>
  <c r="V28" i="16"/>
  <c r="U29" i="16"/>
  <c r="W23" i="17"/>
  <c r="X22" i="17"/>
  <c r="AA19" i="16"/>
  <c r="AA11" i="16"/>
  <c r="AB8" i="16"/>
  <c r="Z16" i="22"/>
  <c r="AA15" i="22"/>
  <c r="Y17" i="16"/>
  <c r="Y16" i="16"/>
  <c r="Y15" i="16"/>
  <c r="E30" i="19"/>
  <c r="E29" i="19"/>
  <c r="E25" i="19"/>
  <c r="Z14" i="16"/>
  <c r="Y6" i="26" l="1"/>
  <c r="Z17" i="16"/>
  <c r="Z16" i="16"/>
  <c r="Z15" i="16"/>
  <c r="H56" i="19"/>
  <c r="F27" i="19"/>
  <c r="E47" i="20"/>
  <c r="E35" i="19"/>
  <c r="AA14" i="16"/>
  <c r="O42" i="24"/>
  <c r="O48" i="24"/>
  <c r="O86" i="24" s="1"/>
  <c r="O47" i="24"/>
  <c r="O85" i="24" s="1"/>
  <c r="O44" i="24"/>
  <c r="O82" i="24" s="1"/>
  <c r="O43" i="24"/>
  <c r="O81" i="24" s="1"/>
  <c r="O45" i="24"/>
  <c r="O83" i="24" s="1"/>
  <c r="O46" i="24"/>
  <c r="O84" i="24" s="1"/>
  <c r="E47" i="19"/>
  <c r="E16" i="23"/>
  <c r="Y22" i="17"/>
  <c r="X23" i="17"/>
  <c r="Y18" i="16"/>
  <c r="AB12" i="16"/>
  <c r="AC9" i="16"/>
  <c r="W28" i="16"/>
  <c r="V29" i="16"/>
  <c r="AA16" i="22"/>
  <c r="O146" i="24" s="1"/>
  <c r="AB15" i="22"/>
  <c r="O56" i="24"/>
  <c r="O94" i="24" s="1"/>
  <c r="O54" i="24"/>
  <c r="O92" i="24" s="1"/>
  <c r="O57" i="24"/>
  <c r="O95" i="24" s="1"/>
  <c r="O51" i="24"/>
  <c r="O53" i="24"/>
  <c r="O91" i="24" s="1"/>
  <c r="O52" i="24"/>
  <c r="O90" i="24" s="1"/>
  <c r="O55" i="24"/>
  <c r="O93" i="24" s="1"/>
  <c r="AB19" i="16"/>
  <c r="AC8" i="16"/>
  <c r="AB11" i="16"/>
  <c r="Z6" i="26" l="1"/>
  <c r="O80" i="24"/>
  <c r="O87" i="24" s="1"/>
  <c r="O49" i="24"/>
  <c r="E48" i="20"/>
  <c r="E38" i="19"/>
  <c r="Y23" i="17"/>
  <c r="Z22" i="17"/>
  <c r="AC12" i="16"/>
  <c r="AD9" i="16"/>
  <c r="E48" i="19"/>
  <c r="D145" i="24" s="1"/>
  <c r="D147" i="24" s="1"/>
  <c r="E18" i="23"/>
  <c r="E36" i="19"/>
  <c r="E30" i="9"/>
  <c r="E31" i="9" s="1"/>
  <c r="E32" i="9" s="1"/>
  <c r="AA17" i="16"/>
  <c r="AA16" i="16"/>
  <c r="AA15" i="16"/>
  <c r="K57" i="19"/>
  <c r="H65" i="19"/>
  <c r="H66" i="19"/>
  <c r="H43" i="19"/>
  <c r="H36" i="20"/>
  <c r="H12" i="20"/>
  <c r="H37" i="20"/>
  <c r="H40" i="20"/>
  <c r="H42" i="20"/>
  <c r="H27" i="20"/>
  <c r="H31" i="20"/>
  <c r="H34" i="20"/>
  <c r="H45" i="20"/>
  <c r="H41" i="20"/>
  <c r="H33" i="20"/>
  <c r="H46" i="20"/>
  <c r="H32" i="20"/>
  <c r="H39" i="20"/>
  <c r="H43" i="20"/>
  <c r="H22" i="20"/>
  <c r="H16" i="20"/>
  <c r="H19" i="20"/>
  <c r="H35" i="20"/>
  <c r="H14" i="20"/>
  <c r="H23" i="20"/>
  <c r="H15" i="20"/>
  <c r="H28" i="20"/>
  <c r="H24" i="20"/>
  <c r="H10" i="20"/>
  <c r="H17" i="20"/>
  <c r="H29" i="20"/>
  <c r="H9" i="20"/>
  <c r="H8" i="20"/>
  <c r="H26" i="20"/>
  <c r="H25" i="20"/>
  <c r="H18" i="20"/>
  <c r="H44" i="20"/>
  <c r="H21" i="20"/>
  <c r="H13" i="20"/>
  <c r="H11" i="20"/>
  <c r="H30" i="20"/>
  <c r="H20" i="20"/>
  <c r="H38" i="20"/>
  <c r="Z18" i="16"/>
  <c r="O89" i="24"/>
  <c r="O96" i="24" s="1"/>
  <c r="O58" i="24"/>
  <c r="O122" i="24" s="1"/>
  <c r="AB14" i="16"/>
  <c r="X28" i="16"/>
  <c r="W29" i="16"/>
  <c r="AC19" i="16"/>
  <c r="AC11" i="16"/>
  <c r="AD8" i="16"/>
  <c r="AC15" i="22"/>
  <c r="AB16" i="22"/>
  <c r="AA6" i="26" l="1"/>
  <c r="AC14" i="16"/>
  <c r="AC15" i="16" s="1"/>
  <c r="AB16" i="16"/>
  <c r="AB17" i="16"/>
  <c r="AB15" i="16"/>
  <c r="AA22" i="17"/>
  <c r="Z23" i="17"/>
  <c r="X29" i="16"/>
  <c r="Y28" i="16"/>
  <c r="AD15" i="22"/>
  <c r="AC16" i="22"/>
  <c r="AA18" i="16"/>
  <c r="AD19" i="16"/>
  <c r="AD11" i="16"/>
  <c r="AE8" i="16"/>
  <c r="E39" i="19"/>
  <c r="E40" i="19"/>
  <c r="E41" i="19"/>
  <c r="H59" i="19"/>
  <c r="O121" i="24"/>
  <c r="O123" i="24" s="1"/>
  <c r="O59" i="24"/>
  <c r="AD12" i="16"/>
  <c r="AE9" i="16"/>
  <c r="O97" i="24"/>
  <c r="AB6" i="26" l="1"/>
  <c r="E8" i="26"/>
  <c r="E44" i="19"/>
  <c r="D128" i="24" s="1"/>
  <c r="AC16" i="16"/>
  <c r="AC17" i="16"/>
  <c r="AE19" i="16"/>
  <c r="AE11" i="16"/>
  <c r="AF8" i="16"/>
  <c r="AD14" i="16"/>
  <c r="D110" i="24"/>
  <c r="D72" i="24"/>
  <c r="D75" i="24" s="1"/>
  <c r="E42" i="19"/>
  <c r="D125" i="24" s="1"/>
  <c r="E14" i="23"/>
  <c r="E33" i="9"/>
  <c r="AB22" i="17"/>
  <c r="AA23" i="17"/>
  <c r="O144" i="24" s="1"/>
  <c r="AE12" i="16"/>
  <c r="AF9" i="16"/>
  <c r="AC18" i="16"/>
  <c r="AB18" i="16"/>
  <c r="AE15" i="22"/>
  <c r="AD16" i="22"/>
  <c r="Z28" i="16"/>
  <c r="Y29" i="16"/>
  <c r="E18" i="26" l="1" a="1"/>
  <c r="E18" i="26" s="1"/>
  <c r="AC6" i="26"/>
  <c r="E10" i="26"/>
  <c r="E11" i="26" s="1"/>
  <c r="E17" i="26"/>
  <c r="AF15" i="22"/>
  <c r="AE16" i="22"/>
  <c r="AF19" i="16"/>
  <c r="AG8" i="16"/>
  <c r="AF11" i="16"/>
  <c r="AE14" i="16"/>
  <c r="Z29" i="16"/>
  <c r="AA28" i="16"/>
  <c r="AF12" i="16"/>
  <c r="AG9" i="16"/>
  <c r="AC22" i="17"/>
  <c r="AB23" i="17"/>
  <c r="AD17" i="16"/>
  <c r="AD16" i="16"/>
  <c r="AD15" i="16"/>
  <c r="D171" i="24"/>
  <c r="E39" i="9"/>
  <c r="E41" i="9"/>
  <c r="E40" i="9"/>
  <c r="E35" i="9"/>
  <c r="E36" i="9" s="1"/>
  <c r="D172" i="24"/>
  <c r="E17" i="17" l="1"/>
  <c r="E18" i="17" s="1"/>
  <c r="E22" i="16"/>
  <c r="E45" i="19"/>
  <c r="E19" i="26"/>
  <c r="E13" i="26"/>
  <c r="E17" i="23"/>
  <c r="AD6" i="26"/>
  <c r="AE17" i="16"/>
  <c r="AE16" i="16"/>
  <c r="AE15" i="16"/>
  <c r="AF14" i="16"/>
  <c r="AG19" i="16"/>
  <c r="AG11" i="16"/>
  <c r="AH8" i="16"/>
  <c r="E19" i="23"/>
  <c r="E37" i="9"/>
  <c r="AD22" i="17"/>
  <c r="AC23" i="17"/>
  <c r="D138" i="24"/>
  <c r="E38" i="9"/>
  <c r="AG12" i="16"/>
  <c r="AH9" i="16"/>
  <c r="D139" i="24"/>
  <c r="E12" i="22"/>
  <c r="AB28" i="16"/>
  <c r="AA29" i="16"/>
  <c r="O143" i="24" s="1"/>
  <c r="AF16" i="22"/>
  <c r="AG15" i="22"/>
  <c r="D137" i="24"/>
  <c r="D173" i="24"/>
  <c r="AD18" i="16"/>
  <c r="D113" i="24" l="1"/>
  <c r="D114" i="24" s="1"/>
  <c r="D116" i="24" s="1"/>
  <c r="D117" i="24" s="1"/>
  <c r="E46" i="19"/>
  <c r="D126" i="24" s="1"/>
  <c r="D129" i="24" s="1"/>
  <c r="AE6" i="26"/>
  <c r="E15" i="26"/>
  <c r="AG14" i="16"/>
  <c r="AG15" i="16" s="1"/>
  <c r="AF17" i="16"/>
  <c r="AF16" i="16"/>
  <c r="AF15" i="16"/>
  <c r="E24" i="17"/>
  <c r="E25" i="17" s="1"/>
  <c r="D154" i="24" s="1"/>
  <c r="E17" i="22"/>
  <c r="E18" i="22" s="1"/>
  <c r="D156" i="24" s="1"/>
  <c r="AE18" i="16"/>
  <c r="AH19" i="16"/>
  <c r="AI8" i="16"/>
  <c r="AH11" i="16"/>
  <c r="AD23" i="17"/>
  <c r="AE22" i="17"/>
  <c r="AG16" i="22"/>
  <c r="AH15" i="22"/>
  <c r="AH12" i="16"/>
  <c r="AI9" i="16"/>
  <c r="D136" i="24"/>
  <c r="D140" i="24" s="1"/>
  <c r="E20" i="16"/>
  <c r="E23" i="16" s="1"/>
  <c r="AB29" i="16"/>
  <c r="AC28" i="16"/>
  <c r="D131" i="24" l="1"/>
  <c r="D132" i="24" s="1"/>
  <c r="E49" i="19"/>
  <c r="E50" i="19" s="1"/>
  <c r="D155" i="24" s="1"/>
  <c r="AF6" i="26"/>
  <c r="AG17" i="16"/>
  <c r="AG16" i="16"/>
  <c r="E26" i="17"/>
  <c r="E27" i="17" s="1"/>
  <c r="AG18" i="16"/>
  <c r="AF18" i="16"/>
  <c r="AH14" i="16"/>
  <c r="AI19" i="16"/>
  <c r="AI11" i="16"/>
  <c r="AJ8" i="16"/>
  <c r="AF22" i="17"/>
  <c r="AE23" i="17"/>
  <c r="E19" i="22"/>
  <c r="E15" i="23"/>
  <c r="E30" i="16"/>
  <c r="E31" i="16" s="1"/>
  <c r="D153" i="24" s="1"/>
  <c r="E13" i="19"/>
  <c r="E14" i="19" s="1"/>
  <c r="AI12" i="16"/>
  <c r="AJ9" i="16"/>
  <c r="AD28" i="16"/>
  <c r="AC29" i="16"/>
  <c r="AH16" i="22"/>
  <c r="AI15" i="22"/>
  <c r="D149" i="24" l="1"/>
  <c r="D150" i="24" s="1"/>
  <c r="D157" i="24"/>
  <c r="D159" i="24" s="1"/>
  <c r="E51" i="19"/>
  <c r="E55" i="19" s="1"/>
  <c r="AG6" i="26"/>
  <c r="E8" i="19"/>
  <c r="AI14" i="16"/>
  <c r="AI16" i="16" s="1"/>
  <c r="E7" i="23"/>
  <c r="E29" i="17"/>
  <c r="E30" i="17" s="1"/>
  <c r="E28" i="17"/>
  <c r="D176" i="24"/>
  <c r="E32" i="16"/>
  <c r="AE28" i="16"/>
  <c r="AD29" i="16"/>
  <c r="E20" i="22"/>
  <c r="E9" i="19"/>
  <c r="AJ12" i="16"/>
  <c r="AK9" i="16"/>
  <c r="AF23" i="17"/>
  <c r="AG22" i="17"/>
  <c r="AJ19" i="16"/>
  <c r="AJ11" i="16"/>
  <c r="AK8" i="16"/>
  <c r="AH17" i="16"/>
  <c r="AH16" i="16"/>
  <c r="AH15" i="16"/>
  <c r="AJ15" i="22"/>
  <c r="AI16" i="22"/>
  <c r="D162" i="24" l="1"/>
  <c r="D163" i="24" s="1"/>
  <c r="E10" i="19"/>
  <c r="AH6" i="26"/>
  <c r="AI6" i="26"/>
  <c r="AI17" i="16"/>
  <c r="AI15" i="16"/>
  <c r="AI18" i="16" s="1"/>
  <c r="AJ14" i="16"/>
  <c r="AJ16" i="16" s="1"/>
  <c r="E22" i="22"/>
  <c r="E23" i="22" s="1"/>
  <c r="E9" i="23"/>
  <c r="E21" i="22"/>
  <c r="AH22" i="17"/>
  <c r="AG23" i="17"/>
  <c r="AJ16" i="22"/>
  <c r="AK15" i="22"/>
  <c r="AF28" i="16"/>
  <c r="AE29" i="16"/>
  <c r="E8" i="23"/>
  <c r="E7" i="19"/>
  <c r="E33" i="16"/>
  <c r="AH18" i="16"/>
  <c r="AK12" i="16"/>
  <c r="AL9" i="16"/>
  <c r="AK19" i="16"/>
  <c r="AK11" i="16"/>
  <c r="AL8" i="16"/>
  <c r="D175" i="24" l="1"/>
  <c r="D177" i="24" s="1"/>
  <c r="E11" i="19"/>
  <c r="E53" i="19" s="1"/>
  <c r="AJ6" i="26"/>
  <c r="AJ17" i="16"/>
  <c r="AJ15" i="16"/>
  <c r="AJ18" i="16" s="1"/>
  <c r="AK14" i="16"/>
  <c r="AK16" i="16" s="1"/>
  <c r="AG28" i="16"/>
  <c r="AF29" i="16"/>
  <c r="AL19" i="16"/>
  <c r="AM8" i="16"/>
  <c r="AL11" i="16"/>
  <c r="AK16" i="22"/>
  <c r="AL15" i="22"/>
  <c r="AL12" i="16"/>
  <c r="AM9" i="16"/>
  <c r="E6" i="23"/>
  <c r="E10" i="23" s="1"/>
  <c r="E35" i="16"/>
  <c r="E36" i="16" s="1"/>
  <c r="E34" i="16"/>
  <c r="AI22" i="17"/>
  <c r="AH23" i="17"/>
  <c r="F16" i="19" l="1"/>
  <c r="F17" i="19" s="1"/>
  <c r="AK6" i="26"/>
  <c r="AK17" i="16"/>
  <c r="AL14" i="16"/>
  <c r="AL16" i="16" s="1"/>
  <c r="AK15" i="16"/>
  <c r="AK18" i="16" s="1"/>
  <c r="E12" i="23"/>
  <c r="E13" i="23" s="1"/>
  <c r="E11" i="23"/>
  <c r="AM12" i="16"/>
  <c r="AN9" i="16"/>
  <c r="AL16" i="22"/>
  <c r="AM15" i="22"/>
  <c r="AH28" i="16"/>
  <c r="AG29" i="16"/>
  <c r="AM19" i="16"/>
  <c r="AM11" i="16"/>
  <c r="AN8" i="16"/>
  <c r="AI23" i="17"/>
  <c r="AJ22" i="17"/>
  <c r="F21" i="19" l="1"/>
  <c r="F19" i="19"/>
  <c r="F20" i="19"/>
  <c r="AL6" i="26"/>
  <c r="AL15" i="16"/>
  <c r="AL18" i="16" s="1"/>
  <c r="AL17" i="16"/>
  <c r="AN12" i="16"/>
  <c r="AO9" i="16"/>
  <c r="AK22" i="17"/>
  <c r="AJ23" i="17"/>
  <c r="P55" i="24"/>
  <c r="P93" i="24" s="1"/>
  <c r="P53" i="24"/>
  <c r="P91" i="24" s="1"/>
  <c r="P51" i="24"/>
  <c r="P57" i="24"/>
  <c r="P95" i="24" s="1"/>
  <c r="P52" i="24"/>
  <c r="P90" i="24" s="1"/>
  <c r="P56" i="24"/>
  <c r="P94" i="24" s="1"/>
  <c r="P54" i="24"/>
  <c r="P92" i="24" s="1"/>
  <c r="AH29" i="16"/>
  <c r="AI28" i="16"/>
  <c r="AN19" i="16"/>
  <c r="AN11" i="16"/>
  <c r="AO8" i="16"/>
  <c r="AM16" i="22"/>
  <c r="P146" i="24" s="1"/>
  <c r="AN15" i="22"/>
  <c r="AM14" i="16"/>
  <c r="P47" i="24"/>
  <c r="P85" i="24" s="1"/>
  <c r="P46" i="24"/>
  <c r="P84" i="24" s="1"/>
  <c r="P45" i="24"/>
  <c r="P83" i="24" s="1"/>
  <c r="P48" i="24"/>
  <c r="P86" i="24" s="1"/>
  <c r="P43" i="24"/>
  <c r="P81" i="24" s="1"/>
  <c r="P44" i="24"/>
  <c r="P82" i="24" s="1"/>
  <c r="P42" i="24"/>
  <c r="F22" i="19" l="1"/>
  <c r="F12" i="26"/>
  <c r="F14" i="26"/>
  <c r="F16" i="26" s="1" a="1"/>
  <c r="F16" i="26" s="1"/>
  <c r="F16" i="17" s="1"/>
  <c r="AJ28" i="16"/>
  <c r="AI29" i="16"/>
  <c r="AO15" i="22"/>
  <c r="AN16" i="22"/>
  <c r="P80" i="24"/>
  <c r="P87" i="24" s="1"/>
  <c r="P49" i="24"/>
  <c r="AO12" i="16"/>
  <c r="AP9" i="16"/>
  <c r="AO19" i="16"/>
  <c r="AO11" i="16"/>
  <c r="AP8" i="16"/>
  <c r="AN14" i="16"/>
  <c r="P89" i="24"/>
  <c r="P96" i="24" s="1"/>
  <c r="P58" i="24"/>
  <c r="P122" i="24" s="1"/>
  <c r="AM17" i="16"/>
  <c r="AM16" i="16"/>
  <c r="AM15" i="16"/>
  <c r="AL22" i="17"/>
  <c r="AK23" i="17"/>
  <c r="F24" i="19" l="1"/>
  <c r="F25" i="19" s="1"/>
  <c r="F21" i="16"/>
  <c r="AM6" i="26"/>
  <c r="P97" i="24"/>
  <c r="AQ9" i="16"/>
  <c r="AP12" i="16"/>
  <c r="AM22" i="17"/>
  <c r="AL23" i="17"/>
  <c r="AN17" i="16"/>
  <c r="AN16" i="16"/>
  <c r="AN15" i="16"/>
  <c r="AP19" i="16"/>
  <c r="AP11" i="16"/>
  <c r="AQ8" i="16"/>
  <c r="P121" i="24"/>
  <c r="P123" i="24" s="1"/>
  <c r="P59" i="24"/>
  <c r="AP15" i="22"/>
  <c r="AO16" i="22"/>
  <c r="AM18" i="16"/>
  <c r="AO14" i="16"/>
  <c r="AJ29" i="16"/>
  <c r="AK28" i="16"/>
  <c r="F30" i="19" l="1"/>
  <c r="F29" i="19"/>
  <c r="F47" i="19" s="1"/>
  <c r="AN6" i="26"/>
  <c r="G27" i="19"/>
  <c r="I56" i="19"/>
  <c r="F35" i="19"/>
  <c r="F47" i="20"/>
  <c r="AN22" i="17"/>
  <c r="AM23" i="17"/>
  <c r="P144" i="24" s="1"/>
  <c r="AL28" i="16"/>
  <c r="AK29" i="16"/>
  <c r="AN18" i="16"/>
  <c r="AQ19" i="16"/>
  <c r="AQ11" i="16"/>
  <c r="AR8" i="16"/>
  <c r="AP14" i="16"/>
  <c r="AP16" i="22"/>
  <c r="AQ15" i="22"/>
  <c r="AQ12" i="16"/>
  <c r="AR9" i="16"/>
  <c r="AO17" i="16"/>
  <c r="AO16" i="16"/>
  <c r="AO15" i="16"/>
  <c r="F16" i="23" l="1"/>
  <c r="AO6" i="26"/>
  <c r="AQ14" i="16"/>
  <c r="AO18" i="16"/>
  <c r="AL29" i="16"/>
  <c r="AM28" i="16"/>
  <c r="F18" i="23"/>
  <c r="F36" i="19"/>
  <c r="F30" i="9"/>
  <c r="F31" i="9" s="1"/>
  <c r="F32" i="9" s="1"/>
  <c r="F38" i="19"/>
  <c r="F48" i="20"/>
  <c r="I66" i="19"/>
  <c r="I65" i="19"/>
  <c r="L57" i="19"/>
  <c r="I43" i="19"/>
  <c r="I30" i="20"/>
  <c r="I37" i="20"/>
  <c r="I11" i="20"/>
  <c r="I13" i="20"/>
  <c r="I9" i="20"/>
  <c r="I19" i="20"/>
  <c r="I8" i="20"/>
  <c r="I27" i="20"/>
  <c r="I32" i="20"/>
  <c r="I46" i="20"/>
  <c r="I16" i="20"/>
  <c r="I20" i="20"/>
  <c r="I43" i="20"/>
  <c r="I26" i="20"/>
  <c r="I24" i="20"/>
  <c r="I10" i="20"/>
  <c r="I33" i="20"/>
  <c r="I38" i="20"/>
  <c r="I34" i="20"/>
  <c r="I14" i="20"/>
  <c r="I42" i="20"/>
  <c r="I23" i="20"/>
  <c r="I29" i="20"/>
  <c r="I21" i="20"/>
  <c r="I18" i="20"/>
  <c r="I28" i="20"/>
  <c r="I40" i="20"/>
  <c r="I36" i="20"/>
  <c r="I44" i="20"/>
  <c r="I22" i="20"/>
  <c r="I15" i="20"/>
  <c r="I12" i="20"/>
  <c r="I41" i="20"/>
  <c r="I25" i="20"/>
  <c r="I35" i="20"/>
  <c r="I17" i="20"/>
  <c r="I31" i="20"/>
  <c r="I39" i="20"/>
  <c r="I45" i="20"/>
  <c r="AN23" i="17"/>
  <c r="AO22" i="17"/>
  <c r="AS9" i="16"/>
  <c r="AR12" i="16"/>
  <c r="F48" i="19"/>
  <c r="E145" i="24" s="1"/>
  <c r="E147" i="24" s="1"/>
  <c r="AP17" i="16"/>
  <c r="AP16" i="16"/>
  <c r="AP15" i="16"/>
  <c r="AR15" i="22"/>
  <c r="AQ16" i="22"/>
  <c r="AR19" i="16"/>
  <c r="AR11" i="16"/>
  <c r="AS8" i="16"/>
  <c r="AP6" i="26" l="1"/>
  <c r="I59" i="19"/>
  <c r="AS15" i="22"/>
  <c r="AR16" i="22"/>
  <c r="AP22" i="17"/>
  <c r="AO23" i="17"/>
  <c r="AP18" i="16"/>
  <c r="AS19" i="16"/>
  <c r="AS11" i="16"/>
  <c r="AT8" i="16"/>
  <c r="AR14" i="16"/>
  <c r="AS12" i="16"/>
  <c r="AT9" i="16"/>
  <c r="F41" i="19"/>
  <c r="F40" i="19"/>
  <c r="F39" i="19"/>
  <c r="AQ17" i="16"/>
  <c r="AQ16" i="16"/>
  <c r="AQ15" i="16"/>
  <c r="AN28" i="16"/>
  <c r="AM29" i="16"/>
  <c r="P143" i="24" s="1"/>
  <c r="F8" i="26" l="1"/>
  <c r="F44" i="19"/>
  <c r="E128" i="24" s="1"/>
  <c r="AQ6" i="26"/>
  <c r="AR17" i="16"/>
  <c r="AR15" i="16"/>
  <c r="AR16" i="16"/>
  <c r="AT12" i="16"/>
  <c r="AU9" i="16"/>
  <c r="AT19" i="16"/>
  <c r="AT11" i="16"/>
  <c r="AU8" i="16"/>
  <c r="AO28" i="16"/>
  <c r="AN29" i="16"/>
  <c r="AQ18" i="16"/>
  <c r="AS14" i="16"/>
  <c r="AT15" i="22"/>
  <c r="AS16" i="22"/>
  <c r="AP23" i="17"/>
  <c r="AQ22" i="17"/>
  <c r="E110" i="24"/>
  <c r="E72" i="24"/>
  <c r="E75" i="24" s="1"/>
  <c r="F42" i="19"/>
  <c r="E125" i="24" s="1"/>
  <c r="F14" i="23"/>
  <c r="F33" i="9"/>
  <c r="F18" i="26" l="1" a="1"/>
  <c r="F18" i="26" s="1"/>
  <c r="AR6" i="26"/>
  <c r="F10" i="26"/>
  <c r="F11" i="26" s="1"/>
  <c r="F17" i="26"/>
  <c r="F41" i="9"/>
  <c r="F40" i="9"/>
  <c r="F39" i="9"/>
  <c r="F35" i="9"/>
  <c r="F36" i="9" s="1"/>
  <c r="F38" i="9" s="1"/>
  <c r="AT16" i="22"/>
  <c r="AU15" i="22"/>
  <c r="E172" i="24"/>
  <c r="AS17" i="16"/>
  <c r="AS16" i="16"/>
  <c r="AS15" i="16"/>
  <c r="E171" i="24"/>
  <c r="AU12" i="16"/>
  <c r="AV9" i="16"/>
  <c r="AQ23" i="17"/>
  <c r="AR22" i="17"/>
  <c r="AR18" i="16"/>
  <c r="AP28" i="16"/>
  <c r="AO29" i="16"/>
  <c r="AU19" i="16"/>
  <c r="AU11" i="16"/>
  <c r="AV8" i="16"/>
  <c r="AT14" i="16"/>
  <c r="F19" i="26" l="1"/>
  <c r="F17" i="17"/>
  <c r="F18" i="17" s="1"/>
  <c r="F22" i="16"/>
  <c r="F45" i="19"/>
  <c r="F13" i="26"/>
  <c r="F17" i="23"/>
  <c r="AS6" i="26"/>
  <c r="E138" i="24"/>
  <c r="AV19" i="16"/>
  <c r="AV11" i="16"/>
  <c r="AW8" i="16"/>
  <c r="AW9" i="16"/>
  <c r="AV12" i="16"/>
  <c r="AU16" i="22"/>
  <c r="AV15" i="22"/>
  <c r="F19" i="23"/>
  <c r="F37" i="9"/>
  <c r="E136" i="24"/>
  <c r="F20" i="16"/>
  <c r="E137" i="24"/>
  <c r="AS18" i="16"/>
  <c r="AQ28" i="16"/>
  <c r="AP29" i="16"/>
  <c r="E139" i="24"/>
  <c r="F12" i="22"/>
  <c r="AU14" i="16"/>
  <c r="E173" i="24"/>
  <c r="AT17" i="16"/>
  <c r="AT16" i="16"/>
  <c r="AT15" i="16"/>
  <c r="AS22" i="17"/>
  <c r="AR23" i="17"/>
  <c r="F23" i="16" l="1"/>
  <c r="F30" i="16" s="1"/>
  <c r="F31" i="16" s="1"/>
  <c r="E153" i="24" s="1"/>
  <c r="F46" i="19"/>
  <c r="F49" i="19" s="1"/>
  <c r="F50" i="19" s="1"/>
  <c r="E155" i="24" s="1"/>
  <c r="E113" i="24"/>
  <c r="E114" i="24" s="1"/>
  <c r="E116" i="24" s="1"/>
  <c r="E117" i="24" s="1"/>
  <c r="F15" i="26"/>
  <c r="AT6" i="26"/>
  <c r="AV16" i="22"/>
  <c r="AW15" i="22"/>
  <c r="AW12" i="16"/>
  <c r="AX9" i="16"/>
  <c r="AU17" i="16"/>
  <c r="AU16" i="16"/>
  <c r="AU15" i="16"/>
  <c r="F24" i="17"/>
  <c r="F25" i="17" s="1"/>
  <c r="E154" i="24" s="1"/>
  <c r="F17" i="22"/>
  <c r="F18" i="22" s="1"/>
  <c r="E156" i="24" s="1"/>
  <c r="AS23" i="17"/>
  <c r="AT22" i="17"/>
  <c r="AW19" i="16"/>
  <c r="AW11" i="16"/>
  <c r="AX8" i="16"/>
  <c r="E140" i="24"/>
  <c r="AV14" i="16"/>
  <c r="AT18" i="16"/>
  <c r="AR28" i="16"/>
  <c r="AQ29" i="16"/>
  <c r="F13" i="19" l="1"/>
  <c r="F14" i="19" s="1"/>
  <c r="E126" i="24"/>
  <c r="E129" i="24" s="1"/>
  <c r="E131" i="24" s="1"/>
  <c r="E132" i="24" s="1"/>
  <c r="F15" i="23"/>
  <c r="AU6" i="26"/>
  <c r="F51" i="19"/>
  <c r="F55" i="19" s="1"/>
  <c r="AV17" i="16"/>
  <c r="AV15" i="16"/>
  <c r="AV16" i="16"/>
  <c r="AU22" i="17"/>
  <c r="AT23" i="17"/>
  <c r="AW14" i="16"/>
  <c r="F26" i="17"/>
  <c r="AU18" i="16"/>
  <c r="E176" i="24"/>
  <c r="AX12" i="16"/>
  <c r="AY9" i="16"/>
  <c r="AX19" i="16"/>
  <c r="AX11" i="16"/>
  <c r="AY8" i="16"/>
  <c r="AR29" i="16"/>
  <c r="AS28" i="16"/>
  <c r="F19" i="22"/>
  <c r="AW16" i="22"/>
  <c r="AX15" i="22"/>
  <c r="E157" i="24"/>
  <c r="E159" i="24" s="1"/>
  <c r="F32" i="16"/>
  <c r="E149" i="24" l="1"/>
  <c r="E150" i="24" s="1"/>
  <c r="AV6" i="26"/>
  <c r="F10" i="19"/>
  <c r="AX14" i="16"/>
  <c r="AX17" i="16" s="1"/>
  <c r="F20" i="22"/>
  <c r="F9" i="19"/>
  <c r="AT28" i="16"/>
  <c r="AS29" i="16"/>
  <c r="AV18" i="16"/>
  <c r="F7" i="19"/>
  <c r="F33" i="16"/>
  <c r="F8" i="23"/>
  <c r="AY19" i="16"/>
  <c r="AY11" i="16"/>
  <c r="AZ8" i="16"/>
  <c r="F27" i="17"/>
  <c r="F8" i="19"/>
  <c r="AY12" i="16"/>
  <c r="AZ9" i="16"/>
  <c r="AW17" i="16"/>
  <c r="AW16" i="16"/>
  <c r="AW15" i="16"/>
  <c r="AY15" i="22"/>
  <c r="AX16" i="22"/>
  <c r="AV22" i="17"/>
  <c r="AU23" i="17"/>
  <c r="E162" i="24" l="1"/>
  <c r="E175" i="24" s="1"/>
  <c r="E177" i="24" s="1"/>
  <c r="AW6" i="26"/>
  <c r="AX15" i="16"/>
  <c r="AX18" i="16" s="1"/>
  <c r="AX16" i="16"/>
  <c r="AZ19" i="16"/>
  <c r="AZ11" i="16"/>
  <c r="BA8" i="16"/>
  <c r="AY14" i="16"/>
  <c r="Q45" i="24"/>
  <c r="Q83" i="24" s="1"/>
  <c r="Q47" i="24"/>
  <c r="Q85" i="24" s="1"/>
  <c r="Q44" i="24"/>
  <c r="Q82" i="24" s="1"/>
  <c r="Q42" i="24"/>
  <c r="Q46" i="24"/>
  <c r="Q84" i="24" s="1"/>
  <c r="Q48" i="24"/>
  <c r="Q86" i="24" s="1"/>
  <c r="Q43" i="24"/>
  <c r="Q81" i="24" s="1"/>
  <c r="AZ12" i="16"/>
  <c r="BA9" i="16"/>
  <c r="Q54" i="24"/>
  <c r="Q92" i="24" s="1"/>
  <c r="Q52" i="24"/>
  <c r="Q90" i="24" s="1"/>
  <c r="Q57" i="24"/>
  <c r="Q95" i="24" s="1"/>
  <c r="Q55" i="24"/>
  <c r="Q93" i="24" s="1"/>
  <c r="Q53" i="24"/>
  <c r="Q91" i="24" s="1"/>
  <c r="Q51" i="24"/>
  <c r="Q56" i="24"/>
  <c r="Q94" i="24" s="1"/>
  <c r="F7" i="23"/>
  <c r="F29" i="17"/>
  <c r="F30" i="17" s="1"/>
  <c r="F28" i="17"/>
  <c r="F6" i="23"/>
  <c r="F35" i="16"/>
  <c r="F36" i="16" s="1"/>
  <c r="F34" i="16"/>
  <c r="F9" i="23"/>
  <c r="F22" i="22"/>
  <c r="F23" i="22" s="1"/>
  <c r="F21" i="22"/>
  <c r="AW22" i="17"/>
  <c r="AV23" i="17"/>
  <c r="AT29" i="16"/>
  <c r="AU28" i="16"/>
  <c r="AZ15" i="22"/>
  <c r="AY16" i="22"/>
  <c r="Q146" i="24" s="1"/>
  <c r="AW18" i="16"/>
  <c r="F11" i="19"/>
  <c r="F53" i="19" s="1"/>
  <c r="G16" i="19" s="1"/>
  <c r="E163" i="24" l="1"/>
  <c r="AX6" i="26"/>
  <c r="G17" i="19"/>
  <c r="AY17" i="16"/>
  <c r="AY16" i="16"/>
  <c r="AY15" i="16"/>
  <c r="AZ14" i="16"/>
  <c r="BA12" i="16"/>
  <c r="BB9" i="16"/>
  <c r="BA19" i="16"/>
  <c r="BA11" i="16"/>
  <c r="BB8" i="16"/>
  <c r="AX22" i="17"/>
  <c r="AW23" i="17"/>
  <c r="AZ16" i="22"/>
  <c r="BA15" i="22"/>
  <c r="AV28" i="16"/>
  <c r="AU29" i="16"/>
  <c r="Q89" i="24"/>
  <c r="Q96" i="24" s="1"/>
  <c r="Q58" i="24"/>
  <c r="Q122" i="24" s="1"/>
  <c r="Q80" i="24"/>
  <c r="Q87" i="24" s="1"/>
  <c r="Q49" i="24"/>
  <c r="F10" i="23"/>
  <c r="AY6" i="26" l="1"/>
  <c r="G20" i="19"/>
  <c r="G21" i="19"/>
  <c r="G19" i="19"/>
  <c r="Q97" i="24"/>
  <c r="AV29" i="16"/>
  <c r="AW28" i="16"/>
  <c r="BA16" i="22"/>
  <c r="BB15" i="22"/>
  <c r="AZ17" i="16"/>
  <c r="AZ16" i="16"/>
  <c r="AZ15" i="16"/>
  <c r="AY18" i="16"/>
  <c r="BB12" i="16"/>
  <c r="BC9" i="16"/>
  <c r="Q121" i="24"/>
  <c r="Q123" i="24" s="1"/>
  <c r="Q59" i="24"/>
  <c r="AX23" i="17"/>
  <c r="AY22" i="17"/>
  <c r="BA14" i="16"/>
  <c r="F12" i="23"/>
  <c r="F13" i="23" s="1"/>
  <c r="F11" i="23"/>
  <c r="BB19" i="16"/>
  <c r="BB11" i="16"/>
  <c r="BC8" i="16"/>
  <c r="G22" i="19" l="1"/>
  <c r="AZ6" i="26"/>
  <c r="G14" i="26"/>
  <c r="G12" i="26"/>
  <c r="AZ18" i="16"/>
  <c r="BC12" i="16"/>
  <c r="BD9" i="16"/>
  <c r="BA17" i="16"/>
  <c r="BA16" i="16"/>
  <c r="BA15" i="16"/>
  <c r="BC19" i="16"/>
  <c r="BC11" i="16"/>
  <c r="BD8" i="16"/>
  <c r="AX28" i="16"/>
  <c r="AW29" i="16"/>
  <c r="BB16" i="22"/>
  <c r="BC15" i="22"/>
  <c r="BB14" i="16"/>
  <c r="AZ22" i="17"/>
  <c r="AY23" i="17"/>
  <c r="Q144" i="24" s="1"/>
  <c r="G24" i="19" l="1"/>
  <c r="G16" i="26" a="1"/>
  <c r="G16" i="26" s="1"/>
  <c r="G16" i="17" s="1"/>
  <c r="BA6" i="26"/>
  <c r="BD12" i="16"/>
  <c r="BE9" i="16"/>
  <c r="BD19" i="16"/>
  <c r="BD11" i="16"/>
  <c r="BE8" i="16"/>
  <c r="BC14" i="16"/>
  <c r="BB17" i="16"/>
  <c r="BB15" i="16"/>
  <c r="BB16" i="16"/>
  <c r="BA18" i="16"/>
  <c r="BD15" i="22"/>
  <c r="BC16" i="22"/>
  <c r="AZ23" i="17"/>
  <c r="BA22" i="17"/>
  <c r="AY28" i="16"/>
  <c r="AX29" i="16"/>
  <c r="G21" i="16" l="1"/>
  <c r="BB6" i="26"/>
  <c r="G29" i="19"/>
  <c r="G30" i="19"/>
  <c r="G25" i="19"/>
  <c r="BE19" i="16"/>
  <c r="BE11" i="16"/>
  <c r="BF8" i="16"/>
  <c r="BD14" i="16"/>
  <c r="AZ28" i="16"/>
  <c r="AY29" i="16"/>
  <c r="Q143" i="24" s="1"/>
  <c r="BE12" i="16"/>
  <c r="BF9" i="16"/>
  <c r="BD16" i="22"/>
  <c r="BE15" i="22"/>
  <c r="BB18" i="16"/>
  <c r="BB22" i="17"/>
  <c r="BA23" i="17"/>
  <c r="BC17" i="16"/>
  <c r="BC16" i="16"/>
  <c r="BC15" i="16"/>
  <c r="BC6" i="26" l="1"/>
  <c r="BE14" i="16"/>
  <c r="BE17" i="16" s="1"/>
  <c r="BF15" i="22"/>
  <c r="BE16" i="22"/>
  <c r="BC22" i="17"/>
  <c r="BB23" i="17"/>
  <c r="BA28" i="16"/>
  <c r="AZ29" i="16"/>
  <c r="BD17" i="16"/>
  <c r="BD16" i="16"/>
  <c r="BD15" i="16"/>
  <c r="BF19" i="16"/>
  <c r="BF11" i="16"/>
  <c r="BG8" i="16"/>
  <c r="BF12" i="16"/>
  <c r="BG9" i="16"/>
  <c r="J56" i="19"/>
  <c r="H27" i="19"/>
  <c r="G35" i="19"/>
  <c r="G47" i="20"/>
  <c r="BC18" i="16"/>
  <c r="G47" i="19"/>
  <c r="G16" i="23"/>
  <c r="BD6" i="26" l="1"/>
  <c r="BE15" i="16"/>
  <c r="BE18" i="16" s="1"/>
  <c r="BE16" i="16"/>
  <c r="BG12" i="16"/>
  <c r="BH9" i="16"/>
  <c r="G48" i="20"/>
  <c r="G38" i="19"/>
  <c r="BB28" i="16"/>
  <c r="BA29" i="16"/>
  <c r="G48" i="19"/>
  <c r="F145" i="24" s="1"/>
  <c r="F147" i="24" s="1"/>
  <c r="G18" i="23"/>
  <c r="G36" i="19"/>
  <c r="G30" i="9"/>
  <c r="G31" i="9" s="1"/>
  <c r="G32" i="9" s="1"/>
  <c r="BG19" i="16"/>
  <c r="BG11" i="16"/>
  <c r="BH8" i="16"/>
  <c r="BC23" i="17"/>
  <c r="BD22" i="17"/>
  <c r="BF14" i="16"/>
  <c r="BG15" i="22"/>
  <c r="BF16" i="22"/>
  <c r="J65" i="19"/>
  <c r="M57" i="19"/>
  <c r="J43" i="19"/>
  <c r="J66" i="19"/>
  <c r="J34" i="20"/>
  <c r="J18" i="20"/>
  <c r="J28" i="20"/>
  <c r="J44" i="20"/>
  <c r="J11" i="20"/>
  <c r="J9" i="20"/>
  <c r="J46" i="20"/>
  <c r="J38" i="20"/>
  <c r="J22" i="20"/>
  <c r="J40" i="20"/>
  <c r="J14" i="20"/>
  <c r="J26" i="20"/>
  <c r="J17" i="20"/>
  <c r="J39" i="20"/>
  <c r="J23" i="20"/>
  <c r="J27" i="20"/>
  <c r="J19" i="20"/>
  <c r="J32" i="20"/>
  <c r="J15" i="20"/>
  <c r="J43" i="20"/>
  <c r="J42" i="20"/>
  <c r="J12" i="20"/>
  <c r="J41" i="20"/>
  <c r="J35" i="20"/>
  <c r="J29" i="20"/>
  <c r="J21" i="20"/>
  <c r="J20" i="20"/>
  <c r="J31" i="20"/>
  <c r="J10" i="20"/>
  <c r="J45" i="20"/>
  <c r="J36" i="20"/>
  <c r="J30" i="20"/>
  <c r="J13" i="20"/>
  <c r="J37" i="20"/>
  <c r="J8" i="20"/>
  <c r="J25" i="20"/>
  <c r="J24" i="20"/>
  <c r="J33" i="20"/>
  <c r="J16" i="20"/>
  <c r="BD18" i="16"/>
  <c r="BE6" i="26" l="1"/>
  <c r="BG14" i="16"/>
  <c r="BG17" i="16" s="1"/>
  <c r="BE22" i="17"/>
  <c r="BD23" i="17"/>
  <c r="BH19" i="16"/>
  <c r="BH11" i="16"/>
  <c r="BI8" i="16"/>
  <c r="BB29" i="16"/>
  <c r="BC28" i="16"/>
  <c r="J59" i="19"/>
  <c r="BH12" i="16"/>
  <c r="BI9" i="16"/>
  <c r="G39" i="19"/>
  <c r="G41" i="19"/>
  <c r="G40" i="19"/>
  <c r="BH15" i="22"/>
  <c r="BG16" i="22"/>
  <c r="BF15" i="16"/>
  <c r="BF17" i="16"/>
  <c r="BF16" i="16"/>
  <c r="G8" i="26" l="1"/>
  <c r="G44" i="19"/>
  <c r="F128" i="24" s="1"/>
  <c r="BF6" i="26"/>
  <c r="BG15" i="16"/>
  <c r="BG18" i="16" s="1"/>
  <c r="BG16" i="16"/>
  <c r="F110" i="24"/>
  <c r="F72" i="24"/>
  <c r="F75" i="24" s="1"/>
  <c r="G42" i="19"/>
  <c r="F125" i="24" s="1"/>
  <c r="G14" i="23"/>
  <c r="G33" i="9"/>
  <c r="BI12" i="16"/>
  <c r="BJ9" i="16"/>
  <c r="BD28" i="16"/>
  <c r="BC29" i="16"/>
  <c r="BI19" i="16"/>
  <c r="BI11" i="16"/>
  <c r="BJ8" i="16"/>
  <c r="BI15" i="22"/>
  <c r="BH16" i="22"/>
  <c r="BH14" i="16"/>
  <c r="BF18" i="16"/>
  <c r="BF22" i="17"/>
  <c r="BE23" i="17"/>
  <c r="G18" i="26" l="1" a="1"/>
  <c r="G18" i="26" s="1"/>
  <c r="BG6" i="26"/>
  <c r="G10" i="26"/>
  <c r="G11" i="26" s="1"/>
  <c r="G17" i="26"/>
  <c r="BJ12" i="16"/>
  <c r="BK9" i="16"/>
  <c r="G35" i="9"/>
  <c r="G36" i="9" s="1"/>
  <c r="G41" i="9" s="1"/>
  <c r="F172" i="24"/>
  <c r="BI14" i="16"/>
  <c r="F171" i="24"/>
  <c r="BG22" i="17"/>
  <c r="BF23" i="17"/>
  <c r="BJ15" i="22"/>
  <c r="BI16" i="22"/>
  <c r="BJ19" i="16"/>
  <c r="BK8" i="16"/>
  <c r="BJ11" i="16"/>
  <c r="BH17" i="16"/>
  <c r="BH16" i="16"/>
  <c r="BH15" i="16"/>
  <c r="BD29" i="16"/>
  <c r="BE28" i="16"/>
  <c r="G19" i="26" l="1"/>
  <c r="G17" i="17"/>
  <c r="G22" i="16"/>
  <c r="G45" i="19"/>
  <c r="G17" i="23"/>
  <c r="G13" i="26"/>
  <c r="BH6" i="26"/>
  <c r="F173" i="24"/>
  <c r="G39" i="9"/>
  <c r="BH18" i="16"/>
  <c r="BF28" i="16"/>
  <c r="BE29" i="16"/>
  <c r="BI17" i="16"/>
  <c r="BI16" i="16"/>
  <c r="BI15" i="16"/>
  <c r="BJ16" i="22"/>
  <c r="BK15" i="22"/>
  <c r="G19" i="23"/>
  <c r="G37" i="9"/>
  <c r="BJ14" i="16"/>
  <c r="G40" i="9"/>
  <c r="BK19" i="16"/>
  <c r="BK11" i="16"/>
  <c r="BL8" i="16"/>
  <c r="BH22" i="17"/>
  <c r="BG23" i="17"/>
  <c r="G38" i="9"/>
  <c r="F139" i="24"/>
  <c r="G12" i="22"/>
  <c r="BK12" i="16"/>
  <c r="BL9" i="16"/>
  <c r="F113" i="24" l="1"/>
  <c r="F114" i="24" s="1"/>
  <c r="F116" i="24" s="1"/>
  <c r="F117" i="24" s="1"/>
  <c r="G46" i="19"/>
  <c r="F126" i="24" s="1"/>
  <c r="G18" i="17"/>
  <c r="G24" i="17" s="1"/>
  <c r="G25" i="17" s="1"/>
  <c r="F154" i="24" s="1"/>
  <c r="F137" i="24"/>
  <c r="G15" i="26"/>
  <c r="BI6" i="26"/>
  <c r="G17" i="22"/>
  <c r="G18" i="22" s="1"/>
  <c r="F156" i="24" s="1"/>
  <c r="F136" i="24"/>
  <c r="G20" i="16"/>
  <c r="G23" i="16" s="1"/>
  <c r="BF29" i="16"/>
  <c r="BG28" i="16"/>
  <c r="BH23" i="17"/>
  <c r="BI22" i="17"/>
  <c r="BK14" i="16"/>
  <c r="R43" i="24"/>
  <c r="R81" i="24" s="1"/>
  <c r="R46" i="24"/>
  <c r="R84" i="24" s="1"/>
  <c r="R44" i="24"/>
  <c r="R82" i="24" s="1"/>
  <c r="R45" i="24"/>
  <c r="R83" i="24" s="1"/>
  <c r="R48" i="24"/>
  <c r="R86" i="24" s="1"/>
  <c r="R42" i="24"/>
  <c r="R47" i="24"/>
  <c r="R85" i="24" s="1"/>
  <c r="BI18" i="16"/>
  <c r="BJ17" i="16"/>
  <c r="BJ16" i="16"/>
  <c r="BJ15" i="16"/>
  <c r="BL19" i="16"/>
  <c r="BM8" i="16"/>
  <c r="BL11" i="16"/>
  <c r="BK16" i="22"/>
  <c r="R146" i="24" s="1"/>
  <c r="BL15" i="22"/>
  <c r="BL12" i="16"/>
  <c r="BM9" i="16"/>
  <c r="R56" i="24"/>
  <c r="R94" i="24" s="1"/>
  <c r="R52" i="24"/>
  <c r="R90" i="24" s="1"/>
  <c r="R55" i="24"/>
  <c r="R93" i="24" s="1"/>
  <c r="R51" i="24"/>
  <c r="R53" i="24"/>
  <c r="R91" i="24" s="1"/>
  <c r="R57" i="24"/>
  <c r="R95" i="24" s="1"/>
  <c r="R54" i="24"/>
  <c r="R92" i="24" s="1"/>
  <c r="F138" i="24"/>
  <c r="F129" i="24" l="1"/>
  <c r="F131" i="24" s="1"/>
  <c r="F132" i="24" s="1"/>
  <c r="BJ6" i="26"/>
  <c r="BK17" i="16"/>
  <c r="BK16" i="16"/>
  <c r="BK15" i="16"/>
  <c r="BL14" i="16"/>
  <c r="BJ22" i="17"/>
  <c r="BI23" i="17"/>
  <c r="R58" i="24"/>
  <c r="R122" i="24" s="1"/>
  <c r="R89" i="24"/>
  <c r="R96" i="24" s="1"/>
  <c r="G15" i="23"/>
  <c r="G30" i="16"/>
  <c r="G31" i="16" s="1"/>
  <c r="F153" i="24" s="1"/>
  <c r="G13" i="19"/>
  <c r="G14" i="19" s="1"/>
  <c r="BH28" i="16"/>
  <c r="BG29" i="16"/>
  <c r="R80" i="24"/>
  <c r="R87" i="24" s="1"/>
  <c r="R49" i="24"/>
  <c r="G26" i="17"/>
  <c r="BM12" i="16"/>
  <c r="BN9" i="16"/>
  <c r="BJ18" i="16"/>
  <c r="F140" i="24"/>
  <c r="G49" i="19"/>
  <c r="G50" i="19" s="1"/>
  <c r="F155" i="24" s="1"/>
  <c r="BM19" i="16"/>
  <c r="BM11" i="16"/>
  <c r="BN8" i="16"/>
  <c r="BL16" i="22"/>
  <c r="BM15" i="22"/>
  <c r="G19" i="22"/>
  <c r="BK6" i="26" l="1"/>
  <c r="F176" i="24"/>
  <c r="BM14" i="16"/>
  <c r="BM17" i="16" s="1"/>
  <c r="BN19" i="16"/>
  <c r="BN11" i="16"/>
  <c r="BO8" i="16"/>
  <c r="G27" i="17"/>
  <c r="G8" i="19"/>
  <c r="BN15" i="22"/>
  <c r="BM16" i="22"/>
  <c r="R97" i="24"/>
  <c r="BN12" i="16"/>
  <c r="BO9" i="16"/>
  <c r="BI28" i="16"/>
  <c r="BH29" i="16"/>
  <c r="R121" i="24"/>
  <c r="R123" i="24" s="1"/>
  <c r="R59" i="24"/>
  <c r="BL17" i="16"/>
  <c r="BL16" i="16"/>
  <c r="BL15" i="16"/>
  <c r="G51" i="19"/>
  <c r="BK18" i="16"/>
  <c r="BJ23" i="17"/>
  <c r="BK22" i="17"/>
  <c r="G20" i="22"/>
  <c r="G9" i="19"/>
  <c r="F157" i="24"/>
  <c r="F159" i="24" s="1"/>
  <c r="G32" i="16"/>
  <c r="F149" i="24"/>
  <c r="BL6" i="26" l="1"/>
  <c r="BM15" i="16"/>
  <c r="BM18" i="16" s="1"/>
  <c r="BM16" i="16"/>
  <c r="G7" i="23"/>
  <c r="G29" i="17"/>
  <c r="G30" i="17" s="1"/>
  <c r="G28" i="17"/>
  <c r="G9" i="23"/>
  <c r="G22" i="22"/>
  <c r="G23" i="22" s="1"/>
  <c r="G21" i="22"/>
  <c r="BL18" i="16"/>
  <c r="BO12" i="16"/>
  <c r="BP9" i="16"/>
  <c r="BL22" i="17"/>
  <c r="BK23" i="17"/>
  <c r="R144" i="24" s="1"/>
  <c r="BO19" i="16"/>
  <c r="BO11" i="16"/>
  <c r="BP8" i="16"/>
  <c r="F150" i="24"/>
  <c r="F162" i="24"/>
  <c r="G7" i="19"/>
  <c r="G33" i="16"/>
  <c r="BN14" i="16"/>
  <c r="BN16" i="22"/>
  <c r="BO15" i="22"/>
  <c r="BJ28" i="16"/>
  <c r="BI29" i="16"/>
  <c r="G55" i="19"/>
  <c r="G10" i="19"/>
  <c r="BM6" i="26" l="1"/>
  <c r="G11" i="19"/>
  <c r="G53" i="19" s="1"/>
  <c r="H16" i="19" s="1"/>
  <c r="G8" i="23"/>
  <c r="BM22" i="17"/>
  <c r="BL23" i="17"/>
  <c r="BP19" i="16"/>
  <c r="BQ8" i="16"/>
  <c r="BP11" i="16"/>
  <c r="BK28" i="16"/>
  <c r="BJ29" i="16"/>
  <c r="BO16" i="22"/>
  <c r="BP15" i="22"/>
  <c r="BP12" i="16"/>
  <c r="BQ9" i="16"/>
  <c r="BO14" i="16"/>
  <c r="BN17" i="16"/>
  <c r="BN16" i="16"/>
  <c r="BN15" i="16"/>
  <c r="G6" i="23"/>
  <c r="G35" i="16"/>
  <c r="G36" i="16" s="1"/>
  <c r="G34" i="16"/>
  <c r="F163" i="24"/>
  <c r="F175" i="24"/>
  <c r="F177" i="24" s="1"/>
  <c r="BN6" i="26" l="1"/>
  <c r="BQ12" i="16"/>
  <c r="BR9" i="16"/>
  <c r="BM23" i="17"/>
  <c r="BN22" i="17"/>
  <c r="BN18" i="16"/>
  <c r="BO17" i="16"/>
  <c r="BO16" i="16"/>
  <c r="BO15" i="16"/>
  <c r="G10" i="23"/>
  <c r="BL28" i="16"/>
  <c r="BK29" i="16"/>
  <c r="R143" i="24" s="1"/>
  <c r="BP16" i="22"/>
  <c r="BQ15" i="22"/>
  <c r="BP14" i="16"/>
  <c r="H17" i="19"/>
  <c r="BQ19" i="16"/>
  <c r="BQ11" i="16"/>
  <c r="BR8" i="16"/>
  <c r="H19" i="19" l="1"/>
  <c r="H20" i="19"/>
  <c r="H21" i="19"/>
  <c r="BO6" i="26"/>
  <c r="BP17" i="16"/>
  <c r="BP16" i="16"/>
  <c r="BP15" i="16"/>
  <c r="BO22" i="17"/>
  <c r="BN23" i="17"/>
  <c r="BQ16" i="22"/>
  <c r="BR15" i="22"/>
  <c r="BL29" i="16"/>
  <c r="BM28" i="16"/>
  <c r="BR19" i="16"/>
  <c r="BR11" i="16"/>
  <c r="BS8" i="16"/>
  <c r="BQ14" i="16"/>
  <c r="G12" i="23"/>
  <c r="G13" i="23" s="1"/>
  <c r="G11" i="23"/>
  <c r="BO18" i="16"/>
  <c r="BR12" i="16"/>
  <c r="BS9" i="16"/>
  <c r="H22" i="19" l="1"/>
  <c r="H24" i="19" s="1"/>
  <c r="BP6" i="26"/>
  <c r="H14" i="26"/>
  <c r="H12" i="26"/>
  <c r="BR14" i="16"/>
  <c r="BP22" i="17"/>
  <c r="BO23" i="17"/>
  <c r="BP18" i="16"/>
  <c r="BN28" i="16"/>
  <c r="BM29" i="16"/>
  <c r="BQ17" i="16"/>
  <c r="BQ16" i="16"/>
  <c r="BQ15" i="16"/>
  <c r="BS12" i="16"/>
  <c r="BT9" i="16"/>
  <c r="BS19" i="16"/>
  <c r="BS11" i="16"/>
  <c r="BT8" i="16"/>
  <c r="BS15" i="22"/>
  <c r="BR16" i="22"/>
  <c r="H16" i="26" l="1" a="1"/>
  <c r="H16" i="26" s="1"/>
  <c r="H21" i="16" s="1"/>
  <c r="BQ6" i="26"/>
  <c r="BT19" i="16"/>
  <c r="BU8" i="16"/>
  <c r="BT11" i="16"/>
  <c r="BS14" i="16"/>
  <c r="BN29" i="16"/>
  <c r="BO28" i="16"/>
  <c r="BT12" i="16"/>
  <c r="BU9" i="16"/>
  <c r="BQ22" i="17"/>
  <c r="BP23" i="17"/>
  <c r="BR17" i="16"/>
  <c r="BR16" i="16"/>
  <c r="BR15" i="16"/>
  <c r="BQ18" i="16"/>
  <c r="BT15" i="22"/>
  <c r="BS16" i="22"/>
  <c r="H16" i="17" l="1"/>
  <c r="BR6" i="26"/>
  <c r="BT16" i="22"/>
  <c r="BU15" i="22"/>
  <c r="BT14" i="16"/>
  <c r="BP28" i="16"/>
  <c r="BO29" i="16"/>
  <c r="BS17" i="16"/>
  <c r="BS16" i="16"/>
  <c r="BS15" i="16"/>
  <c r="BR18" i="16"/>
  <c r="H29" i="19"/>
  <c r="H30" i="19"/>
  <c r="H25" i="19"/>
  <c r="BU19" i="16"/>
  <c r="BU11" i="16"/>
  <c r="BV8" i="16"/>
  <c r="BR22" i="17"/>
  <c r="BQ23" i="17"/>
  <c r="BU12" i="16"/>
  <c r="BV9" i="16"/>
  <c r="BS6" i="26" l="1"/>
  <c r="BW9" i="16"/>
  <c r="BV12" i="16"/>
  <c r="BV15" i="22"/>
  <c r="BU16" i="22"/>
  <c r="BU14" i="16"/>
  <c r="BS18" i="16"/>
  <c r="BT17" i="16"/>
  <c r="BT16" i="16"/>
  <c r="BT15" i="16"/>
  <c r="H47" i="19"/>
  <c r="H16" i="23"/>
  <c r="BP29" i="16"/>
  <c r="BQ28" i="16"/>
  <c r="BR23" i="17"/>
  <c r="BS22" i="17"/>
  <c r="K56" i="19"/>
  <c r="I27" i="19"/>
  <c r="H35" i="19"/>
  <c r="H47" i="20"/>
  <c r="BV19" i="16"/>
  <c r="BV11" i="16"/>
  <c r="BW8" i="16"/>
  <c r="BT6" i="26" l="1"/>
  <c r="BV14" i="16"/>
  <c r="BV17" i="16" s="1"/>
  <c r="BT22" i="17"/>
  <c r="BS23" i="17"/>
  <c r="H48" i="20"/>
  <c r="H38" i="19"/>
  <c r="BR28" i="16"/>
  <c r="BQ29" i="16"/>
  <c r="BU17" i="16"/>
  <c r="BU16" i="16"/>
  <c r="BU15" i="16"/>
  <c r="H18" i="23"/>
  <c r="H36" i="19"/>
  <c r="H30" i="9"/>
  <c r="H31" i="9" s="1"/>
  <c r="H32" i="9" s="1"/>
  <c r="H48" i="19"/>
  <c r="G145" i="24" s="1"/>
  <c r="G147" i="24" s="1"/>
  <c r="BT18" i="16"/>
  <c r="BW15" i="22"/>
  <c r="BV16" i="22"/>
  <c r="BW19" i="16"/>
  <c r="BW11" i="16"/>
  <c r="BX8" i="16"/>
  <c r="K66" i="19"/>
  <c r="N57" i="19"/>
  <c r="K43" i="19"/>
  <c r="K65" i="19"/>
  <c r="K12" i="20"/>
  <c r="K14" i="20"/>
  <c r="K43" i="20"/>
  <c r="K23" i="20"/>
  <c r="K39" i="20"/>
  <c r="K29" i="20"/>
  <c r="K22" i="20"/>
  <c r="K35" i="20"/>
  <c r="K24" i="20"/>
  <c r="K40" i="20"/>
  <c r="K33" i="20"/>
  <c r="K34" i="20"/>
  <c r="K16" i="20"/>
  <c r="K8" i="20"/>
  <c r="K10" i="20"/>
  <c r="K21" i="20"/>
  <c r="K15" i="20"/>
  <c r="K27" i="20"/>
  <c r="K11" i="20"/>
  <c r="K13" i="20"/>
  <c r="K19" i="20"/>
  <c r="K9" i="20"/>
  <c r="K37" i="20"/>
  <c r="K38" i="20"/>
  <c r="K31" i="20"/>
  <c r="K26" i="20"/>
  <c r="K44" i="20"/>
  <c r="K46" i="20"/>
  <c r="K32" i="20"/>
  <c r="K20" i="20"/>
  <c r="K45" i="20"/>
  <c r="K18" i="20"/>
  <c r="K30" i="20"/>
  <c r="K41" i="20"/>
  <c r="K42" i="20"/>
  <c r="K36" i="20"/>
  <c r="K25" i="20"/>
  <c r="K28" i="20"/>
  <c r="K17" i="20"/>
  <c r="BW12" i="16"/>
  <c r="BX9" i="16"/>
  <c r="BU6" i="26" l="1"/>
  <c r="BV15" i="16"/>
  <c r="BV18" i="16" s="1"/>
  <c r="BV16" i="16"/>
  <c r="K59" i="19"/>
  <c r="BX12" i="16"/>
  <c r="BY9" i="16"/>
  <c r="S57" i="24"/>
  <c r="S95" i="24" s="1"/>
  <c r="S56" i="24"/>
  <c r="S94" i="24" s="1"/>
  <c r="S51" i="24"/>
  <c r="S52" i="24"/>
  <c r="S90" i="24" s="1"/>
  <c r="S53" i="24"/>
  <c r="S91" i="24" s="1"/>
  <c r="S54" i="24"/>
  <c r="S92" i="24" s="1"/>
  <c r="S55" i="24"/>
  <c r="S93" i="24" s="1"/>
  <c r="BS28" i="16"/>
  <c r="BR29" i="16"/>
  <c r="BX15" i="22"/>
  <c r="BW16" i="22"/>
  <c r="S146" i="24" s="1"/>
  <c r="H39" i="19"/>
  <c r="H40" i="19"/>
  <c r="H41" i="19"/>
  <c r="BU18" i="16"/>
  <c r="BX19" i="16"/>
  <c r="BX11" i="16"/>
  <c r="BY8" i="16"/>
  <c r="BW14" i="16"/>
  <c r="S45" i="24"/>
  <c r="S83" i="24" s="1"/>
  <c r="S42" i="24"/>
  <c r="S47" i="24"/>
  <c r="S85" i="24" s="1"/>
  <c r="S43" i="24"/>
  <c r="S81" i="24" s="1"/>
  <c r="S46" i="24"/>
  <c r="S84" i="24" s="1"/>
  <c r="S44" i="24"/>
  <c r="S82" i="24" s="1"/>
  <c r="S48" i="24"/>
  <c r="S86" i="24" s="1"/>
  <c r="BT23" i="17"/>
  <c r="BU22" i="17"/>
  <c r="BV6" i="26" l="1"/>
  <c r="H8" i="26"/>
  <c r="H44" i="19"/>
  <c r="G128" i="24" s="1"/>
  <c r="BX16" i="22"/>
  <c r="BY15" i="22"/>
  <c r="BT28" i="16"/>
  <c r="BS29" i="16"/>
  <c r="S89" i="24"/>
  <c r="S96" i="24" s="1"/>
  <c r="S58" i="24"/>
  <c r="S122" i="24" s="1"/>
  <c r="BW17" i="16"/>
  <c r="BW16" i="16"/>
  <c r="BW15" i="16"/>
  <c r="BY19" i="16"/>
  <c r="BY11" i="16"/>
  <c r="BZ8" i="16"/>
  <c r="G110" i="24"/>
  <c r="G72" i="24"/>
  <c r="G75" i="24" s="1"/>
  <c r="H42" i="19"/>
  <c r="G125" i="24" s="1"/>
  <c r="H14" i="23"/>
  <c r="H33" i="9"/>
  <c r="BY12" i="16"/>
  <c r="BZ9" i="16"/>
  <c r="BX14" i="16"/>
  <c r="BU23" i="17"/>
  <c r="BV22" i="17"/>
  <c r="S49" i="24"/>
  <c r="S80" i="24"/>
  <c r="S87" i="24" s="1"/>
  <c r="H18" i="26" l="1" a="1"/>
  <c r="H18" i="26" s="1"/>
  <c r="H10" i="26"/>
  <c r="H11" i="26" s="1"/>
  <c r="H17" i="26"/>
  <c r="BW6" i="26"/>
  <c r="BY14" i="16"/>
  <c r="BY17" i="16" s="1"/>
  <c r="S121" i="24"/>
  <c r="S123" i="24" s="1"/>
  <c r="S59" i="24"/>
  <c r="BW22" i="17"/>
  <c r="BV23" i="17"/>
  <c r="BX17" i="16"/>
  <c r="BX16" i="16"/>
  <c r="BX15" i="16"/>
  <c r="G172" i="24"/>
  <c r="G171" i="24"/>
  <c r="BZ19" i="16"/>
  <c r="BZ11" i="16"/>
  <c r="CA8" i="16"/>
  <c r="BU28" i="16"/>
  <c r="BT29" i="16"/>
  <c r="H35" i="9"/>
  <c r="H36" i="9" s="1"/>
  <c r="H41" i="9" s="1"/>
  <c r="BY16" i="22"/>
  <c r="BZ15" i="22"/>
  <c r="CA9" i="16"/>
  <c r="BZ12" i="16"/>
  <c r="S97" i="24"/>
  <c r="BW18" i="16"/>
  <c r="H19" i="26" l="1"/>
  <c r="H17" i="17"/>
  <c r="H22" i="16"/>
  <c r="H45" i="19"/>
  <c r="BX6" i="26"/>
  <c r="H13" i="26"/>
  <c r="H17" i="23"/>
  <c r="BY15" i="16"/>
  <c r="BY18" i="16" s="1"/>
  <c r="BY16" i="16"/>
  <c r="H40" i="9"/>
  <c r="G139" i="24"/>
  <c r="H12" i="22"/>
  <c r="CA19" i="16"/>
  <c r="CA11" i="16"/>
  <c r="CB8" i="16"/>
  <c r="BZ14" i="16"/>
  <c r="BX18" i="16"/>
  <c r="H19" i="23"/>
  <c r="H37" i="9"/>
  <c r="BW23" i="17"/>
  <c r="S144" i="24" s="1"/>
  <c r="BX22" i="17"/>
  <c r="BZ16" i="22"/>
  <c r="CA15" i="22"/>
  <c r="CA12" i="16"/>
  <c r="CB9" i="16"/>
  <c r="H38" i="9"/>
  <c r="G173" i="24"/>
  <c r="BV28" i="16"/>
  <c r="BU29" i="16"/>
  <c r="H39" i="9"/>
  <c r="G113" i="24" l="1"/>
  <c r="G114" i="24" s="1"/>
  <c r="G116" i="24" s="1"/>
  <c r="G117" i="24" s="1"/>
  <c r="H18" i="17"/>
  <c r="H46" i="19"/>
  <c r="G126" i="24" s="1"/>
  <c r="BY6" i="26"/>
  <c r="H15" i="26"/>
  <c r="G138" i="24"/>
  <c r="CA16" i="22"/>
  <c r="CB15" i="22"/>
  <c r="G137" i="24"/>
  <c r="CB12" i="16"/>
  <c r="CC9" i="16"/>
  <c r="BV29" i="16"/>
  <c r="BW28" i="16"/>
  <c r="BZ16" i="16"/>
  <c r="BZ15" i="16"/>
  <c r="BZ17" i="16"/>
  <c r="BY22" i="17"/>
  <c r="BX23" i="17"/>
  <c r="G136" i="24"/>
  <c r="H20" i="16"/>
  <c r="H23" i="16" s="1"/>
  <c r="CB19" i="16"/>
  <c r="CB11" i="16"/>
  <c r="CC8" i="16"/>
  <c r="H17" i="22"/>
  <c r="H18" i="22" s="1"/>
  <c r="G156" i="24" s="1"/>
  <c r="CA14" i="16"/>
  <c r="BZ6" i="26" l="1"/>
  <c r="H19" i="22"/>
  <c r="H20" i="22" s="1"/>
  <c r="H49" i="19"/>
  <c r="H50" i="19" s="1"/>
  <c r="G155" i="24" s="1"/>
  <c r="CC12" i="16"/>
  <c r="CD9" i="16"/>
  <c r="BZ22" i="17"/>
  <c r="BY23" i="17"/>
  <c r="CC19" i="16"/>
  <c r="CC11" i="16"/>
  <c r="CD8" i="16"/>
  <c r="H24" i="17"/>
  <c r="H25" i="17" s="1"/>
  <c r="G154" i="24" s="1"/>
  <c r="BZ18" i="16"/>
  <c r="CA17" i="16"/>
  <c r="CA16" i="16"/>
  <c r="CA15" i="16"/>
  <c r="CC15" i="22"/>
  <c r="CB16" i="22"/>
  <c r="CB14" i="16"/>
  <c r="H15" i="23"/>
  <c r="H30" i="16"/>
  <c r="H31" i="16" s="1"/>
  <c r="G153" i="24" s="1"/>
  <c r="H13" i="19"/>
  <c r="H14" i="19" s="1"/>
  <c r="G140" i="24"/>
  <c r="BX28" i="16"/>
  <c r="BW29" i="16"/>
  <c r="S143" i="24" s="1"/>
  <c r="G129" i="24" l="1"/>
  <c r="G131" i="24" s="1"/>
  <c r="CA6" i="26"/>
  <c r="H9" i="19"/>
  <c r="CC14" i="16"/>
  <c r="CC16" i="16" s="1"/>
  <c r="H51" i="19"/>
  <c r="G157" i="24"/>
  <c r="G159" i="24" s="1"/>
  <c r="H26" i="17"/>
  <c r="H27" i="17" s="1"/>
  <c r="CD15" i="22"/>
  <c r="CC16" i="22"/>
  <c r="CE9" i="16"/>
  <c r="CD12" i="16"/>
  <c r="G176" i="24"/>
  <c r="CA18" i="16"/>
  <c r="CB17" i="16"/>
  <c r="CB16" i="16"/>
  <c r="CB15" i="16"/>
  <c r="H32" i="16"/>
  <c r="CA22" i="17"/>
  <c r="BZ23" i="17"/>
  <c r="H9" i="23"/>
  <c r="H22" i="22"/>
  <c r="H23" i="22" s="1"/>
  <c r="H21" i="22"/>
  <c r="BX29" i="16"/>
  <c r="BY28" i="16"/>
  <c r="CD19" i="16"/>
  <c r="CD11" i="16"/>
  <c r="CE8" i="16"/>
  <c r="G132" i="24" l="1"/>
  <c r="G149" i="24"/>
  <c r="G150" i="24" s="1"/>
  <c r="CB6" i="26"/>
  <c r="CC6" i="26"/>
  <c r="CC17" i="16"/>
  <c r="CC15" i="16"/>
  <c r="CC18" i="16" s="1"/>
  <c r="H8" i="19"/>
  <c r="H55" i="19"/>
  <c r="H8" i="23" s="1"/>
  <c r="H10" i="19"/>
  <c r="CE19" i="16"/>
  <c r="CE11" i="16"/>
  <c r="CF8" i="16"/>
  <c r="CD14" i="16"/>
  <c r="CD16" i="22"/>
  <c r="CE15" i="22"/>
  <c r="H7" i="23"/>
  <c r="H29" i="17"/>
  <c r="H30" i="17" s="1"/>
  <c r="H28" i="17"/>
  <c r="BZ28" i="16"/>
  <c r="BY29" i="16"/>
  <c r="CB22" i="17"/>
  <c r="CA23" i="17"/>
  <c r="H7" i="19"/>
  <c r="H33" i="16"/>
  <c r="CB18" i="16"/>
  <c r="CE12" i="16"/>
  <c r="CF9" i="16"/>
  <c r="G162" i="24" l="1"/>
  <c r="G163" i="24" s="1"/>
  <c r="CE14" i="16"/>
  <c r="CE17" i="16" s="1"/>
  <c r="H11" i="19"/>
  <c r="H53" i="19" s="1"/>
  <c r="CF19" i="16"/>
  <c r="CF11" i="16"/>
  <c r="CG8" i="16"/>
  <c r="CF12" i="16"/>
  <c r="CG9" i="16"/>
  <c r="CB23" i="17"/>
  <c r="CC22" i="17"/>
  <c r="CD17" i="16"/>
  <c r="CD16" i="16"/>
  <c r="CD15" i="16"/>
  <c r="BZ29" i="16"/>
  <c r="CA28" i="16"/>
  <c r="CE16" i="22"/>
  <c r="CF15" i="22"/>
  <c r="H6" i="23"/>
  <c r="H10" i="23" s="1"/>
  <c r="H35" i="16"/>
  <c r="H36" i="16" s="1"/>
  <c r="H34" i="16"/>
  <c r="I16" i="19" l="1"/>
  <c r="I17" i="19" s="1"/>
  <c r="G175" i="24"/>
  <c r="G177" i="24" s="1"/>
  <c r="CD6" i="26"/>
  <c r="CE15" i="16"/>
  <c r="CE18" i="16" s="1"/>
  <c r="CE16" i="16"/>
  <c r="CB28" i="16"/>
  <c r="CA29" i="16"/>
  <c r="CF16" i="22"/>
  <c r="CG15" i="22"/>
  <c r="CG12" i="16"/>
  <c r="CH9" i="16"/>
  <c r="CG19" i="16"/>
  <c r="CG11" i="16"/>
  <c r="CH8" i="16"/>
  <c r="CD18" i="16"/>
  <c r="CD22" i="17"/>
  <c r="CC23" i="17"/>
  <c r="CF14" i="16"/>
  <c r="H12" i="23"/>
  <c r="H13" i="23" s="1"/>
  <c r="H11" i="23"/>
  <c r="I21" i="19" l="1"/>
  <c r="I20" i="19"/>
  <c r="I19" i="19"/>
  <c r="CE6" i="26"/>
  <c r="CF17" i="16"/>
  <c r="CF16" i="16"/>
  <c r="CF15" i="16"/>
  <c r="CD23" i="17"/>
  <c r="CE22" i="17"/>
  <c r="CH15" i="22"/>
  <c r="CG16" i="22"/>
  <c r="CH19" i="16"/>
  <c r="CH11" i="16"/>
  <c r="CI8" i="16"/>
  <c r="CC28" i="16"/>
  <c r="CB29" i="16"/>
  <c r="CG14" i="16"/>
  <c r="CH12" i="16"/>
  <c r="CI9" i="16"/>
  <c r="I22" i="19" l="1"/>
  <c r="I24" i="19" s="1"/>
  <c r="I12" i="26"/>
  <c r="I14" i="26"/>
  <c r="I16" i="26" s="1" a="1"/>
  <c r="I16" i="26" s="1"/>
  <c r="I21" i="16" s="1"/>
  <c r="CF6" i="26"/>
  <c r="CH16" i="22"/>
  <c r="CI15" i="22"/>
  <c r="CG17" i="16"/>
  <c r="CG16" i="16"/>
  <c r="CG15" i="16"/>
  <c r="CF22" i="17"/>
  <c r="CE23" i="17"/>
  <c r="CD28" i="16"/>
  <c r="CC29" i="16"/>
  <c r="CI19" i="16"/>
  <c r="CI11" i="16"/>
  <c r="CJ8" i="16"/>
  <c r="CF18" i="16"/>
  <c r="CI12" i="16"/>
  <c r="CJ9" i="16"/>
  <c r="CH14" i="16"/>
  <c r="I16" i="17" l="1"/>
  <c r="CG6" i="26"/>
  <c r="CE28" i="16"/>
  <c r="CD29" i="16"/>
  <c r="CH17" i="16"/>
  <c r="CH16" i="16"/>
  <c r="CH15" i="16"/>
  <c r="CJ12" i="16"/>
  <c r="CK9" i="16"/>
  <c r="T57" i="24"/>
  <c r="T95" i="24" s="1"/>
  <c r="T52" i="24"/>
  <c r="T90" i="24" s="1"/>
  <c r="T56" i="24"/>
  <c r="T94" i="24" s="1"/>
  <c r="T54" i="24"/>
  <c r="T92" i="24" s="1"/>
  <c r="T55" i="24"/>
  <c r="T93" i="24" s="1"/>
  <c r="T53" i="24"/>
  <c r="T91" i="24" s="1"/>
  <c r="T51" i="24"/>
  <c r="CG22" i="17"/>
  <c r="CF23" i="17"/>
  <c r="CG18" i="16"/>
  <c r="CJ19" i="16"/>
  <c r="CJ11" i="16"/>
  <c r="CK8" i="16"/>
  <c r="CI14" i="16"/>
  <c r="T42" i="24"/>
  <c r="T43" i="24"/>
  <c r="T81" i="24" s="1"/>
  <c r="T48" i="24"/>
  <c r="T86" i="24" s="1"/>
  <c r="T47" i="24"/>
  <c r="T85" i="24" s="1"/>
  <c r="T44" i="24"/>
  <c r="T82" i="24" s="1"/>
  <c r="T46" i="24"/>
  <c r="T84" i="24" s="1"/>
  <c r="T45" i="24"/>
  <c r="T83" i="24" s="1"/>
  <c r="I30" i="19"/>
  <c r="I29" i="19"/>
  <c r="I25" i="19"/>
  <c r="CJ15" i="22"/>
  <c r="CI16" i="22"/>
  <c r="T146" i="24" s="1"/>
  <c r="CH6" i="26" l="1"/>
  <c r="CK15" i="22"/>
  <c r="CJ16" i="22"/>
  <c r="T80" i="24"/>
  <c r="T87" i="24" s="1"/>
  <c r="T49" i="24"/>
  <c r="L56" i="19"/>
  <c r="J27" i="19"/>
  <c r="I35" i="19"/>
  <c r="I47" i="20"/>
  <c r="CK12" i="16"/>
  <c r="CL9" i="16"/>
  <c r="CI17" i="16"/>
  <c r="CI16" i="16"/>
  <c r="CI15" i="16"/>
  <c r="I47" i="19"/>
  <c r="I16" i="23"/>
  <c r="CK19" i="16"/>
  <c r="CK11" i="16"/>
  <c r="CL8" i="16"/>
  <c r="CG23" i="17"/>
  <c r="CH22" i="17"/>
  <c r="CH18" i="16"/>
  <c r="CJ14" i="16"/>
  <c r="T58" i="24"/>
  <c r="T122" i="24" s="1"/>
  <c r="T89" i="24"/>
  <c r="T96" i="24" s="1"/>
  <c r="CF28" i="16"/>
  <c r="CE29" i="16"/>
  <c r="CI6" i="26" l="1"/>
  <c r="CK14" i="16"/>
  <c r="CK17" i="16" s="1"/>
  <c r="I18" i="23"/>
  <c r="I36" i="19"/>
  <c r="I30" i="9"/>
  <c r="I31" i="9" s="1"/>
  <c r="I32" i="9" s="1"/>
  <c r="CL19" i="16"/>
  <c r="CL11" i="16"/>
  <c r="CM8" i="16"/>
  <c r="CI18" i="16"/>
  <c r="CF29" i="16"/>
  <c r="CG28" i="16"/>
  <c r="CJ16" i="16"/>
  <c r="CJ15" i="16"/>
  <c r="CJ17" i="16"/>
  <c r="I48" i="20"/>
  <c r="I38" i="19"/>
  <c r="L43" i="19"/>
  <c r="O57" i="19"/>
  <c r="L66" i="19"/>
  <c r="L65" i="19"/>
  <c r="L11" i="20"/>
  <c r="L14" i="20"/>
  <c r="L33" i="20"/>
  <c r="L17" i="20"/>
  <c r="L19" i="20"/>
  <c r="L8" i="20"/>
  <c r="L45" i="20"/>
  <c r="L24" i="20"/>
  <c r="L37" i="20"/>
  <c r="L31" i="20"/>
  <c r="L29" i="20"/>
  <c r="L43" i="20"/>
  <c r="L36" i="20"/>
  <c r="L40" i="20"/>
  <c r="L30" i="20"/>
  <c r="L26" i="20"/>
  <c r="L32" i="20"/>
  <c r="L15" i="20"/>
  <c r="L42" i="20"/>
  <c r="L23" i="20"/>
  <c r="L12" i="20"/>
  <c r="L44" i="20"/>
  <c r="L21" i="20"/>
  <c r="L18" i="20"/>
  <c r="L41" i="20"/>
  <c r="L35" i="20"/>
  <c r="L20" i="20"/>
  <c r="L28" i="20"/>
  <c r="L27" i="20"/>
  <c r="L22" i="20"/>
  <c r="L25" i="20"/>
  <c r="L10" i="20"/>
  <c r="L16" i="20"/>
  <c r="L46" i="20"/>
  <c r="L9" i="20"/>
  <c r="L34" i="20"/>
  <c r="L38" i="20"/>
  <c r="L39" i="20"/>
  <c r="L13" i="20"/>
  <c r="T121" i="24"/>
  <c r="T123" i="24" s="1"/>
  <c r="T59" i="24"/>
  <c r="I48" i="19"/>
  <c r="H145" i="24" s="1"/>
  <c r="H147" i="24" s="1"/>
  <c r="T97" i="24"/>
  <c r="CL12" i="16"/>
  <c r="CM9" i="16"/>
  <c r="CL15" i="22"/>
  <c r="CK16" i="22"/>
  <c r="CI22" i="17"/>
  <c r="CH23" i="17"/>
  <c r="CJ6" i="26" l="1"/>
  <c r="CK16" i="16"/>
  <c r="CK15" i="16"/>
  <c r="CK18" i="16" s="1"/>
  <c r="L59" i="19"/>
  <c r="CJ18" i="16"/>
  <c r="CM12" i="16"/>
  <c r="CN9" i="16"/>
  <c r="CM15" i="22"/>
  <c r="CL16" i="22"/>
  <c r="I40" i="19"/>
  <c r="I41" i="19"/>
  <c r="I39" i="19"/>
  <c r="CH28" i="16"/>
  <c r="CG29" i="16"/>
  <c r="CM19" i="16"/>
  <c r="CM11" i="16"/>
  <c r="CN8" i="16"/>
  <c r="CL14" i="16"/>
  <c r="CJ22" i="17"/>
  <c r="CI23" i="17"/>
  <c r="T144" i="24" s="1"/>
  <c r="CK6" i="26" l="1"/>
  <c r="I8" i="26"/>
  <c r="I44" i="19"/>
  <c r="H128" i="24" s="1"/>
  <c r="CM14" i="16"/>
  <c r="H110" i="24"/>
  <c r="H72" i="24"/>
  <c r="H75" i="24" s="1"/>
  <c r="I42" i="19"/>
  <c r="H125" i="24" s="1"/>
  <c r="I33" i="9"/>
  <c r="I14" i="23"/>
  <c r="H172" i="24" s="1"/>
  <c r="CN19" i="16"/>
  <c r="CN11" i="16"/>
  <c r="CO8" i="16"/>
  <c r="CN12" i="16"/>
  <c r="CO9" i="16"/>
  <c r="CH29" i="16"/>
  <c r="CI28" i="16"/>
  <c r="CK22" i="17"/>
  <c r="CJ23" i="17"/>
  <c r="CL17" i="16"/>
  <c r="CL16" i="16"/>
  <c r="CL15" i="16"/>
  <c r="CN15" i="22"/>
  <c r="CM16" i="22"/>
  <c r="I18" i="26" l="1" a="1"/>
  <c r="I18" i="26" s="1"/>
  <c r="CL6" i="26"/>
  <c r="I10" i="26"/>
  <c r="I11" i="26" s="1"/>
  <c r="I17" i="26"/>
  <c r="CO19" i="16"/>
  <c r="CO11" i="16"/>
  <c r="CP8" i="16"/>
  <c r="CN14" i="16"/>
  <c r="CN16" i="22"/>
  <c r="CO15" i="22"/>
  <c r="CM17" i="16"/>
  <c r="CM16" i="16"/>
  <c r="CM15" i="16"/>
  <c r="CL18" i="16"/>
  <c r="I35" i="9"/>
  <c r="I36" i="9" s="1"/>
  <c r="I40" i="9" s="1"/>
  <c r="H171" i="24"/>
  <c r="H173" i="24" s="1"/>
  <c r="CL22" i="17"/>
  <c r="CK23" i="17"/>
  <c r="CJ28" i="16"/>
  <c r="CI29" i="16"/>
  <c r="T143" i="24" s="1"/>
  <c r="CO12" i="16"/>
  <c r="CP9" i="16"/>
  <c r="I19" i="26" l="1"/>
  <c r="I17" i="17"/>
  <c r="I22" i="16"/>
  <c r="I45" i="19"/>
  <c r="CM6" i="26"/>
  <c r="I13" i="26"/>
  <c r="I17" i="23"/>
  <c r="I39" i="9"/>
  <c r="CN17" i="16"/>
  <c r="CN16" i="16"/>
  <c r="CN15" i="16"/>
  <c r="CL23" i="17"/>
  <c r="CM22" i="17"/>
  <c r="CJ29" i="16"/>
  <c r="CK28" i="16"/>
  <c r="I19" i="23"/>
  <c r="I37" i="9"/>
  <c r="CP12" i="16"/>
  <c r="CQ9" i="16"/>
  <c r="CM18" i="16"/>
  <c r="H138" i="24"/>
  <c r="CP19" i="16"/>
  <c r="CQ8" i="16"/>
  <c r="CP11" i="16"/>
  <c r="I38" i="9"/>
  <c r="CO14" i="16"/>
  <c r="I41" i="9"/>
  <c r="CO16" i="22"/>
  <c r="CP15" i="22"/>
  <c r="I46" i="19" l="1"/>
  <c r="I49" i="19" s="1"/>
  <c r="I50" i="19" s="1"/>
  <c r="H155" i="24" s="1"/>
  <c r="H113" i="24"/>
  <c r="H114" i="24" s="1"/>
  <c r="H116" i="24" s="1"/>
  <c r="H117" i="24" s="1"/>
  <c r="I18" i="17"/>
  <c r="I24" i="17" s="1"/>
  <c r="I25" i="17" s="1"/>
  <c r="H154" i="24" s="1"/>
  <c r="CN6" i="26"/>
  <c r="I15" i="26"/>
  <c r="H137" i="24"/>
  <c r="H136" i="24"/>
  <c r="I20" i="16"/>
  <c r="I23" i="16" s="1"/>
  <c r="CP14" i="16"/>
  <c r="H139" i="24"/>
  <c r="I12" i="22"/>
  <c r="CQ19" i="16"/>
  <c r="CQ11" i="16"/>
  <c r="CR8" i="16"/>
  <c r="CQ12" i="16"/>
  <c r="CR9" i="16"/>
  <c r="CN22" i="17"/>
  <c r="CM23" i="17"/>
  <c r="CQ15" i="22"/>
  <c r="CP16" i="22"/>
  <c r="CN18" i="16"/>
  <c r="CO17" i="16"/>
  <c r="CO16" i="16"/>
  <c r="CO15" i="16"/>
  <c r="CL28" i="16"/>
  <c r="CK29" i="16"/>
  <c r="H126" i="24" l="1"/>
  <c r="H129" i="24" s="1"/>
  <c r="H131" i="24" s="1"/>
  <c r="H132" i="24" s="1"/>
  <c r="CO6" i="26"/>
  <c r="I26" i="17"/>
  <c r="I8" i="19" s="1"/>
  <c r="CO18" i="16"/>
  <c r="I17" i="22"/>
  <c r="I18" i="22" s="1"/>
  <c r="H156" i="24" s="1"/>
  <c r="CR15" i="22"/>
  <c r="CQ16" i="22"/>
  <c r="CP17" i="16"/>
  <c r="CP16" i="16"/>
  <c r="CP15" i="16"/>
  <c r="CN23" i="17"/>
  <c r="CO22" i="17"/>
  <c r="I15" i="23"/>
  <c r="I30" i="16"/>
  <c r="I31" i="16" s="1"/>
  <c r="H153" i="24" s="1"/>
  <c r="I13" i="19"/>
  <c r="I14" i="19" s="1"/>
  <c r="CR12" i="16"/>
  <c r="CS9" i="16"/>
  <c r="H140" i="24"/>
  <c r="CR19" i="16"/>
  <c r="CR11" i="16"/>
  <c r="CS8" i="16"/>
  <c r="CM28" i="16"/>
  <c r="CL29" i="16"/>
  <c r="CQ14" i="16"/>
  <c r="I51" i="19"/>
  <c r="CP6" i="26" l="1"/>
  <c r="I27" i="17"/>
  <c r="I7" i="23" s="1"/>
  <c r="H157" i="24"/>
  <c r="H159" i="24" s="1"/>
  <c r="H149" i="24"/>
  <c r="CO23" i="17"/>
  <c r="CP22" i="17"/>
  <c r="I55" i="19"/>
  <c r="I8" i="23" s="1"/>
  <c r="I10" i="19"/>
  <c r="CS12" i="16"/>
  <c r="CT9" i="16"/>
  <c r="CP18" i="16"/>
  <c r="CN28" i="16"/>
  <c r="CM29" i="16"/>
  <c r="CS19" i="16"/>
  <c r="CS11" i="16"/>
  <c r="CT8" i="16"/>
  <c r="CR14" i="16"/>
  <c r="CQ17" i="16"/>
  <c r="CQ16" i="16"/>
  <c r="CQ15" i="16"/>
  <c r="CR16" i="22"/>
  <c r="CS15" i="22"/>
  <c r="I32" i="16"/>
  <c r="H176" i="24"/>
  <c r="I19" i="22"/>
  <c r="CQ6" i="26" l="1"/>
  <c r="I28" i="17"/>
  <c r="I29" i="17"/>
  <c r="I30" i="17" s="1"/>
  <c r="CS14" i="16"/>
  <c r="CS16" i="16" s="1"/>
  <c r="CO28" i="16"/>
  <c r="CN29" i="16"/>
  <c r="CQ18" i="16"/>
  <c r="CS16" i="22"/>
  <c r="CT15" i="22"/>
  <c r="CR17" i="16"/>
  <c r="CR16" i="16"/>
  <c r="CR15" i="16"/>
  <c r="CQ22" i="17"/>
  <c r="CP23" i="17"/>
  <c r="CT19" i="16"/>
  <c r="CU8" i="16"/>
  <c r="CT11" i="16"/>
  <c r="I20" i="22"/>
  <c r="I9" i="19"/>
  <c r="H162" i="24"/>
  <c r="H150" i="24"/>
  <c r="CT12" i="16"/>
  <c r="CU9" i="16"/>
  <c r="I7" i="19"/>
  <c r="I33" i="16"/>
  <c r="CS6" i="26" l="1"/>
  <c r="CR6" i="26"/>
  <c r="CS17" i="16"/>
  <c r="CS15" i="16"/>
  <c r="CS18" i="16" s="1"/>
  <c r="CT14" i="16"/>
  <c r="CT15" i="16" s="1"/>
  <c r="I6" i="23"/>
  <c r="I35" i="16"/>
  <c r="I36" i="16" s="1"/>
  <c r="I34" i="16"/>
  <c r="I11" i="19"/>
  <c r="I53" i="19" s="1"/>
  <c r="J16" i="19" s="1"/>
  <c r="CU12" i="16"/>
  <c r="CV9" i="16"/>
  <c r="CU19" i="16"/>
  <c r="CU11" i="16"/>
  <c r="CV8" i="16"/>
  <c r="CT16" i="22"/>
  <c r="CU15" i="22"/>
  <c r="H175" i="24"/>
  <c r="H177" i="24" s="1"/>
  <c r="H163" i="24"/>
  <c r="CQ23" i="17"/>
  <c r="CR22" i="17"/>
  <c r="CR18" i="16"/>
  <c r="I9" i="23"/>
  <c r="I22" i="22"/>
  <c r="I23" i="22" s="1"/>
  <c r="I21" i="22"/>
  <c r="CP28" i="16"/>
  <c r="CO29" i="16"/>
  <c r="CT16" i="16" l="1"/>
  <c r="CT17" i="16"/>
  <c r="I10" i="23"/>
  <c r="I12" i="23" s="1"/>
  <c r="I13" i="23" s="1"/>
  <c r="CU14" i="16"/>
  <c r="U43" i="24"/>
  <c r="U81" i="24" s="1"/>
  <c r="U45" i="24"/>
  <c r="U83" i="24" s="1"/>
  <c r="U42" i="24"/>
  <c r="U47" i="24"/>
  <c r="U85" i="24" s="1"/>
  <c r="U44" i="24"/>
  <c r="U82" i="24" s="1"/>
  <c r="U46" i="24"/>
  <c r="U84" i="24" s="1"/>
  <c r="U48" i="24"/>
  <c r="U86" i="24" s="1"/>
  <c r="CV12" i="16"/>
  <c r="CW9" i="16"/>
  <c r="U56" i="24"/>
  <c r="U94" i="24" s="1"/>
  <c r="U55" i="24"/>
  <c r="U93" i="24" s="1"/>
  <c r="U51" i="24"/>
  <c r="U53" i="24"/>
  <c r="U91" i="24" s="1"/>
  <c r="U57" i="24"/>
  <c r="U95" i="24" s="1"/>
  <c r="U54" i="24"/>
  <c r="U92" i="24" s="1"/>
  <c r="U52" i="24"/>
  <c r="U90" i="24" s="1"/>
  <c r="CP29" i="16"/>
  <c r="CQ28" i="16"/>
  <c r="J17" i="19"/>
  <c r="CV15" i="22"/>
  <c r="CU16" i="22"/>
  <c r="U146" i="24" s="1"/>
  <c r="CT18" i="16"/>
  <c r="CS22" i="17"/>
  <c r="CR23" i="17"/>
  <c r="CV19" i="16"/>
  <c r="CV11" i="16"/>
  <c r="CW8" i="16"/>
  <c r="J19" i="19" l="1"/>
  <c r="J21" i="19"/>
  <c r="J20" i="19"/>
  <c r="CT6" i="26"/>
  <c r="I11" i="23"/>
  <c r="CV14" i="16"/>
  <c r="CW15" i="22"/>
  <c r="CV16" i="22"/>
  <c r="U80" i="24"/>
  <c r="U87" i="24" s="1"/>
  <c r="U49" i="24"/>
  <c r="CT22" i="17"/>
  <c r="CS23" i="17"/>
  <c r="U58" i="24"/>
  <c r="U122" i="24" s="1"/>
  <c r="U89" i="24"/>
  <c r="U96" i="24" s="1"/>
  <c r="CU17" i="16"/>
  <c r="CU16" i="16"/>
  <c r="CU15" i="16"/>
  <c r="CW12" i="16"/>
  <c r="CX9" i="16"/>
  <c r="CR28" i="16"/>
  <c r="CQ29" i="16"/>
  <c r="CW19" i="16"/>
  <c r="CW11" i="16"/>
  <c r="CX8" i="16"/>
  <c r="J22" i="19" l="1"/>
  <c r="J24" i="19" s="1"/>
  <c r="CU6" i="26"/>
  <c r="J14" i="26"/>
  <c r="J12" i="26"/>
  <c r="CX19" i="16"/>
  <c r="CY8" i="16"/>
  <c r="CX11" i="16"/>
  <c r="CU18" i="16"/>
  <c r="CX15" i="22"/>
  <c r="CW16" i="22"/>
  <c r="CW14" i="16"/>
  <c r="CR29" i="16"/>
  <c r="CS28" i="16"/>
  <c r="U121" i="24"/>
  <c r="U123" i="24" s="1"/>
  <c r="U59" i="24"/>
  <c r="CX12" i="16"/>
  <c r="CY9" i="16"/>
  <c r="CU22" i="17"/>
  <c r="CT23" i="17"/>
  <c r="U97" i="24"/>
  <c r="CV17" i="16"/>
  <c r="CV16" i="16"/>
  <c r="CV15" i="16"/>
  <c r="J16" i="26" l="1" a="1"/>
  <c r="J16" i="26" s="1"/>
  <c r="J16" i="17" s="1"/>
  <c r="CV6" i="26"/>
  <c r="CX14" i="16"/>
  <c r="CV22" i="17"/>
  <c r="CU23" i="17"/>
  <c r="U144" i="24" s="1"/>
  <c r="CY12" i="16"/>
  <c r="CZ9" i="16"/>
  <c r="CT28" i="16"/>
  <c r="CS29" i="16"/>
  <c r="CV18" i="16"/>
  <c r="CY19" i="16"/>
  <c r="CY11" i="16"/>
  <c r="CZ8" i="16"/>
  <c r="CW17" i="16"/>
  <c r="CW16" i="16"/>
  <c r="CW15" i="16"/>
  <c r="CX16" i="22"/>
  <c r="CY15" i="22"/>
  <c r="J21" i="16" l="1"/>
  <c r="CW6" i="26"/>
  <c r="CT29" i="16"/>
  <c r="CU28" i="16"/>
  <c r="CZ12" i="16"/>
  <c r="DA9" i="16"/>
  <c r="CZ15" i="22"/>
  <c r="CY16" i="22"/>
  <c r="CV23" i="17"/>
  <c r="CW22" i="17"/>
  <c r="J29" i="19"/>
  <c r="J30" i="19"/>
  <c r="J25" i="19"/>
  <c r="CZ19" i="16"/>
  <c r="DA8" i="16"/>
  <c r="CZ11" i="16"/>
  <c r="CY14" i="16"/>
  <c r="CX17" i="16"/>
  <c r="CX16" i="16"/>
  <c r="CX15" i="16"/>
  <c r="CW18" i="16"/>
  <c r="CX6" i="26" l="1"/>
  <c r="CX18" i="16"/>
  <c r="CZ14" i="16"/>
  <c r="CZ16" i="22"/>
  <c r="DA15" i="22"/>
  <c r="DA12" i="16"/>
  <c r="DB9" i="16"/>
  <c r="M56" i="19"/>
  <c r="K27" i="19"/>
  <c r="J35" i="19"/>
  <c r="J47" i="20"/>
  <c r="J47" i="19"/>
  <c r="J16" i="23"/>
  <c r="DA19" i="16"/>
  <c r="DA11" i="16"/>
  <c r="DB8" i="16"/>
  <c r="CV28" i="16"/>
  <c r="CU29" i="16"/>
  <c r="U143" i="24" s="1"/>
  <c r="CY17" i="16"/>
  <c r="CY16" i="16"/>
  <c r="CY15" i="16"/>
  <c r="CX22" i="17"/>
  <c r="CW23" i="17"/>
  <c r="CY6" i="26" l="1"/>
  <c r="DA14" i="16"/>
  <c r="CX23" i="17"/>
  <c r="CY22" i="17"/>
  <c r="CZ17" i="16"/>
  <c r="CZ16" i="16"/>
  <c r="CZ15" i="16"/>
  <c r="DB19" i="16"/>
  <c r="DB11" i="16"/>
  <c r="DC8" i="16"/>
  <c r="J48" i="19"/>
  <c r="I145" i="24" s="1"/>
  <c r="I147" i="24" s="1"/>
  <c r="M65" i="19"/>
  <c r="P57" i="19"/>
  <c r="M43" i="19"/>
  <c r="M66" i="19"/>
  <c r="M22" i="20"/>
  <c r="M43" i="20"/>
  <c r="M36" i="20"/>
  <c r="M18" i="20"/>
  <c r="M44" i="20"/>
  <c r="M41" i="20"/>
  <c r="M34" i="20"/>
  <c r="M32" i="20"/>
  <c r="M37" i="20"/>
  <c r="M13" i="20"/>
  <c r="M24" i="20"/>
  <c r="M19" i="20"/>
  <c r="M38" i="20"/>
  <c r="M12" i="20"/>
  <c r="M16" i="20"/>
  <c r="M35" i="20"/>
  <c r="M45" i="20"/>
  <c r="M46" i="20"/>
  <c r="M31" i="20"/>
  <c r="M28" i="20"/>
  <c r="M21" i="20"/>
  <c r="M17" i="20"/>
  <c r="M15" i="20"/>
  <c r="M33" i="20"/>
  <c r="M30" i="20"/>
  <c r="M26" i="20"/>
  <c r="M29" i="20"/>
  <c r="M14" i="20"/>
  <c r="M20" i="20"/>
  <c r="M25" i="20"/>
  <c r="M23" i="20"/>
  <c r="M8" i="20"/>
  <c r="M10" i="20"/>
  <c r="M9" i="20"/>
  <c r="M11" i="20"/>
  <c r="M39" i="20"/>
  <c r="M42" i="20"/>
  <c r="M40" i="20"/>
  <c r="M27" i="20"/>
  <c r="DB12" i="16"/>
  <c r="DC9" i="16"/>
  <c r="J48" i="20"/>
  <c r="J38" i="19"/>
  <c r="CW28" i="16"/>
  <c r="CV29" i="16"/>
  <c r="CY18" i="16"/>
  <c r="J18" i="23"/>
  <c r="J36" i="19"/>
  <c r="J30" i="9"/>
  <c r="J31" i="9" s="1"/>
  <c r="J32" i="9" s="1"/>
  <c r="DB15" i="22"/>
  <c r="DA16" i="22"/>
  <c r="CZ6" i="26" l="1"/>
  <c r="M59" i="19"/>
  <c r="CZ18" i="16"/>
  <c r="CX28" i="16"/>
  <c r="CW29" i="16"/>
  <c r="CZ22" i="17"/>
  <c r="CY23" i="17"/>
  <c r="J40" i="19"/>
  <c r="J41" i="19"/>
  <c r="J39" i="19"/>
  <c r="DB16" i="22"/>
  <c r="DC15" i="22"/>
  <c r="DC19" i="16"/>
  <c r="DC11" i="16"/>
  <c r="DD8" i="16"/>
  <c r="DA17" i="16"/>
  <c r="DA16" i="16"/>
  <c r="DA15" i="16"/>
  <c r="DC12" i="16"/>
  <c r="DD9" i="16"/>
  <c r="DB14" i="16"/>
  <c r="J8" i="26" l="1"/>
  <c r="J44" i="19"/>
  <c r="I128" i="24" s="1"/>
  <c r="DA6" i="26"/>
  <c r="DC14" i="16"/>
  <c r="DC16" i="16" s="1"/>
  <c r="DD19" i="16"/>
  <c r="DD11" i="16"/>
  <c r="DE8" i="16"/>
  <c r="CY28" i="16"/>
  <c r="CX29" i="16"/>
  <c r="DC16" i="22"/>
  <c r="DD15" i="22"/>
  <c r="DE9" i="16"/>
  <c r="DD12" i="16"/>
  <c r="DA22" i="17"/>
  <c r="CZ23" i="17"/>
  <c r="DB17" i="16"/>
  <c r="DB16" i="16"/>
  <c r="DB15" i="16"/>
  <c r="DA18" i="16"/>
  <c r="I110" i="24"/>
  <c r="I72" i="24"/>
  <c r="I75" i="24" s="1"/>
  <c r="J42" i="19"/>
  <c r="I125" i="24" s="1"/>
  <c r="J14" i="23"/>
  <c r="I172" i="24" s="1"/>
  <c r="J33" i="9"/>
  <c r="J18" i="26" l="1" a="1"/>
  <c r="J18" i="26" s="1"/>
  <c r="DC6" i="26"/>
  <c r="J10" i="26"/>
  <c r="J11" i="26" s="1"/>
  <c r="J17" i="26"/>
  <c r="DB6" i="26"/>
  <c r="DC17" i="16"/>
  <c r="DC15" i="16"/>
  <c r="DC18" i="16" s="1"/>
  <c r="CZ28" i="16"/>
  <c r="CY29" i="16"/>
  <c r="DD16" i="22"/>
  <c r="DE15" i="22"/>
  <c r="J35" i="9"/>
  <c r="J36" i="9" s="1"/>
  <c r="J41" i="9" s="1"/>
  <c r="DB18" i="16"/>
  <c r="I171" i="24"/>
  <c r="I173" i="24" s="1"/>
  <c r="DA23" i="17"/>
  <c r="DB22" i="17"/>
  <c r="DE19" i="16"/>
  <c r="DE11" i="16"/>
  <c r="DF8" i="16"/>
  <c r="DD14" i="16"/>
  <c r="DE12" i="16"/>
  <c r="DF9" i="16"/>
  <c r="J19" i="26" l="1"/>
  <c r="J17" i="17"/>
  <c r="J22" i="16"/>
  <c r="J45" i="19"/>
  <c r="J13" i="26"/>
  <c r="J17" i="23"/>
  <c r="J40" i="9"/>
  <c r="DC22" i="17"/>
  <c r="DB23" i="17"/>
  <c r="DE16" i="22"/>
  <c r="DF15" i="22"/>
  <c r="I139" i="24"/>
  <c r="J12" i="22"/>
  <c r="DF12" i="16"/>
  <c r="DG9" i="16"/>
  <c r="DE14" i="16"/>
  <c r="DD15" i="16"/>
  <c r="DD17" i="16"/>
  <c r="DD16" i="16"/>
  <c r="DF19" i="16"/>
  <c r="DF11" i="16"/>
  <c r="DG8" i="16"/>
  <c r="J19" i="23"/>
  <c r="J37" i="9"/>
  <c r="J38" i="9"/>
  <c r="J39" i="9"/>
  <c r="CZ29" i="16"/>
  <c r="DA28" i="16"/>
  <c r="J46" i="19" l="1"/>
  <c r="I126" i="24" s="1"/>
  <c r="I113" i="24"/>
  <c r="I114" i="24" s="1"/>
  <c r="I116" i="24" s="1"/>
  <c r="I117" i="24" s="1"/>
  <c r="J18" i="17"/>
  <c r="DD6" i="26"/>
  <c r="J15" i="26"/>
  <c r="I138" i="24"/>
  <c r="I136" i="24"/>
  <c r="J20" i="16"/>
  <c r="J23" i="16" s="1"/>
  <c r="DG19" i="16"/>
  <c r="DG11" i="16"/>
  <c r="DH8" i="16"/>
  <c r="DE17" i="16"/>
  <c r="DE16" i="16"/>
  <c r="DE15" i="16"/>
  <c r="DF14" i="16"/>
  <c r="DG12" i="16"/>
  <c r="DH9" i="16"/>
  <c r="J17" i="22"/>
  <c r="J18" i="22" s="1"/>
  <c r="I156" i="24" s="1"/>
  <c r="DB28" i="16"/>
  <c r="DA29" i="16"/>
  <c r="I137" i="24"/>
  <c r="DG15" i="22"/>
  <c r="DF16" i="22"/>
  <c r="DD18" i="16"/>
  <c r="DD22" i="17"/>
  <c r="DC23" i="17"/>
  <c r="J49" i="19" l="1"/>
  <c r="J50" i="19" s="1"/>
  <c r="I155" i="24" s="1"/>
  <c r="DE6" i="26"/>
  <c r="DF17" i="16"/>
  <c r="DF16" i="16"/>
  <c r="DF15" i="16"/>
  <c r="DE22" i="17"/>
  <c r="DD23" i="17"/>
  <c r="DE18" i="16"/>
  <c r="DB29" i="16"/>
  <c r="DC28" i="16"/>
  <c r="DH19" i="16"/>
  <c r="DH11" i="16"/>
  <c r="DI8" i="16"/>
  <c r="DG14" i="16"/>
  <c r="V42" i="24"/>
  <c r="V46" i="24"/>
  <c r="V84" i="24" s="1"/>
  <c r="V48" i="24"/>
  <c r="V86" i="24" s="1"/>
  <c r="V45" i="24"/>
  <c r="V83" i="24" s="1"/>
  <c r="V47" i="24"/>
  <c r="V85" i="24" s="1"/>
  <c r="V43" i="24"/>
  <c r="V81" i="24" s="1"/>
  <c r="V44" i="24"/>
  <c r="V82" i="24" s="1"/>
  <c r="DH15" i="22"/>
  <c r="DG16" i="22"/>
  <c r="V146" i="24" s="1"/>
  <c r="J19" i="22"/>
  <c r="DI9" i="16"/>
  <c r="DH12" i="16"/>
  <c r="J15" i="23"/>
  <c r="J30" i="16"/>
  <c r="J31" i="16" s="1"/>
  <c r="I153" i="24" s="1"/>
  <c r="J13" i="19"/>
  <c r="J14" i="19" s="1"/>
  <c r="J24" i="17"/>
  <c r="J25" i="17" s="1"/>
  <c r="I154" i="24" s="1"/>
  <c r="V52" i="24"/>
  <c r="V90" i="24" s="1"/>
  <c r="V55" i="24"/>
  <c r="V93" i="24" s="1"/>
  <c r="V51" i="24"/>
  <c r="V54" i="24"/>
  <c r="V92" i="24" s="1"/>
  <c r="V57" i="24"/>
  <c r="V95" i="24" s="1"/>
  <c r="V56" i="24"/>
  <c r="V94" i="24" s="1"/>
  <c r="V53" i="24"/>
  <c r="V91" i="24" s="1"/>
  <c r="I140" i="24"/>
  <c r="J51" i="19" l="1"/>
  <c r="J55" i="19" s="1"/>
  <c r="J8" i="23" s="1"/>
  <c r="I129" i="24"/>
  <c r="I131" i="24" s="1"/>
  <c r="DF6" i="26"/>
  <c r="I157" i="24"/>
  <c r="I159" i="24" s="1"/>
  <c r="J26" i="17"/>
  <c r="J8" i="19" s="1"/>
  <c r="J32" i="16"/>
  <c r="V58" i="24"/>
  <c r="V122" i="24" s="1"/>
  <c r="V89" i="24"/>
  <c r="V96" i="24" s="1"/>
  <c r="V80" i="24"/>
  <c r="V87" i="24" s="1"/>
  <c r="V49" i="24"/>
  <c r="DF18" i="16"/>
  <c r="DH16" i="22"/>
  <c r="DI15" i="22"/>
  <c r="I176" i="24"/>
  <c r="DH14" i="16"/>
  <c r="DI12" i="16"/>
  <c r="DJ9" i="16"/>
  <c r="DI19" i="16"/>
  <c r="DI11" i="16"/>
  <c r="DJ8" i="16"/>
  <c r="DF22" i="17"/>
  <c r="DE23" i="17"/>
  <c r="J20" i="22"/>
  <c r="J9" i="19"/>
  <c r="DG17" i="16"/>
  <c r="DG16" i="16"/>
  <c r="DG15" i="16"/>
  <c r="DD28" i="16"/>
  <c r="DC29" i="16"/>
  <c r="J10" i="19" l="1"/>
  <c r="I132" i="24"/>
  <c r="I149" i="24"/>
  <c r="I162" i="24" s="1"/>
  <c r="DG6" i="26"/>
  <c r="V97" i="24"/>
  <c r="J27" i="17"/>
  <c r="J29" i="17" s="1"/>
  <c r="J30" i="17" s="1"/>
  <c r="DG18" i="16"/>
  <c r="V59" i="24"/>
  <c r="V121" i="24"/>
  <c r="V123" i="24" s="1"/>
  <c r="DH17" i="16"/>
  <c r="DH16" i="16"/>
  <c r="DH15" i="16"/>
  <c r="J9" i="23"/>
  <c r="J22" i="22"/>
  <c r="J23" i="22" s="1"/>
  <c r="J21" i="22"/>
  <c r="DF23" i="17"/>
  <c r="DG22" i="17"/>
  <c r="DJ19" i="16"/>
  <c r="DJ11" i="16"/>
  <c r="DK8" i="16"/>
  <c r="DD29" i="16"/>
  <c r="DE28" i="16"/>
  <c r="DI14" i="16"/>
  <c r="DI16" i="22"/>
  <c r="DJ15" i="22"/>
  <c r="J7" i="19"/>
  <c r="J33" i="16"/>
  <c r="DK9" i="16"/>
  <c r="DJ12" i="16"/>
  <c r="J11" i="19" l="1"/>
  <c r="J53" i="19" s="1"/>
  <c r="I150" i="24"/>
  <c r="DH6" i="26"/>
  <c r="J7" i="23"/>
  <c r="J28" i="17"/>
  <c r="DK12" i="16"/>
  <c r="DL9" i="16"/>
  <c r="DH22" i="17"/>
  <c r="DG23" i="17"/>
  <c r="V144" i="24" s="1"/>
  <c r="DF28" i="16"/>
  <c r="DE29" i="16"/>
  <c r="DI17" i="16"/>
  <c r="DI16" i="16"/>
  <c r="DI15" i="16"/>
  <c r="J6" i="23"/>
  <c r="J35" i="16"/>
  <c r="J36" i="16" s="1"/>
  <c r="J34" i="16"/>
  <c r="DK19" i="16"/>
  <c r="DK11" i="16"/>
  <c r="DL8" i="16"/>
  <c r="I163" i="24"/>
  <c r="I175" i="24"/>
  <c r="I177" i="24" s="1"/>
  <c r="DJ14" i="16"/>
  <c r="DK15" i="22"/>
  <c r="DJ16" i="22"/>
  <c r="DH18" i="16"/>
  <c r="K16" i="19" l="1"/>
  <c r="K17" i="19" s="1"/>
  <c r="DI6" i="26"/>
  <c r="J10" i="23"/>
  <c r="J12" i="23" s="1"/>
  <c r="J13" i="23" s="1"/>
  <c r="DJ17" i="16"/>
  <c r="DJ16" i="16"/>
  <c r="DJ15" i="16"/>
  <c r="DL19" i="16"/>
  <c r="DL11" i="16"/>
  <c r="DM8" i="16"/>
  <c r="DK14" i="16"/>
  <c r="DG28" i="16"/>
  <c r="DF29" i="16"/>
  <c r="DL15" i="22"/>
  <c r="DK16" i="22"/>
  <c r="DH23" i="17"/>
  <c r="DI22" i="17"/>
  <c r="DL12" i="16"/>
  <c r="DM9" i="16"/>
  <c r="DI18" i="16"/>
  <c r="K19" i="19" l="1"/>
  <c r="K21" i="19"/>
  <c r="K20" i="19"/>
  <c r="DJ6" i="26"/>
  <c r="J11" i="23"/>
  <c r="DM19" i="16"/>
  <c r="DM11" i="16"/>
  <c r="DN8" i="16"/>
  <c r="DL14" i="16"/>
  <c r="DM12" i="16"/>
  <c r="DN9" i="16"/>
  <c r="DL16" i="22"/>
  <c r="DM15" i="22"/>
  <c r="DJ18" i="16"/>
  <c r="DH28" i="16"/>
  <c r="DG29" i="16"/>
  <c r="V143" i="24" s="1"/>
  <c r="DJ22" i="17"/>
  <c r="DI23" i="17"/>
  <c r="DK17" i="16"/>
  <c r="DK16" i="16"/>
  <c r="DK15" i="16"/>
  <c r="K14" i="26" l="1"/>
  <c r="K16" i="26" s="1" a="1"/>
  <c r="K16" i="26" s="1"/>
  <c r="K16" i="17" s="1"/>
  <c r="K12" i="26"/>
  <c r="K22" i="19"/>
  <c r="K24" i="19" s="1"/>
  <c r="DK6" i="26"/>
  <c r="DL17" i="16"/>
  <c r="DL16" i="16"/>
  <c r="DL15" i="16"/>
  <c r="DN19" i="16"/>
  <c r="DN11" i="16"/>
  <c r="DO8" i="16"/>
  <c r="DK22" i="17"/>
  <c r="DJ23" i="17"/>
  <c r="DM14" i="16"/>
  <c r="DN15" i="22"/>
  <c r="DM16" i="22"/>
  <c r="DK18" i="16"/>
  <c r="DI28" i="16"/>
  <c r="DH29" i="16"/>
  <c r="DN12" i="16"/>
  <c r="DO9" i="16"/>
  <c r="K21" i="16" l="1"/>
  <c r="DL6" i="26"/>
  <c r="DO12" i="16"/>
  <c r="DP9" i="16"/>
  <c r="DK23" i="17"/>
  <c r="DL22" i="17"/>
  <c r="DO19" i="16"/>
  <c r="DO11" i="16"/>
  <c r="DP8" i="16"/>
  <c r="DN14" i="16"/>
  <c r="K30" i="19"/>
  <c r="K29" i="19"/>
  <c r="K25" i="19"/>
  <c r="DN16" i="22"/>
  <c r="DO15" i="22"/>
  <c r="DL18" i="16"/>
  <c r="DJ28" i="16"/>
  <c r="DI29" i="16"/>
  <c r="DM17" i="16"/>
  <c r="DM16" i="16"/>
  <c r="DM15" i="16"/>
  <c r="DM6" i="26" l="1"/>
  <c r="DO14" i="16"/>
  <c r="DO16" i="16" s="1"/>
  <c r="DO16" i="22"/>
  <c r="DP15" i="22"/>
  <c r="DM22" i="17"/>
  <c r="DL23" i="17"/>
  <c r="DM18" i="16"/>
  <c r="N56" i="19"/>
  <c r="L27" i="19"/>
  <c r="K35" i="19"/>
  <c r="K47" i="20"/>
  <c r="DP12" i="16"/>
  <c r="DQ9" i="16"/>
  <c r="DP19" i="16"/>
  <c r="DP11" i="16"/>
  <c r="DQ8" i="16"/>
  <c r="K47" i="19"/>
  <c r="K16" i="23"/>
  <c r="DJ29" i="16"/>
  <c r="DK28" i="16"/>
  <c r="DN17" i="16"/>
  <c r="DN16" i="16"/>
  <c r="DN15" i="16"/>
  <c r="DN6" i="26" l="1"/>
  <c r="DO6" i="26"/>
  <c r="DO17" i="16"/>
  <c r="DO15" i="16"/>
  <c r="DO18" i="16" s="1"/>
  <c r="DP14" i="16"/>
  <c r="DP17" i="16" s="1"/>
  <c r="DQ12" i="16"/>
  <c r="DR9" i="16"/>
  <c r="K48" i="20"/>
  <c r="K38" i="19"/>
  <c r="DN22" i="17"/>
  <c r="DM23" i="17"/>
  <c r="K18" i="23"/>
  <c r="K36" i="19"/>
  <c r="K30" i="9"/>
  <c r="K31" i="9" s="1"/>
  <c r="K32" i="9" s="1"/>
  <c r="K48" i="19"/>
  <c r="J145" i="24" s="1"/>
  <c r="J147" i="24" s="1"/>
  <c r="N66" i="19"/>
  <c r="N43" i="19"/>
  <c r="N65" i="19"/>
  <c r="Q57" i="19"/>
  <c r="N26" i="20"/>
  <c r="N30" i="20"/>
  <c r="N28" i="20"/>
  <c r="N29" i="20"/>
  <c r="N14" i="20"/>
  <c r="N39" i="20"/>
  <c r="N25" i="20"/>
  <c r="N41" i="20"/>
  <c r="N18" i="20"/>
  <c r="N19" i="20"/>
  <c r="N27" i="20"/>
  <c r="N40" i="20"/>
  <c r="N32" i="20"/>
  <c r="N22" i="20"/>
  <c r="N43" i="20"/>
  <c r="N8" i="20"/>
  <c r="N24" i="20"/>
  <c r="N10" i="20"/>
  <c r="N31" i="20"/>
  <c r="N35" i="20"/>
  <c r="N37" i="20"/>
  <c r="N33" i="20"/>
  <c r="N17" i="20"/>
  <c r="N46" i="20"/>
  <c r="N9" i="20"/>
  <c r="N12" i="20"/>
  <c r="N13" i="20"/>
  <c r="N16" i="20"/>
  <c r="N11" i="20"/>
  <c r="N23" i="20"/>
  <c r="N42" i="20"/>
  <c r="N45" i="20"/>
  <c r="N34" i="20"/>
  <c r="N20" i="20"/>
  <c r="N36" i="20"/>
  <c r="N44" i="20"/>
  <c r="N38" i="20"/>
  <c r="N21" i="20"/>
  <c r="N15" i="20"/>
  <c r="DL28" i="16"/>
  <c r="DK29" i="16"/>
  <c r="DN18" i="16"/>
  <c r="DQ19" i="16"/>
  <c r="DQ11" i="16"/>
  <c r="DR8" i="16"/>
  <c r="DQ15" i="22"/>
  <c r="DP16" i="22"/>
  <c r="DP15" i="16" l="1"/>
  <c r="DP18" i="16" s="1"/>
  <c r="DP16" i="16"/>
  <c r="DQ14" i="16"/>
  <c r="DQ17" i="16" s="1"/>
  <c r="DO22" i="17"/>
  <c r="DN23" i="17"/>
  <c r="DR15" i="22"/>
  <c r="DQ16" i="22"/>
  <c r="N59" i="19"/>
  <c r="K41" i="19"/>
  <c r="K40" i="19"/>
  <c r="K39" i="19"/>
  <c r="DR12" i="16"/>
  <c r="DS9" i="16"/>
  <c r="DS12" i="16" s="1"/>
  <c r="DL29" i="16"/>
  <c r="DM28" i="16"/>
  <c r="DR19" i="16"/>
  <c r="DR11" i="16"/>
  <c r="DS8" i="16"/>
  <c r="DP6" i="26" l="1"/>
  <c r="K8" i="26"/>
  <c r="K44" i="19"/>
  <c r="J128" i="24" s="1"/>
  <c r="DQ16" i="16"/>
  <c r="DQ15" i="16"/>
  <c r="DQ18" i="16" s="1"/>
  <c r="W55" i="24"/>
  <c r="W93" i="24" s="1"/>
  <c r="W51" i="24"/>
  <c r="W52" i="24"/>
  <c r="W90" i="24" s="1"/>
  <c r="W54" i="24"/>
  <c r="W92" i="24" s="1"/>
  <c r="W56" i="24"/>
  <c r="W94" i="24" s="1"/>
  <c r="W53" i="24"/>
  <c r="W91" i="24" s="1"/>
  <c r="W57" i="24"/>
  <c r="W95" i="24" s="1"/>
  <c r="J72" i="24"/>
  <c r="J75" i="24" s="1"/>
  <c r="J110" i="24"/>
  <c r="K42" i="19"/>
  <c r="J125" i="24" s="1"/>
  <c r="K14" i="23"/>
  <c r="J172" i="24" s="1"/>
  <c r="K33" i="9"/>
  <c r="DS19" i="16"/>
  <c r="DS11" i="16"/>
  <c r="DR14" i="16"/>
  <c r="DP22" i="17"/>
  <c r="DO23" i="17"/>
  <c r="DR16" i="22"/>
  <c r="DS15" i="22"/>
  <c r="DS16" i="22" s="1"/>
  <c r="DN28" i="16"/>
  <c r="DM29" i="16"/>
  <c r="K18" i="26" l="1" a="1"/>
  <c r="K18" i="26" s="1"/>
  <c r="DQ6" i="26"/>
  <c r="K10" i="26"/>
  <c r="K11" i="26" s="1"/>
  <c r="K17" i="26"/>
  <c r="DR17" i="16"/>
  <c r="DR16" i="16"/>
  <c r="DR15" i="16"/>
  <c r="W146" i="24"/>
  <c r="DS14" i="16"/>
  <c r="W46" i="24"/>
  <c r="W84" i="24" s="1"/>
  <c r="W47" i="24"/>
  <c r="W85" i="24" s="1"/>
  <c r="W43" i="24"/>
  <c r="W81" i="24" s="1"/>
  <c r="W42" i="24"/>
  <c r="W48" i="24"/>
  <c r="W86" i="24" s="1"/>
  <c r="W44" i="24"/>
  <c r="W82" i="24" s="1"/>
  <c r="W45" i="24"/>
  <c r="W83" i="24" s="1"/>
  <c r="W58" i="24"/>
  <c r="W122" i="24" s="1"/>
  <c r="W89" i="24"/>
  <c r="W96" i="24" s="1"/>
  <c r="K35" i="9"/>
  <c r="K36" i="9" s="1"/>
  <c r="K38" i="9" s="1"/>
  <c r="DN29" i="16"/>
  <c r="DO28" i="16"/>
  <c r="DP23" i="17"/>
  <c r="DQ22" i="17"/>
  <c r="J171" i="24"/>
  <c r="J173" i="24" s="1"/>
  <c r="K19" i="26" l="1"/>
  <c r="K17" i="17"/>
  <c r="K22" i="16"/>
  <c r="K45" i="19"/>
  <c r="DR6" i="26"/>
  <c r="K13" i="26"/>
  <c r="K17" i="23"/>
  <c r="K39" i="9"/>
  <c r="K41" i="9"/>
  <c r="K12" i="22" s="1"/>
  <c r="J136" i="24"/>
  <c r="K20" i="16"/>
  <c r="W80" i="24"/>
  <c r="W87" i="24" s="1"/>
  <c r="W97" i="24" s="1"/>
  <c r="W49" i="24"/>
  <c r="DR22" i="17"/>
  <c r="DQ23" i="17"/>
  <c r="DP28" i="16"/>
  <c r="DO29" i="16"/>
  <c r="DS17" i="16"/>
  <c r="DS16" i="16"/>
  <c r="DS15" i="16"/>
  <c r="DR18" i="16"/>
  <c r="K19" i="23"/>
  <c r="K37" i="9"/>
  <c r="K40" i="9"/>
  <c r="K46" i="19" l="1"/>
  <c r="J126" i="24" s="1"/>
  <c r="K18" i="17"/>
  <c r="K24" i="17" s="1"/>
  <c r="K25" i="17" s="1"/>
  <c r="J154" i="24" s="1"/>
  <c r="J113" i="24"/>
  <c r="J114" i="24" s="1"/>
  <c r="J116" i="24" s="1"/>
  <c r="J117" i="24" s="1"/>
  <c r="K23" i="16"/>
  <c r="K30" i="16" s="1"/>
  <c r="K31" i="16" s="1"/>
  <c r="J153" i="24" s="1"/>
  <c r="J137" i="24"/>
  <c r="K15" i="26"/>
  <c r="DS6" i="26"/>
  <c r="J139" i="24"/>
  <c r="K17" i="22"/>
  <c r="K18" i="22" s="1"/>
  <c r="J156" i="24" s="1"/>
  <c r="DR23" i="17"/>
  <c r="DS22" i="17"/>
  <c r="DS23" i="17" s="1"/>
  <c r="J138" i="24"/>
  <c r="W59" i="24"/>
  <c r="W121" i="24"/>
  <c r="W123" i="24" s="1"/>
  <c r="DS18" i="16"/>
  <c r="DQ28" i="16"/>
  <c r="DP29" i="16"/>
  <c r="K15" i="23" l="1"/>
  <c r="J140" i="24"/>
  <c r="K13" i="19"/>
  <c r="K14" i="19" s="1"/>
  <c r="K32" i="16"/>
  <c r="K7" i="19" s="1"/>
  <c r="K49" i="19"/>
  <c r="K50" i="19" s="1"/>
  <c r="J155" i="24" s="1"/>
  <c r="J157" i="24" s="1"/>
  <c r="W144" i="24"/>
  <c r="DR28" i="16"/>
  <c r="DQ29" i="16"/>
  <c r="K26" i="17"/>
  <c r="K19" i="22"/>
  <c r="J129" i="24" l="1"/>
  <c r="J131" i="24" s="1"/>
  <c r="J159" i="24"/>
  <c r="K33" i="16"/>
  <c r="K35" i="16" s="1"/>
  <c r="K36" i="16" s="1"/>
  <c r="K51" i="19"/>
  <c r="K55" i="19" s="1"/>
  <c r="K8" i="23" s="1"/>
  <c r="K20" i="22"/>
  <c r="K9" i="19"/>
  <c r="K8" i="19"/>
  <c r="K27" i="17"/>
  <c r="DS28" i="16"/>
  <c r="DS29" i="16" s="1"/>
  <c r="DR29" i="16"/>
  <c r="J176" i="24"/>
  <c r="J132" i="24" l="1"/>
  <c r="J149" i="24"/>
  <c r="J162" i="24" s="1"/>
  <c r="K6" i="23"/>
  <c r="K34" i="16"/>
  <c r="K10" i="19"/>
  <c r="K11" i="19" s="1"/>
  <c r="K53" i="19" s="1"/>
  <c r="K7" i="23"/>
  <c r="K29" i="17"/>
  <c r="K30" i="17" s="1"/>
  <c r="K28" i="17"/>
  <c r="W143" i="24"/>
  <c r="K9" i="23"/>
  <c r="K22" i="22"/>
  <c r="K23" i="22" s="1"/>
  <c r="K21" i="22"/>
  <c r="L16" i="19" l="1"/>
  <c r="L17" i="19" s="1"/>
  <c r="J150" i="24"/>
  <c r="K10" i="23"/>
  <c r="K11" i="23" s="1"/>
  <c r="J175" i="24"/>
  <c r="J177" i="24" s="1"/>
  <c r="J163" i="24"/>
  <c r="L21" i="19" l="1"/>
  <c r="L20" i="19"/>
  <c r="L19" i="19"/>
  <c r="K12" i="23"/>
  <c r="K13" i="23" s="1"/>
  <c r="L22" i="19" l="1"/>
  <c r="L24" i="19" s="1"/>
  <c r="L30" i="19" s="1"/>
  <c r="L12" i="26"/>
  <c r="L14" i="26"/>
  <c r="L16" i="26" s="1" a="1"/>
  <c r="L16" i="26" s="1"/>
  <c r="L21" i="16" s="1"/>
  <c r="L25" i="19" l="1"/>
  <c r="O56" i="19" s="1"/>
  <c r="L29" i="19"/>
  <c r="L16" i="23" s="1"/>
  <c r="L16" i="17"/>
  <c r="L47" i="19" l="1"/>
  <c r="L47" i="20"/>
  <c r="L38" i="19" s="1"/>
  <c r="L35" i="19"/>
  <c r="L36" i="19" s="1"/>
  <c r="M27" i="19"/>
  <c r="L48" i="19"/>
  <c r="K145" i="24" s="1"/>
  <c r="K147" i="24" s="1"/>
  <c r="L48" i="20"/>
  <c r="L30" i="9"/>
  <c r="L31" i="9" s="1"/>
  <c r="L32" i="9" s="1"/>
  <c r="O66" i="19"/>
  <c r="O65" i="19"/>
  <c r="O43" i="19"/>
  <c r="R57" i="19"/>
  <c r="O27" i="20"/>
  <c r="O20" i="20"/>
  <c r="O33" i="20"/>
  <c r="O24" i="20"/>
  <c r="O23" i="20"/>
  <c r="O36" i="20"/>
  <c r="O42" i="20"/>
  <c r="O12" i="20"/>
  <c r="O37" i="20"/>
  <c r="O8" i="20"/>
  <c r="O39" i="20"/>
  <c r="O38" i="20"/>
  <c r="O46" i="20"/>
  <c r="O32" i="20"/>
  <c r="O40" i="20"/>
  <c r="O21" i="20"/>
  <c r="O34" i="20"/>
  <c r="O31" i="20"/>
  <c r="O15" i="20"/>
  <c r="O14" i="20"/>
  <c r="O30" i="20"/>
  <c r="O13" i="20"/>
  <c r="O10" i="20"/>
  <c r="O18" i="20"/>
  <c r="O44" i="20"/>
  <c r="O29" i="20"/>
  <c r="O22" i="20"/>
  <c r="O19" i="20"/>
  <c r="O25" i="20"/>
  <c r="O41" i="20"/>
  <c r="O28" i="20"/>
  <c r="O17" i="20"/>
  <c r="O9" i="20"/>
  <c r="O45" i="20"/>
  <c r="O16" i="20"/>
  <c r="O43" i="20"/>
  <c r="O11" i="20"/>
  <c r="O26" i="20"/>
  <c r="O35" i="20"/>
  <c r="L18" i="23" l="1"/>
  <c r="O59" i="19"/>
  <c r="D145" i="20"/>
  <c r="D55" i="20"/>
  <c r="D100" i="20"/>
  <c r="D152" i="20"/>
  <c r="D62" i="20"/>
  <c r="D107" i="20"/>
  <c r="D155" i="20"/>
  <c r="D65" i="20"/>
  <c r="D110" i="20"/>
  <c r="D160" i="20"/>
  <c r="D70" i="20"/>
  <c r="D115" i="20"/>
  <c r="D154" i="20"/>
  <c r="D109" i="20"/>
  <c r="D64" i="20"/>
  <c r="D169" i="20"/>
  <c r="D79" i="20"/>
  <c r="D124" i="20"/>
  <c r="D168" i="20"/>
  <c r="D78" i="20"/>
  <c r="D123" i="20"/>
  <c r="D148" i="20"/>
  <c r="D103" i="20"/>
  <c r="D58" i="20"/>
  <c r="D163" i="20"/>
  <c r="D118" i="20"/>
  <c r="D73" i="20"/>
  <c r="D170" i="20"/>
  <c r="D80" i="20"/>
  <c r="D125" i="20"/>
  <c r="D150" i="20"/>
  <c r="D60" i="20"/>
  <c r="D105" i="20"/>
  <c r="D161" i="20"/>
  <c r="D71" i="20"/>
  <c r="D116" i="20"/>
  <c r="D147" i="20"/>
  <c r="D102" i="20"/>
  <c r="D57" i="20"/>
  <c r="D146" i="20"/>
  <c r="D56" i="20"/>
  <c r="D101" i="20"/>
  <c r="D164" i="20"/>
  <c r="D74" i="20"/>
  <c r="D119" i="20"/>
  <c r="D171" i="20"/>
  <c r="D126" i="20"/>
  <c r="D81" i="20"/>
  <c r="D179" i="20"/>
  <c r="D134" i="20"/>
  <c r="D89" i="20"/>
  <c r="D175" i="20"/>
  <c r="D85" i="20"/>
  <c r="D130" i="20"/>
  <c r="D158" i="20"/>
  <c r="D113" i="20"/>
  <c r="D68" i="20"/>
  <c r="D144" i="20"/>
  <c r="D99" i="20"/>
  <c r="D54" i="20"/>
  <c r="L41" i="19"/>
  <c r="L40" i="19"/>
  <c r="L39" i="19"/>
  <c r="D174" i="20"/>
  <c r="D84" i="20"/>
  <c r="D129" i="20"/>
  <c r="D172" i="20"/>
  <c r="D82" i="20"/>
  <c r="D127" i="20"/>
  <c r="D166" i="20"/>
  <c r="D121" i="20"/>
  <c r="D76" i="20"/>
  <c r="D157" i="20"/>
  <c r="D112" i="20"/>
  <c r="D67" i="20"/>
  <c r="D177" i="20"/>
  <c r="D87" i="20"/>
  <c r="D132" i="20"/>
  <c r="D178" i="20"/>
  <c r="D133" i="20"/>
  <c r="D88" i="20"/>
  <c r="D156" i="20"/>
  <c r="D66" i="20"/>
  <c r="D111" i="20"/>
  <c r="D151" i="20"/>
  <c r="D61" i="20"/>
  <c r="D106" i="20"/>
  <c r="D180" i="20"/>
  <c r="D135" i="20"/>
  <c r="D90" i="20"/>
  <c r="D153" i="20"/>
  <c r="D108" i="20"/>
  <c r="D63" i="20"/>
  <c r="D167" i="20"/>
  <c r="D122" i="20"/>
  <c r="D77" i="20"/>
  <c r="D159" i="20"/>
  <c r="D69" i="20"/>
  <c r="D114" i="20"/>
  <c r="D181" i="20"/>
  <c r="D136" i="20"/>
  <c r="D91" i="20"/>
  <c r="D173" i="20"/>
  <c r="D83" i="20"/>
  <c r="D128" i="20"/>
  <c r="D165" i="20"/>
  <c r="D120" i="20"/>
  <c r="D75" i="20"/>
  <c r="D162" i="20"/>
  <c r="D72" i="20"/>
  <c r="D117" i="20"/>
  <c r="D176" i="20"/>
  <c r="D131" i="20"/>
  <c r="D86" i="20"/>
  <c r="D149" i="20"/>
  <c r="D104" i="20"/>
  <c r="D59" i="20"/>
  <c r="D143" i="20"/>
  <c r="D98" i="20"/>
  <c r="D53" i="20"/>
  <c r="L8" i="26" l="1"/>
  <c r="L44" i="19"/>
  <c r="K128" i="24" s="1"/>
  <c r="K72" i="24"/>
  <c r="K75" i="24" s="1"/>
  <c r="K110" i="24"/>
  <c r="L42" i="19"/>
  <c r="K125" i="24" s="1"/>
  <c r="L14" i="23"/>
  <c r="K172" i="24" s="1"/>
  <c r="L33" i="9"/>
  <c r="L18" i="26" l="1" a="1"/>
  <c r="L18" i="26" s="1"/>
  <c r="L10" i="26"/>
  <c r="L11" i="26" s="1"/>
  <c r="L17" i="26"/>
  <c r="K171" i="24"/>
  <c r="K173" i="24" s="1"/>
  <c r="L35" i="9"/>
  <c r="L36" i="9" s="1"/>
  <c r="L38" i="9" s="1"/>
  <c r="L19" i="26" l="1"/>
  <c r="L17" i="17"/>
  <c r="L22" i="16"/>
  <c r="L45" i="19"/>
  <c r="L13" i="26"/>
  <c r="L17" i="23"/>
  <c r="L40" i="9"/>
  <c r="L41" i="9"/>
  <c r="K139" i="24" s="1"/>
  <c r="L39" i="9"/>
  <c r="K136" i="24"/>
  <c r="L20" i="16"/>
  <c r="L19" i="23"/>
  <c r="L37" i="9"/>
  <c r="K113" i="24" l="1"/>
  <c r="K114" i="24" s="1"/>
  <c r="K116" i="24" s="1"/>
  <c r="K117" i="24" s="1"/>
  <c r="L46" i="19"/>
  <c r="K126" i="24" s="1"/>
  <c r="L23" i="16"/>
  <c r="L30" i="16" s="1"/>
  <c r="L31" i="16" s="1"/>
  <c r="K153" i="24" s="1"/>
  <c r="L18" i="17"/>
  <c r="L24" i="17" s="1"/>
  <c r="L25" i="17" s="1"/>
  <c r="K154" i="24" s="1"/>
  <c r="K137" i="24"/>
  <c r="L15" i="26"/>
  <c r="K138" i="24"/>
  <c r="L12" i="22"/>
  <c r="K129" i="24" l="1"/>
  <c r="K131" i="24" s="1"/>
  <c r="K140" i="24"/>
  <c r="L49" i="19"/>
  <c r="L50" i="19" s="1"/>
  <c r="K155" i="24" s="1"/>
  <c r="L13" i="19"/>
  <c r="L14" i="19" s="1"/>
  <c r="L17" i="22"/>
  <c r="L18" i="22" s="1"/>
  <c r="K156" i="24" s="1"/>
  <c r="L15" i="23"/>
  <c r="L26" i="17"/>
  <c r="L8" i="19" s="1"/>
  <c r="L32" i="16"/>
  <c r="L7" i="19" s="1"/>
  <c r="K132" i="24" l="1"/>
  <c r="K149" i="24"/>
  <c r="K150" i="24" s="1"/>
  <c r="L51" i="19"/>
  <c r="L10" i="19" s="1"/>
  <c r="K157" i="24"/>
  <c r="K159" i="24" s="1"/>
  <c r="L27" i="17"/>
  <c r="L29" i="17" s="1"/>
  <c r="L30" i="17" s="1"/>
  <c r="L19" i="22"/>
  <c r="K176" i="24"/>
  <c r="L33" i="16"/>
  <c r="L34" i="16" s="1"/>
  <c r="K162" i="24" l="1"/>
  <c r="K163" i="24" s="1"/>
  <c r="L28" i="17"/>
  <c r="L7" i="23"/>
  <c r="L55" i="19"/>
  <c r="L8" i="23" s="1"/>
  <c r="L35" i="16"/>
  <c r="L36" i="16" s="1"/>
  <c r="L6" i="23"/>
  <c r="L20" i="22"/>
  <c r="L9" i="19"/>
  <c r="L11" i="19" s="1"/>
  <c r="L53" i="19" s="1"/>
  <c r="M16" i="19" l="1"/>
  <c r="M17" i="19" s="1"/>
  <c r="K175" i="24"/>
  <c r="K177" i="24" s="1"/>
  <c r="L9" i="23"/>
  <c r="L10" i="23" s="1"/>
  <c r="L12" i="23" s="1"/>
  <c r="L13" i="23" s="1"/>
  <c r="L21" i="22"/>
  <c r="L22" i="22"/>
  <c r="L23" i="22" s="1"/>
  <c r="M21" i="19" l="1"/>
  <c r="M19" i="19"/>
  <c r="M20" i="19"/>
  <c r="L11" i="23"/>
  <c r="M14" i="26" l="1"/>
  <c r="M16" i="26" s="1" a="1"/>
  <c r="M16" i="26" s="1"/>
  <c r="M16" i="17" s="1"/>
  <c r="M12" i="26"/>
  <c r="M22" i="19"/>
  <c r="M24" i="19" s="1"/>
  <c r="M29" i="19" s="1"/>
  <c r="M30" i="19" l="1"/>
  <c r="M16" i="23" s="1"/>
  <c r="M25" i="19"/>
  <c r="P56" i="19" s="1"/>
  <c r="M21" i="16"/>
  <c r="M47" i="19"/>
  <c r="M47" i="20" l="1"/>
  <c r="M48" i="20" s="1"/>
  <c r="M35" i="19"/>
  <c r="M18" i="23" s="1"/>
  <c r="N27" i="19"/>
  <c r="M48" i="19"/>
  <c r="L145" i="24" s="1"/>
  <c r="L147" i="24" s="1"/>
  <c r="P43" i="19"/>
  <c r="S57" i="19"/>
  <c r="P66" i="19"/>
  <c r="P65" i="19"/>
  <c r="P10" i="20"/>
  <c r="P17" i="20"/>
  <c r="P28" i="20"/>
  <c r="P37" i="20"/>
  <c r="P41" i="20"/>
  <c r="P36" i="20"/>
  <c r="P25" i="20"/>
  <c r="P42" i="20"/>
  <c r="P24" i="20"/>
  <c r="P30" i="20"/>
  <c r="P15" i="20"/>
  <c r="P31" i="20"/>
  <c r="P8" i="20"/>
  <c r="P43" i="20"/>
  <c r="P12" i="20"/>
  <c r="P34" i="20"/>
  <c r="P18" i="20"/>
  <c r="P26" i="20"/>
  <c r="P38" i="20"/>
  <c r="P20" i="20"/>
  <c r="P14" i="20"/>
  <c r="P23" i="20"/>
  <c r="P39" i="20"/>
  <c r="P22" i="20"/>
  <c r="P40" i="20"/>
  <c r="P21" i="20"/>
  <c r="P27" i="20"/>
  <c r="P11" i="20"/>
  <c r="P29" i="20"/>
  <c r="P46" i="20"/>
  <c r="P9" i="20"/>
  <c r="P44" i="20"/>
  <c r="P13" i="20"/>
  <c r="P35" i="20"/>
  <c r="P19" i="20"/>
  <c r="P16" i="20"/>
  <c r="P33" i="20"/>
  <c r="P45" i="20"/>
  <c r="P32" i="20"/>
  <c r="M30" i="9" l="1"/>
  <c r="M31" i="9" s="1"/>
  <c r="M32" i="9" s="1"/>
  <c r="M38" i="19"/>
  <c r="M41" i="19" s="1"/>
  <c r="M36" i="19"/>
  <c r="P59" i="19"/>
  <c r="M39" i="19" l="1"/>
  <c r="M40" i="19"/>
  <c r="M8" i="26"/>
  <c r="M44" i="19"/>
  <c r="L128" i="24" s="1"/>
  <c r="L110" i="24" l="1"/>
  <c r="M14" i="23"/>
  <c r="L172" i="24" s="1"/>
  <c r="M33" i="9"/>
  <c r="M35" i="9" s="1"/>
  <c r="M36" i="9" s="1"/>
  <c r="M41" i="9" s="1"/>
  <c r="M42" i="19"/>
  <c r="L125" i="24" s="1"/>
  <c r="L72" i="24"/>
  <c r="L75" i="24" s="1"/>
  <c r="L171" i="24" s="1"/>
  <c r="M18" i="26" a="1"/>
  <c r="M18" i="26" s="1"/>
  <c r="M10" i="26"/>
  <c r="M11" i="26" s="1"/>
  <c r="M17" i="26"/>
  <c r="L173" i="24" l="1"/>
  <c r="M19" i="26"/>
  <c r="M17" i="17"/>
  <c r="M22" i="16"/>
  <c r="M45" i="19"/>
  <c r="M17" i="23"/>
  <c r="M13" i="26"/>
  <c r="M38" i="9"/>
  <c r="L136" i="24" s="1"/>
  <c r="M19" i="23"/>
  <c r="M37" i="9"/>
  <c r="M40" i="9"/>
  <c r="L139" i="24"/>
  <c r="M12" i="22"/>
  <c r="M39" i="9"/>
  <c r="M18" i="17" l="1"/>
  <c r="L113" i="24"/>
  <c r="L114" i="24" s="1"/>
  <c r="L116" i="24" s="1"/>
  <c r="L117" i="24" s="1"/>
  <c r="M46" i="19"/>
  <c r="L126" i="24" s="1"/>
  <c r="M15" i="26"/>
  <c r="M20" i="16"/>
  <c r="M23" i="16" s="1"/>
  <c r="L137" i="24"/>
  <c r="L138" i="24"/>
  <c r="M17" i="22"/>
  <c r="M18" i="22" s="1"/>
  <c r="L156" i="24" s="1"/>
  <c r="M30" i="16" l="1"/>
  <c r="M31" i="16" s="1"/>
  <c r="L140" i="24"/>
  <c r="M19" i="22"/>
  <c r="M24" i="17"/>
  <c r="M25" i="17" s="1"/>
  <c r="M26" i="17" s="1"/>
  <c r="M49" i="19"/>
  <c r="M50" i="19" s="1"/>
  <c r="L155" i="24" s="1"/>
  <c r="M15" i="23" l="1"/>
  <c r="L129" i="24"/>
  <c r="L131" i="24" s="1"/>
  <c r="L132" i="24" s="1"/>
  <c r="M13" i="19"/>
  <c r="M14" i="19" s="1"/>
  <c r="L153" i="24"/>
  <c r="M32" i="16"/>
  <c r="M7" i="19" s="1"/>
  <c r="M51" i="19"/>
  <c r="M8" i="19"/>
  <c r="M27" i="17"/>
  <c r="M20" i="22"/>
  <c r="M9" i="19"/>
  <c r="L154" i="24"/>
  <c r="L176" i="24"/>
  <c r="L157" i="24" l="1"/>
  <c r="L159" i="24" s="1"/>
  <c r="L149" i="24"/>
  <c r="M33" i="16"/>
  <c r="M6" i="23" s="1"/>
  <c r="M9" i="23"/>
  <c r="M22" i="22"/>
  <c r="M23" i="22" s="1"/>
  <c r="M21" i="22"/>
  <c r="M7" i="23"/>
  <c r="M29" i="17"/>
  <c r="M30" i="17" s="1"/>
  <c r="M28" i="17"/>
  <c r="M55" i="19"/>
  <c r="M8" i="23" s="1"/>
  <c r="M10" i="19"/>
  <c r="M11" i="19" s="1"/>
  <c r="M53" i="19" s="1"/>
  <c r="N16" i="19" s="1"/>
  <c r="L162" i="24" l="1"/>
  <c r="L163" i="24" s="1"/>
  <c r="L150" i="24"/>
  <c r="M34" i="16"/>
  <c r="M35" i="16"/>
  <c r="M36" i="16" s="1"/>
  <c r="M10" i="23"/>
  <c r="N17" i="19"/>
  <c r="L175" i="24" l="1"/>
  <c r="L177" i="24" s="1"/>
  <c r="N21" i="19"/>
  <c r="N19" i="19"/>
  <c r="N20" i="19"/>
  <c r="M12" i="23"/>
  <c r="M13" i="23" s="1"/>
  <c r="M11" i="23"/>
  <c r="N22" i="19" l="1"/>
  <c r="N24" i="19" s="1"/>
  <c r="N30" i="19" s="1"/>
  <c r="N14" i="26"/>
  <c r="N12" i="26"/>
  <c r="N16" i="26" l="1" a="1"/>
  <c r="N16" i="26" s="1"/>
  <c r="N16" i="17" s="1"/>
  <c r="N25" i="19"/>
  <c r="N35" i="19" s="1"/>
  <c r="N29" i="19"/>
  <c r="N47" i="19" s="1"/>
  <c r="N21" i="16" l="1"/>
  <c r="O27" i="19"/>
  <c r="Q56" i="19"/>
  <c r="Q13" i="20" s="1"/>
  <c r="N47" i="20"/>
  <c r="N38" i="19" s="1"/>
  <c r="N16" i="23"/>
  <c r="N18" i="23"/>
  <c r="N36" i="19"/>
  <c r="N30" i="9"/>
  <c r="N31" i="9" s="1"/>
  <c r="N32" i="9" s="1"/>
  <c r="N48" i="19"/>
  <c r="M145" i="24" s="1"/>
  <c r="M147" i="24" s="1"/>
  <c r="Q41" i="20" l="1"/>
  <c r="Q30" i="20"/>
  <c r="Q26" i="20"/>
  <c r="Q42" i="20"/>
  <c r="Q16" i="20"/>
  <c r="Q28" i="20"/>
  <c r="Q21" i="20"/>
  <c r="Q9" i="20"/>
  <c r="Q18" i="20"/>
  <c r="Q40" i="20"/>
  <c r="Q39" i="20"/>
  <c r="Q24" i="20"/>
  <c r="Q38" i="20"/>
  <c r="Q33" i="20"/>
  <c r="Q19" i="20"/>
  <c r="Q36" i="20"/>
  <c r="Q44" i="20"/>
  <c r="Q29" i="20"/>
  <c r="Q11" i="20"/>
  <c r="Q15" i="20"/>
  <c r="Q22" i="20"/>
  <c r="Q8" i="20"/>
  <c r="Q65" i="19"/>
  <c r="Q23" i="20"/>
  <c r="Q27" i="20"/>
  <c r="Q66" i="19"/>
  <c r="Q45" i="20"/>
  <c r="Q34" i="20"/>
  <c r="Q32" i="20"/>
  <c r="T57" i="19"/>
  <c r="Q35" i="20"/>
  <c r="Q46" i="20"/>
  <c r="Q31" i="20"/>
  <c r="Q43" i="20"/>
  <c r="Q43" i="19"/>
  <c r="Q25" i="20"/>
  <c r="Q20" i="20"/>
  <c r="Q37" i="20"/>
  <c r="Q12" i="20"/>
  <c r="Q14" i="20"/>
  <c r="Q10" i="20"/>
  <c r="Q17" i="20"/>
  <c r="N48" i="20"/>
  <c r="N41" i="19"/>
  <c r="N39" i="19"/>
  <c r="N40" i="19"/>
  <c r="N8" i="26" l="1"/>
  <c r="N44" i="19"/>
  <c r="M128" i="24" s="1"/>
  <c r="Q59" i="19"/>
  <c r="M72" i="24"/>
  <c r="M75" i="24" s="1"/>
  <c r="M110" i="24"/>
  <c r="N42" i="19"/>
  <c r="M125" i="24" s="1"/>
  <c r="N33" i="9"/>
  <c r="N14" i="23"/>
  <c r="M172" i="24" s="1"/>
  <c r="N18" i="26" l="1" a="1"/>
  <c r="N18" i="26" s="1"/>
  <c r="N10" i="26"/>
  <c r="N11" i="26" s="1"/>
  <c r="N17" i="26"/>
  <c r="N35" i="9"/>
  <c r="N36" i="9" s="1"/>
  <c r="N39" i="9" s="1"/>
  <c r="M171" i="24"/>
  <c r="M173" i="24" s="1"/>
  <c r="N19" i="26" l="1"/>
  <c r="N17" i="17"/>
  <c r="N18" i="17" s="1"/>
  <c r="N22" i="16"/>
  <c r="N45" i="19"/>
  <c r="N13" i="26"/>
  <c r="N17" i="23"/>
  <c r="N38" i="9"/>
  <c r="N20" i="16" s="1"/>
  <c r="N41" i="9"/>
  <c r="M139" i="24" s="1"/>
  <c r="M137" i="24"/>
  <c r="N19" i="23"/>
  <c r="N37" i="9"/>
  <c r="N40" i="9"/>
  <c r="N23" i="16" l="1"/>
  <c r="N30" i="16" s="1"/>
  <c r="N31" i="16" s="1"/>
  <c r="M153" i="24" s="1"/>
  <c r="M113" i="24"/>
  <c r="M114" i="24" s="1"/>
  <c r="M116" i="24" s="1"/>
  <c r="M117" i="24" s="1"/>
  <c r="N46" i="19"/>
  <c r="M126" i="24" s="1"/>
  <c r="N15" i="26"/>
  <c r="M136" i="24"/>
  <c r="N12" i="22"/>
  <c r="N24" i="17"/>
  <c r="N25" i="17" s="1"/>
  <c r="M154" i="24" s="1"/>
  <c r="M138" i="24"/>
  <c r="M140" i="24" l="1"/>
  <c r="N15" i="23"/>
  <c r="N13" i="19"/>
  <c r="N14" i="19" s="1"/>
  <c r="N32" i="16"/>
  <c r="N7" i="19" s="1"/>
  <c r="N17" i="22"/>
  <c r="N18" i="22" s="1"/>
  <c r="M156" i="24" s="1"/>
  <c r="N26" i="17"/>
  <c r="N8" i="19" s="1"/>
  <c r="N49" i="19"/>
  <c r="N50" i="19" s="1"/>
  <c r="M155" i="24" s="1"/>
  <c r="M129" i="24" l="1"/>
  <c r="M131" i="24" s="1"/>
  <c r="N33" i="16"/>
  <c r="N35" i="16" s="1"/>
  <c r="N36" i="16" s="1"/>
  <c r="M157" i="24"/>
  <c r="M159" i="24" s="1"/>
  <c r="M176" i="24"/>
  <c r="N27" i="17"/>
  <c r="N7" i="23" s="1"/>
  <c r="N19" i="22"/>
  <c r="N20" i="22" s="1"/>
  <c r="N51" i="19"/>
  <c r="N10" i="19" s="1"/>
  <c r="M132" i="24" l="1"/>
  <c r="M149" i="24"/>
  <c r="M150" i="24" s="1"/>
  <c r="N34" i="16"/>
  <c r="N6" i="23"/>
  <c r="N28" i="17"/>
  <c r="N9" i="19"/>
  <c r="N11" i="19" s="1"/>
  <c r="N53" i="19" s="1"/>
  <c r="N55" i="19"/>
  <c r="N8" i="23" s="1"/>
  <c r="N29" i="17"/>
  <c r="N30" i="17" s="1"/>
  <c r="N22" i="22"/>
  <c r="N23" i="22" s="1"/>
  <c r="N9" i="23"/>
  <c r="N21" i="22"/>
  <c r="O16" i="19" l="1"/>
  <c r="O17" i="19" s="1"/>
  <c r="M162" i="24"/>
  <c r="M175" i="24" s="1"/>
  <c r="M177" i="24" s="1"/>
  <c r="N10" i="23"/>
  <c r="N11" i="23" s="1"/>
  <c r="O21" i="19" l="1"/>
  <c r="O19" i="19"/>
  <c r="O20" i="19"/>
  <c r="M163" i="24"/>
  <c r="N12" i="23"/>
  <c r="N13" i="23" s="1"/>
  <c r="O14" i="26" l="1"/>
  <c r="D23" i="26" s="1"/>
  <c r="O12" i="26"/>
  <c r="O22" i="19"/>
  <c r="O24" i="19" s="1"/>
  <c r="O25" i="19" s="1"/>
  <c r="O29" i="19" l="1"/>
  <c r="O47" i="19" s="1"/>
  <c r="O30" i="19"/>
  <c r="O16" i="23" s="1"/>
  <c r="D43" i="23" s="1"/>
  <c r="C21" i="25" s="1"/>
  <c r="O16" i="26" a="1"/>
  <c r="O16" i="26" s="1"/>
  <c r="O21" i="16" s="1"/>
  <c r="R56" i="19"/>
  <c r="P27" i="19"/>
  <c r="O35" i="19"/>
  <c r="O47" i="20"/>
  <c r="O16" i="17" l="1"/>
  <c r="O48" i="19"/>
  <c r="N145" i="24" s="1"/>
  <c r="N147" i="24" s="1"/>
  <c r="O18" i="23"/>
  <c r="D45" i="23" s="1"/>
  <c r="C17" i="25" s="1"/>
  <c r="O36" i="19"/>
  <c r="O30" i="9"/>
  <c r="O31" i="9" s="1"/>
  <c r="O32" i="9" s="1"/>
  <c r="D182" i="20"/>
  <c r="D137" i="20"/>
  <c r="D92" i="20"/>
  <c r="O38" i="19"/>
  <c r="O48" i="20"/>
  <c r="U57" i="19"/>
  <c r="R65" i="19"/>
  <c r="R66" i="19"/>
  <c r="R43" i="19"/>
  <c r="R26" i="20"/>
  <c r="R14" i="20"/>
  <c r="R9" i="20"/>
  <c r="R31" i="20"/>
  <c r="R12" i="20"/>
  <c r="R45" i="20"/>
  <c r="R36" i="20"/>
  <c r="R30" i="20"/>
  <c r="R27" i="20"/>
  <c r="R28" i="20"/>
  <c r="R8" i="20"/>
  <c r="R32" i="20"/>
  <c r="R19" i="20"/>
  <c r="R33" i="20"/>
  <c r="R40" i="20"/>
  <c r="R44" i="20"/>
  <c r="R17" i="20"/>
  <c r="R25" i="20"/>
  <c r="R43" i="20"/>
  <c r="R42" i="20"/>
  <c r="R18" i="20"/>
  <c r="R46" i="20"/>
  <c r="R38" i="20"/>
  <c r="R15" i="20"/>
  <c r="R11" i="20"/>
  <c r="R37" i="20"/>
  <c r="R23" i="20"/>
  <c r="R16" i="20"/>
  <c r="R21" i="20"/>
  <c r="R41" i="20"/>
  <c r="R22" i="20"/>
  <c r="R20" i="20"/>
  <c r="R39" i="20"/>
  <c r="R10" i="20"/>
  <c r="R24" i="20"/>
  <c r="R35" i="20"/>
  <c r="R34" i="20"/>
  <c r="R13" i="20"/>
  <c r="R29" i="20"/>
  <c r="D93" i="20" l="1"/>
  <c r="D138" i="20"/>
  <c r="D183" i="20"/>
  <c r="R59" i="19"/>
  <c r="O41" i="19"/>
  <c r="O40" i="19"/>
  <c r="O39" i="19"/>
  <c r="O8" i="26" l="1"/>
  <c r="O44" i="19"/>
  <c r="N128" i="24" s="1"/>
  <c r="N72" i="24"/>
  <c r="N75" i="24" s="1"/>
  <c r="N110" i="24"/>
  <c r="O42" i="19"/>
  <c r="N125" i="24" s="1"/>
  <c r="O14" i="23"/>
  <c r="O33" i="9"/>
  <c r="O18" i="26" l="1" a="1"/>
  <c r="O18" i="26" s="1"/>
  <c r="O10" i="26"/>
  <c r="O11" i="26" s="1"/>
  <c r="O17" i="26"/>
  <c r="O35" i="9"/>
  <c r="O36" i="9" s="1"/>
  <c r="O39" i="9" s="1"/>
  <c r="N172" i="24"/>
  <c r="D40" i="23"/>
  <c r="C18" i="25" s="1"/>
  <c r="N171" i="24"/>
  <c r="D25" i="31" l="1"/>
  <c r="C50" i="31"/>
  <c r="C49" i="31"/>
  <c r="C25" i="31"/>
  <c r="E25" i="31"/>
  <c r="C51" i="31"/>
  <c r="O19" i="26"/>
  <c r="O17" i="17"/>
  <c r="O18" i="17" s="1"/>
  <c r="O22" i="16"/>
  <c r="O45" i="19"/>
  <c r="D21" i="26"/>
  <c r="O13" i="26"/>
  <c r="O17" i="23"/>
  <c r="D44" i="23" s="1"/>
  <c r="C22" i="25" s="1"/>
  <c r="C40" i="31" s="1"/>
  <c r="N173" i="24"/>
  <c r="N137" i="24"/>
  <c r="O40" i="9"/>
  <c r="O38" i="9"/>
  <c r="O19" i="23"/>
  <c r="O37" i="9"/>
  <c r="O41" i="9"/>
  <c r="C41" i="31" l="1"/>
  <c r="C45" i="31" s="1"/>
  <c r="C39" i="31"/>
  <c r="C43" i="31" s="1"/>
  <c r="N113" i="24"/>
  <c r="N114" i="24" s="1"/>
  <c r="N116" i="24" s="1"/>
  <c r="N117" i="24" s="1"/>
  <c r="O46" i="19"/>
  <c r="N126" i="24" s="1"/>
  <c r="C44" i="31"/>
  <c r="D22" i="26"/>
  <c r="O15" i="26"/>
  <c r="N139" i="24"/>
  <c r="O12" i="22"/>
  <c r="N136" i="24"/>
  <c r="O20" i="16"/>
  <c r="O23" i="16" s="1"/>
  <c r="N138" i="24"/>
  <c r="O24" i="17"/>
  <c r="O25" i="17" s="1"/>
  <c r="N154" i="24" s="1"/>
  <c r="O15" i="23" l="1"/>
  <c r="D41" i="23" s="1"/>
  <c r="C19" i="25" s="1"/>
  <c r="C53" i="31" s="1"/>
  <c r="O30" i="16"/>
  <c r="O31" i="16" s="1"/>
  <c r="N153" i="24" s="1"/>
  <c r="O13" i="19"/>
  <c r="O14" i="19" s="1"/>
  <c r="O49" i="19"/>
  <c r="O50" i="19" s="1"/>
  <c r="N155" i="24" s="1"/>
  <c r="O17" i="22"/>
  <c r="O18" i="22" s="1"/>
  <c r="N156" i="24" s="1"/>
  <c r="O26" i="17"/>
  <c r="N140" i="24"/>
  <c r="C54" i="31" l="1"/>
  <c r="C52" i="31"/>
  <c r="N129" i="24"/>
  <c r="N131" i="24" s="1"/>
  <c r="N157" i="24"/>
  <c r="N159" i="24" s="1"/>
  <c r="O32" i="16"/>
  <c r="O7" i="19" s="1"/>
  <c r="N176" i="24"/>
  <c r="O8" i="19"/>
  <c r="O27" i="17"/>
  <c r="O19" i="22"/>
  <c r="O51" i="19"/>
  <c r="N149" i="24" l="1"/>
  <c r="N150" i="24" s="1"/>
  <c r="N132" i="24"/>
  <c r="O33" i="16"/>
  <c r="O6" i="23" s="1"/>
  <c r="O55" i="19"/>
  <c r="O8" i="23" s="1"/>
  <c r="O10" i="19"/>
  <c r="O20" i="22"/>
  <c r="O9" i="19"/>
  <c r="O7" i="23"/>
  <c r="O29" i="17"/>
  <c r="O30" i="17" s="1"/>
  <c r="O28" i="17"/>
  <c r="N162" i="24" l="1"/>
  <c r="N163" i="24" s="1"/>
  <c r="O34" i="16"/>
  <c r="O35" i="16"/>
  <c r="O36" i="16" s="1"/>
  <c r="O11" i="19"/>
  <c r="O53" i="19" s="1"/>
  <c r="O22" i="22"/>
  <c r="O23" i="22" s="1"/>
  <c r="O9" i="23"/>
  <c r="O10" i="23" s="1"/>
  <c r="O21" i="22"/>
  <c r="P16" i="19" l="1"/>
  <c r="P17" i="19" s="1"/>
  <c r="N175" i="24"/>
  <c r="N177" i="24" s="1"/>
  <c r="O12" i="23"/>
  <c r="O13" i="23" s="1"/>
  <c r="D42" i="23"/>
  <c r="C20" i="25" s="1"/>
  <c r="C56" i="31" s="1"/>
  <c r="O11" i="23"/>
  <c r="P21" i="19" l="1"/>
  <c r="P20" i="19"/>
  <c r="P19" i="19"/>
  <c r="C57" i="31"/>
  <c r="C55" i="31"/>
  <c r="P22" i="19" l="1"/>
  <c r="P24" i="19" s="1"/>
  <c r="P30" i="19" s="1"/>
  <c r="P12" i="26"/>
  <c r="P14" i="26"/>
  <c r="P16" i="26" s="1" a="1"/>
  <c r="P16" i="26" s="1"/>
  <c r="P21" i="16" s="1"/>
  <c r="P25" i="19" l="1"/>
  <c r="S56" i="19" s="1"/>
  <c r="P29" i="19"/>
  <c r="P47" i="19" s="1"/>
  <c r="P16" i="17"/>
  <c r="P47" i="20" l="1"/>
  <c r="P38" i="19" s="1"/>
  <c r="Q27" i="19"/>
  <c r="P16" i="23"/>
  <c r="P35" i="19"/>
  <c r="P18" i="23" s="1"/>
  <c r="S65" i="19"/>
  <c r="V57" i="19"/>
  <c r="S66" i="19"/>
  <c r="S43" i="19"/>
  <c r="S36" i="20"/>
  <c r="S14" i="20"/>
  <c r="S43" i="20"/>
  <c r="S15" i="20"/>
  <c r="S34" i="20"/>
  <c r="S16" i="20"/>
  <c r="S31" i="20"/>
  <c r="S9" i="20"/>
  <c r="S19" i="20"/>
  <c r="S38" i="20"/>
  <c r="S17" i="20"/>
  <c r="S41" i="20"/>
  <c r="S39" i="20"/>
  <c r="S21" i="20"/>
  <c r="S42" i="20"/>
  <c r="S46" i="20"/>
  <c r="S40" i="20"/>
  <c r="S23" i="20"/>
  <c r="S24" i="20"/>
  <c r="S13" i="20"/>
  <c r="S25" i="20"/>
  <c r="S22" i="20"/>
  <c r="S29" i="20"/>
  <c r="S32" i="20"/>
  <c r="S27" i="20"/>
  <c r="S12" i="20"/>
  <c r="S18" i="20"/>
  <c r="S33" i="20"/>
  <c r="S10" i="20"/>
  <c r="S26" i="20"/>
  <c r="S20" i="20"/>
  <c r="S30" i="20"/>
  <c r="S44" i="20"/>
  <c r="S45" i="20"/>
  <c r="S28" i="20"/>
  <c r="S35" i="20"/>
  <c r="S37" i="20"/>
  <c r="S11" i="20"/>
  <c r="P48" i="19"/>
  <c r="P48" i="20" l="1"/>
  <c r="P30" i="9"/>
  <c r="P31" i="9" s="1"/>
  <c r="P32" i="9" s="1"/>
  <c r="P36" i="19"/>
  <c r="S59" i="19"/>
  <c r="P41" i="19"/>
  <c r="P40" i="19"/>
  <c r="P39" i="19"/>
  <c r="P8" i="26" l="1"/>
  <c r="P44" i="19"/>
  <c r="P42" i="19"/>
  <c r="P14" i="23"/>
  <c r="P33" i="9"/>
  <c r="P18" i="26" l="1" a="1"/>
  <c r="P18" i="26" s="1"/>
  <c r="P10" i="26"/>
  <c r="P11" i="26" s="1"/>
  <c r="P17" i="26"/>
  <c r="P35" i="9"/>
  <c r="P36" i="9" s="1"/>
  <c r="P38" i="9" s="1"/>
  <c r="P19" i="26" l="1"/>
  <c r="P17" i="17"/>
  <c r="P22" i="16"/>
  <c r="P45" i="19"/>
  <c r="P13" i="26"/>
  <c r="P17" i="23"/>
  <c r="P19" i="23"/>
  <c r="P37" i="9"/>
  <c r="P20" i="16"/>
  <c r="P39" i="9"/>
  <c r="P40" i="9"/>
  <c r="P41" i="9"/>
  <c r="P18" i="17" l="1"/>
  <c r="P23" i="16"/>
  <c r="P30" i="16" s="1"/>
  <c r="P31" i="16" s="1"/>
  <c r="P32" i="16" s="1"/>
  <c r="P46" i="19"/>
  <c r="P15" i="26"/>
  <c r="P12" i="22"/>
  <c r="P15" i="23" l="1"/>
  <c r="P7" i="19"/>
  <c r="P33" i="16"/>
  <c r="P24" i="17"/>
  <c r="P25" i="17" s="1"/>
  <c r="P26" i="17" s="1"/>
  <c r="P49" i="19"/>
  <c r="P50" i="19" s="1"/>
  <c r="P51" i="19" s="1"/>
  <c r="P17" i="22"/>
  <c r="P18" i="22" s="1"/>
  <c r="P13" i="19"/>
  <c r="P14" i="19" s="1"/>
  <c r="P19" i="22" l="1"/>
  <c r="P55" i="19"/>
  <c r="P8" i="23" s="1"/>
  <c r="P10" i="19"/>
  <c r="P8" i="19"/>
  <c r="P27" i="17"/>
  <c r="P6" i="23"/>
  <c r="P35" i="16"/>
  <c r="P36" i="16" s="1"/>
  <c r="P34" i="16"/>
  <c r="P20" i="22" l="1"/>
  <c r="P9" i="19"/>
  <c r="P11" i="19" s="1"/>
  <c r="P53" i="19" s="1"/>
  <c r="Q16" i="19" s="1"/>
  <c r="P7" i="23"/>
  <c r="P29" i="17"/>
  <c r="P30" i="17" s="1"/>
  <c r="P28" i="17"/>
  <c r="Q17" i="19" l="1"/>
  <c r="P9" i="23"/>
  <c r="P10" i="23" s="1"/>
  <c r="P22" i="22"/>
  <c r="P23" i="22" s="1"/>
  <c r="P21" i="22"/>
  <c r="Q20" i="19" l="1"/>
  <c r="Q21" i="19"/>
  <c r="Q19" i="19"/>
  <c r="P12" i="23"/>
  <c r="P13" i="23" s="1"/>
  <c r="P11" i="23"/>
  <c r="Q22" i="19" l="1"/>
  <c r="Q24" i="19" s="1"/>
  <c r="Q14" i="26"/>
  <c r="Q12" i="26"/>
  <c r="Q16" i="26" l="1" a="1"/>
  <c r="Q16" i="26" s="1"/>
  <c r="Q16" i="17" s="1"/>
  <c r="Q29" i="19"/>
  <c r="Q30" i="19"/>
  <c r="Q25" i="19"/>
  <c r="Q21" i="16" l="1"/>
  <c r="T56" i="19"/>
  <c r="R27" i="19"/>
  <c r="Q35" i="19"/>
  <c r="Q47" i="20"/>
  <c r="Q47" i="19"/>
  <c r="Q16" i="23"/>
  <c r="Q48" i="19" l="1"/>
  <c r="Q48" i="20"/>
  <c r="Q38" i="19"/>
  <c r="Q18" i="23"/>
  <c r="Q36" i="19"/>
  <c r="Q30" i="9"/>
  <c r="Q31" i="9" s="1"/>
  <c r="Q32" i="9" s="1"/>
  <c r="T66" i="19"/>
  <c r="T65" i="19"/>
  <c r="T43" i="19"/>
  <c r="W57" i="19"/>
  <c r="T31" i="20"/>
  <c r="T16" i="20"/>
  <c r="T13" i="20"/>
  <c r="T28" i="20"/>
  <c r="T46" i="20"/>
  <c r="T41" i="20"/>
  <c r="T35" i="20"/>
  <c r="T23" i="20"/>
  <c r="T34" i="20"/>
  <c r="T25" i="20"/>
  <c r="T40" i="20"/>
  <c r="T15" i="20"/>
  <c r="T37" i="20"/>
  <c r="T21" i="20"/>
  <c r="T24" i="20"/>
  <c r="T18" i="20"/>
  <c r="T29" i="20"/>
  <c r="T30" i="20"/>
  <c r="T10" i="20"/>
  <c r="T38" i="20"/>
  <c r="T45" i="20"/>
  <c r="T17" i="20"/>
  <c r="T12" i="20"/>
  <c r="T22" i="20"/>
  <c r="T19" i="20"/>
  <c r="T26" i="20"/>
  <c r="T39" i="20"/>
  <c r="T43" i="20"/>
  <c r="T44" i="20"/>
  <c r="T33" i="20"/>
  <c r="T36" i="20"/>
  <c r="T32" i="20"/>
  <c r="T20" i="20"/>
  <c r="T42" i="20"/>
  <c r="T11" i="20"/>
  <c r="T14" i="20"/>
  <c r="T27" i="20"/>
  <c r="T59" i="19" l="1"/>
  <c r="Q39" i="19"/>
  <c r="Q40" i="19"/>
  <c r="Q41" i="19"/>
  <c r="Q8" i="26" l="1"/>
  <c r="Q44" i="19"/>
  <c r="Q42" i="19"/>
  <c r="Q14" i="23"/>
  <c r="Q33" i="9"/>
  <c r="Q18" i="26" l="1" a="1"/>
  <c r="Q18" i="26" s="1"/>
  <c r="Q10" i="26"/>
  <c r="Q11" i="26" s="1"/>
  <c r="Q17" i="26"/>
  <c r="Q35" i="9"/>
  <c r="Q36" i="9" s="1"/>
  <c r="Q39" i="9" s="1"/>
  <c r="Q19" i="26" l="1"/>
  <c r="Q17" i="17"/>
  <c r="Q18" i="17" s="1"/>
  <c r="Q22" i="16"/>
  <c r="Q45" i="19"/>
  <c r="Q17" i="23"/>
  <c r="Q13" i="26"/>
  <c r="Q19" i="23"/>
  <c r="Q37" i="9"/>
  <c r="Q38" i="9"/>
  <c r="Q40" i="9"/>
  <c r="Q41" i="9"/>
  <c r="Q46" i="19" l="1"/>
  <c r="Q15" i="26"/>
  <c r="Q20" i="16"/>
  <c r="Q23" i="16" s="1"/>
  <c r="Q12" i="22"/>
  <c r="Q24" i="17"/>
  <c r="Q25" i="17" s="1"/>
  <c r="Q17" i="22" l="1"/>
  <c r="Q18" i="22" s="1"/>
  <c r="Q49" i="19"/>
  <c r="Q50" i="19" s="1"/>
  <c r="Q26" i="17"/>
  <c r="Q15" i="23"/>
  <c r="Q30" i="16"/>
  <c r="Q31" i="16" s="1"/>
  <c r="Q32" i="16" s="1"/>
  <c r="Q13" i="19"/>
  <c r="Q14" i="19" s="1"/>
  <c r="Q7" i="19" l="1"/>
  <c r="Q33" i="16"/>
  <c r="Q8" i="19"/>
  <c r="Q27" i="17"/>
  <c r="Q51" i="19"/>
  <c r="Q19" i="22"/>
  <c r="Q20" i="22" l="1"/>
  <c r="Q9" i="19"/>
  <c r="Q55" i="19"/>
  <c r="Q8" i="23" s="1"/>
  <c r="Q10" i="19"/>
  <c r="Q7" i="23"/>
  <c r="Q29" i="17"/>
  <c r="Q30" i="17" s="1"/>
  <c r="Q28" i="17"/>
  <c r="Q6" i="23"/>
  <c r="Q35" i="16"/>
  <c r="Q36" i="16" s="1"/>
  <c r="Q34" i="16"/>
  <c r="Q11" i="19" l="1"/>
  <c r="Q53" i="19" s="1"/>
  <c r="Q22" i="22"/>
  <c r="Q23" i="22" s="1"/>
  <c r="Q9" i="23"/>
  <c r="Q10" i="23" s="1"/>
  <c r="Q21" i="22"/>
  <c r="R16" i="19" l="1"/>
  <c r="R17" i="19" s="1"/>
  <c r="Q12" i="23"/>
  <c r="Q13" i="23" s="1"/>
  <c r="Q11" i="23"/>
  <c r="R19" i="19" l="1"/>
  <c r="R20" i="19"/>
  <c r="R21" i="19"/>
  <c r="R22" i="19" l="1"/>
  <c r="R24" i="19" s="1"/>
  <c r="R30" i="19" s="1"/>
  <c r="R12" i="26"/>
  <c r="R14" i="26"/>
  <c r="R25" i="19" l="1"/>
  <c r="U56" i="19" s="1"/>
  <c r="R29" i="19"/>
  <c r="R16" i="23" s="1"/>
  <c r="R47" i="20"/>
  <c r="R47" i="19" l="1"/>
  <c r="R48" i="19" s="1"/>
  <c r="R35" i="19"/>
  <c r="S27" i="19"/>
  <c r="U65" i="19"/>
  <c r="X57" i="19"/>
  <c r="U66" i="19"/>
  <c r="U43" i="19"/>
  <c r="U20" i="20"/>
  <c r="U15" i="20"/>
  <c r="U27" i="20"/>
  <c r="U32" i="20"/>
  <c r="U38" i="20"/>
  <c r="U24" i="20"/>
  <c r="U36" i="20"/>
  <c r="U26" i="20"/>
  <c r="U42" i="20"/>
  <c r="U19" i="20"/>
  <c r="U11" i="20"/>
  <c r="U40" i="20"/>
  <c r="U16" i="20"/>
  <c r="U33" i="20"/>
  <c r="U35" i="20"/>
  <c r="U28" i="20"/>
  <c r="U18" i="20"/>
  <c r="U37" i="20"/>
  <c r="U29" i="20"/>
  <c r="U45" i="20"/>
  <c r="U46" i="20"/>
  <c r="U39" i="20"/>
  <c r="U17" i="20"/>
  <c r="U23" i="20"/>
  <c r="U43" i="20"/>
  <c r="U31" i="20"/>
  <c r="U13" i="20"/>
  <c r="U22" i="20"/>
  <c r="U14" i="20"/>
  <c r="U34" i="20"/>
  <c r="U41" i="20"/>
  <c r="U30" i="20"/>
  <c r="U12" i="20"/>
  <c r="U44" i="20"/>
  <c r="U21" i="20"/>
  <c r="U25" i="20"/>
  <c r="R48" i="20"/>
  <c r="R38" i="19"/>
  <c r="R18" i="23"/>
  <c r="R36" i="19"/>
  <c r="R30" i="9"/>
  <c r="R31" i="9" s="1"/>
  <c r="R32" i="9" s="1"/>
  <c r="U59" i="19" l="1"/>
  <c r="R39" i="19"/>
  <c r="R41" i="19"/>
  <c r="R40" i="19"/>
  <c r="R8" i="26" l="1"/>
  <c r="R42" i="19"/>
  <c r="R14" i="23"/>
  <c r="R33" i="9"/>
  <c r="R18" i="26" l="1" a="1"/>
  <c r="R18" i="26" s="1"/>
  <c r="R10" i="26"/>
  <c r="R11" i="26" s="1"/>
  <c r="R16" i="26" a="1"/>
  <c r="R16" i="26" s="1"/>
  <c r="R35" i="9"/>
  <c r="R36" i="9" s="1"/>
  <c r="R41" i="9" s="1"/>
  <c r="R19" i="26" l="1"/>
  <c r="R17" i="17"/>
  <c r="R22" i="16"/>
  <c r="R45" i="19"/>
  <c r="R16" i="17"/>
  <c r="R21" i="16"/>
  <c r="R44" i="19"/>
  <c r="R17" i="26"/>
  <c r="R17" i="23"/>
  <c r="R13" i="26"/>
  <c r="R39" i="9"/>
  <c r="R12" i="22"/>
  <c r="R19" i="23"/>
  <c r="R37" i="9"/>
  <c r="R38" i="9"/>
  <c r="R40" i="9"/>
  <c r="R46" i="19" l="1"/>
  <c r="R18" i="17"/>
  <c r="R24" i="17" s="1"/>
  <c r="R25" i="17" s="1"/>
  <c r="R26" i="17" s="1"/>
  <c r="R15" i="26"/>
  <c r="R17" i="22"/>
  <c r="R18" i="22" s="1"/>
  <c r="R20" i="16"/>
  <c r="R23" i="16" s="1"/>
  <c r="R8" i="19" l="1"/>
  <c r="R27" i="17"/>
  <c r="R15" i="23"/>
  <c r="R30" i="16"/>
  <c r="R31" i="16" s="1"/>
  <c r="R13" i="19"/>
  <c r="R14" i="19" s="1"/>
  <c r="R49" i="19"/>
  <c r="R50" i="19" s="1"/>
  <c r="R51" i="19" s="1"/>
  <c r="R19" i="22"/>
  <c r="R55" i="19" l="1"/>
  <c r="R8" i="23" s="1"/>
  <c r="R10" i="19"/>
  <c r="R20" i="22"/>
  <c r="R9" i="19"/>
  <c r="R32" i="16"/>
  <c r="R7" i="23"/>
  <c r="R29" i="17"/>
  <c r="R30" i="17" s="1"/>
  <c r="R28" i="17"/>
  <c r="R9" i="23" l="1"/>
  <c r="R22" i="22"/>
  <c r="R23" i="22" s="1"/>
  <c r="R21" i="22"/>
  <c r="R7" i="19"/>
  <c r="R11" i="19" s="1"/>
  <c r="R53" i="19" s="1"/>
  <c r="S16" i="19" s="1"/>
  <c r="R33" i="16"/>
  <c r="R6" i="23" l="1"/>
  <c r="R10" i="23" s="1"/>
  <c r="R35" i="16"/>
  <c r="R36" i="16" s="1"/>
  <c r="R34" i="16"/>
  <c r="S17" i="19"/>
  <c r="S21" i="19" l="1"/>
  <c r="S20" i="19"/>
  <c r="S19" i="19"/>
  <c r="R12" i="23"/>
  <c r="R13" i="23" s="1"/>
  <c r="R11" i="23"/>
  <c r="S22" i="19" l="1"/>
  <c r="S24" i="19" s="1"/>
  <c r="S14" i="26"/>
  <c r="S12" i="26"/>
  <c r="S29" i="19" l="1"/>
  <c r="S30" i="19"/>
  <c r="S25" i="19"/>
  <c r="S47" i="19" l="1"/>
  <c r="S16" i="23"/>
  <c r="V56" i="19"/>
  <c r="T27" i="19"/>
  <c r="S35" i="19"/>
  <c r="S47" i="20"/>
  <c r="S18" i="23" l="1"/>
  <c r="S36" i="19"/>
  <c r="S8" i="20" s="1"/>
  <c r="S48" i="20" s="1"/>
  <c r="S30" i="9"/>
  <c r="S31" i="9" s="1"/>
  <c r="S32" i="9" s="1"/>
  <c r="V66" i="19"/>
  <c r="V43" i="19"/>
  <c r="Y57" i="19"/>
  <c r="V65" i="19"/>
  <c r="V24" i="20"/>
  <c r="V36" i="20"/>
  <c r="V27" i="20"/>
  <c r="V31" i="20"/>
  <c r="V22" i="20"/>
  <c r="V45" i="20"/>
  <c r="V15" i="20"/>
  <c r="V32" i="20"/>
  <c r="V38" i="20"/>
  <c r="V37" i="20"/>
  <c r="V16" i="20"/>
  <c r="V19" i="20"/>
  <c r="V40" i="20"/>
  <c r="V13" i="20"/>
  <c r="V21" i="20"/>
  <c r="V28" i="20"/>
  <c r="V42" i="20"/>
  <c r="V39" i="20"/>
  <c r="V26" i="20"/>
  <c r="V20" i="20"/>
  <c r="V33" i="20"/>
  <c r="V25" i="20"/>
  <c r="V44" i="20"/>
  <c r="V43" i="20"/>
  <c r="V35" i="20"/>
  <c r="V41" i="20"/>
  <c r="V30" i="20"/>
  <c r="V34" i="20"/>
  <c r="V17" i="20"/>
  <c r="V29" i="20"/>
  <c r="V23" i="20"/>
  <c r="V18" i="20"/>
  <c r="V46" i="20"/>
  <c r="V12" i="20"/>
  <c r="V14" i="20"/>
  <c r="S48" i="19"/>
  <c r="S38" i="19" l="1"/>
  <c r="S41" i="19" s="1"/>
  <c r="V59" i="19"/>
  <c r="S8" i="26" l="1"/>
  <c r="S39" i="19"/>
  <c r="S42" i="19" s="1"/>
  <c r="S40" i="19"/>
  <c r="S18" i="26" l="1" a="1"/>
  <c r="S18" i="26" s="1"/>
  <c r="S10" i="26"/>
  <c r="S11" i="26" s="1"/>
  <c r="S16" i="26" a="1"/>
  <c r="S16" i="26" s="1"/>
  <c r="S17" i="26" s="1"/>
  <c r="S14" i="23"/>
  <c r="S33" i="9"/>
  <c r="S35" i="9" s="1"/>
  <c r="S36" i="9" s="1"/>
  <c r="S19" i="26" l="1"/>
  <c r="S17" i="17"/>
  <c r="S22" i="16"/>
  <c r="S45" i="19"/>
  <c r="S13" i="26"/>
  <c r="S17" i="23"/>
  <c r="S16" i="17"/>
  <c r="S21" i="16"/>
  <c r="S44" i="19"/>
  <c r="S19" i="23"/>
  <c r="S37" i="9"/>
  <c r="S40" i="9"/>
  <c r="S38" i="9"/>
  <c r="S41" i="9"/>
  <c r="S39" i="9"/>
  <c r="S46" i="19" l="1"/>
  <c r="S18" i="17"/>
  <c r="S15" i="26"/>
  <c r="S12" i="22"/>
  <c r="S20" i="16"/>
  <c r="S23" i="16" s="1"/>
  <c r="S15" i="23" l="1"/>
  <c r="S30" i="16"/>
  <c r="S31" i="16" s="1"/>
  <c r="S32" i="16" s="1"/>
  <c r="S13" i="19"/>
  <c r="S14" i="19" s="1"/>
  <c r="S49" i="19"/>
  <c r="S50" i="19" s="1"/>
  <c r="S51" i="19" s="1"/>
  <c r="S24" i="17"/>
  <c r="S25" i="17" s="1"/>
  <c r="S26" i="17" s="1"/>
  <c r="S17" i="22"/>
  <c r="S18" i="22" s="1"/>
  <c r="S19" i="22" s="1"/>
  <c r="S20" i="22" l="1"/>
  <c r="S9" i="19"/>
  <c r="S8" i="19"/>
  <c r="S27" i="17"/>
  <c r="S7" i="19"/>
  <c r="S33" i="16"/>
  <c r="S55" i="19"/>
  <c r="S8" i="23" s="1"/>
  <c r="S10" i="19"/>
  <c r="S6" i="23" l="1"/>
  <c r="S35" i="16"/>
  <c r="S36" i="16" s="1"/>
  <c r="S34" i="16"/>
  <c r="S11" i="19"/>
  <c r="S53" i="19" s="1"/>
  <c r="T16" i="19" s="1"/>
  <c r="S7" i="23"/>
  <c r="S29" i="17"/>
  <c r="S30" i="17" s="1"/>
  <c r="S28" i="17"/>
  <c r="S9" i="23"/>
  <c r="S22" i="22"/>
  <c r="S23" i="22" s="1"/>
  <c r="S21" i="22"/>
  <c r="S10" i="23" l="1"/>
  <c r="S12" i="23" s="1"/>
  <c r="S13" i="23" s="1"/>
  <c r="T17" i="19"/>
  <c r="T20" i="19" l="1"/>
  <c r="T19" i="19"/>
  <c r="T21" i="19"/>
  <c r="S11" i="23"/>
  <c r="T22" i="19" l="1"/>
  <c r="T24" i="19" s="1"/>
  <c r="T14" i="26"/>
  <c r="T12" i="26"/>
  <c r="T29" i="19" l="1"/>
  <c r="T30" i="19"/>
  <c r="T25" i="19"/>
  <c r="W56" i="19" l="1"/>
  <c r="U27" i="19"/>
  <c r="T35" i="19"/>
  <c r="T47" i="20"/>
  <c r="T47" i="19"/>
  <c r="T16" i="23"/>
  <c r="T48" i="19" l="1"/>
  <c r="T18" i="23"/>
  <c r="T36" i="19"/>
  <c r="T30" i="9"/>
  <c r="T31" i="9" s="1"/>
  <c r="T32" i="9" s="1"/>
  <c r="W65" i="19"/>
  <c r="Z57" i="19"/>
  <c r="W66" i="19"/>
  <c r="W43" i="19"/>
  <c r="W42" i="20"/>
  <c r="W22" i="20"/>
  <c r="W20" i="20"/>
  <c r="W35" i="20"/>
  <c r="W16" i="20"/>
  <c r="W29" i="20"/>
  <c r="W18" i="20"/>
  <c r="W44" i="20"/>
  <c r="W27" i="20"/>
  <c r="W19" i="20"/>
  <c r="W24" i="20"/>
  <c r="W26" i="20"/>
  <c r="W33" i="20"/>
  <c r="W15" i="20"/>
  <c r="W41" i="20"/>
  <c r="W39" i="20"/>
  <c r="W31" i="20"/>
  <c r="W46" i="20"/>
  <c r="W13" i="20"/>
  <c r="W43" i="20"/>
  <c r="W23" i="20"/>
  <c r="W45" i="20"/>
  <c r="W37" i="20"/>
  <c r="W17" i="20"/>
  <c r="W40" i="20"/>
  <c r="W30" i="20"/>
  <c r="W34" i="20"/>
  <c r="W14" i="20"/>
  <c r="W38" i="20"/>
  <c r="W28" i="20"/>
  <c r="W25" i="20"/>
  <c r="W36" i="20"/>
  <c r="W21" i="20"/>
  <c r="W32" i="20"/>
  <c r="T8" i="20" l="1"/>
  <c r="T9" i="20"/>
  <c r="W59" i="19"/>
  <c r="T38" i="19" l="1"/>
  <c r="T41" i="19" s="1"/>
  <c r="T48" i="20"/>
  <c r="T8" i="26" l="1"/>
  <c r="T39" i="19"/>
  <c r="T42" i="19" s="1"/>
  <c r="T40" i="19"/>
  <c r="T18" i="26" l="1" a="1"/>
  <c r="T18" i="26" s="1"/>
  <c r="T10" i="26"/>
  <c r="T11" i="26" s="1"/>
  <c r="T16" i="26" a="1"/>
  <c r="T16" i="26" s="1"/>
  <c r="T17" i="26" s="1"/>
  <c r="T14" i="23"/>
  <c r="T33" i="9"/>
  <c r="T35" i="9" s="1"/>
  <c r="T36" i="9" s="1"/>
  <c r="T19" i="23" s="1"/>
  <c r="T19" i="26" l="1"/>
  <c r="T17" i="17"/>
  <c r="T22" i="16"/>
  <c r="T45" i="19"/>
  <c r="T16" i="17"/>
  <c r="T21" i="16"/>
  <c r="T44" i="19"/>
  <c r="T13" i="26"/>
  <c r="T17" i="23"/>
  <c r="T37" i="9"/>
  <c r="T41" i="9"/>
  <c r="T12" i="22" s="1"/>
  <c r="T40" i="9"/>
  <c r="T39" i="9"/>
  <c r="T38" i="9"/>
  <c r="T20" i="16" s="1"/>
  <c r="T23" i="16" l="1"/>
  <c r="T18" i="17"/>
  <c r="T24" i="17" s="1"/>
  <c r="T25" i="17" s="1"/>
  <c r="T26" i="17" s="1"/>
  <c r="T46" i="19"/>
  <c r="T49" i="19" s="1"/>
  <c r="T50" i="19" s="1"/>
  <c r="T51" i="19" s="1"/>
  <c r="T15" i="26"/>
  <c r="T17" i="22"/>
  <c r="T18" i="22" s="1"/>
  <c r="T19" i="22" s="1"/>
  <c r="T15" i="23" l="1"/>
  <c r="T13" i="19"/>
  <c r="T14" i="19" s="1"/>
  <c r="T30" i="16"/>
  <c r="T31" i="16" s="1"/>
  <c r="T32" i="16" s="1"/>
  <c r="T7" i="19" s="1"/>
  <c r="T55" i="19"/>
  <c r="T8" i="23" s="1"/>
  <c r="T10" i="19"/>
  <c r="T27" i="17"/>
  <c r="T8" i="19"/>
  <c r="T20" i="22"/>
  <c r="T9" i="19"/>
  <c r="T33" i="16" l="1"/>
  <c r="T35" i="16" s="1"/>
  <c r="T36" i="16" s="1"/>
  <c r="T9" i="23"/>
  <c r="T22" i="22"/>
  <c r="T23" i="22" s="1"/>
  <c r="T21" i="22"/>
  <c r="T11" i="19"/>
  <c r="T53" i="19" s="1"/>
  <c r="U16" i="19" s="1"/>
  <c r="T7" i="23"/>
  <c r="T29" i="17"/>
  <c r="T30" i="17" s="1"/>
  <c r="T28" i="17"/>
  <c r="T34" i="16" l="1"/>
  <c r="T6" i="23"/>
  <c r="T10" i="23" s="1"/>
  <c r="U17" i="19"/>
  <c r="U20" i="19" l="1"/>
  <c r="U21" i="19"/>
  <c r="U19" i="19"/>
  <c r="T12" i="23"/>
  <c r="T13" i="23" s="1"/>
  <c r="T11" i="23"/>
  <c r="U22" i="19" l="1"/>
  <c r="U24" i="19" s="1"/>
  <c r="U14" i="26"/>
  <c r="U12" i="26"/>
  <c r="U29" i="19" l="1"/>
  <c r="U30" i="19"/>
  <c r="U25" i="19"/>
  <c r="X56" i="19" l="1"/>
  <c r="V27" i="19"/>
  <c r="U35" i="19"/>
  <c r="U47" i="20"/>
  <c r="U47" i="19"/>
  <c r="U16" i="23"/>
  <c r="U48" i="19" l="1"/>
  <c r="U18" i="23"/>
  <c r="U36" i="19"/>
  <c r="U10" i="20" s="1"/>
  <c r="U30" i="9"/>
  <c r="U31" i="9" s="1"/>
  <c r="U32" i="9" s="1"/>
  <c r="X65" i="19"/>
  <c r="AA57" i="19"/>
  <c r="X43" i="19"/>
  <c r="X66" i="19"/>
  <c r="X13" i="20"/>
  <c r="X19" i="20"/>
  <c r="X25" i="20"/>
  <c r="X37" i="20"/>
  <c r="X41" i="20"/>
  <c r="X40" i="20"/>
  <c r="X39" i="20"/>
  <c r="X15" i="20"/>
  <c r="X22" i="20"/>
  <c r="X31" i="20"/>
  <c r="X23" i="20"/>
  <c r="X33" i="20"/>
  <c r="X26" i="20"/>
  <c r="X44" i="20"/>
  <c r="X34" i="20"/>
  <c r="X38" i="20"/>
  <c r="X32" i="20"/>
  <c r="X42" i="20"/>
  <c r="X21" i="20"/>
  <c r="X14" i="20"/>
  <c r="X36" i="20"/>
  <c r="X20" i="20"/>
  <c r="X29" i="20"/>
  <c r="X43" i="20"/>
  <c r="X45" i="20"/>
  <c r="X18" i="20"/>
  <c r="X28" i="20"/>
  <c r="X17" i="20"/>
  <c r="X24" i="20"/>
  <c r="X16" i="20"/>
  <c r="X35" i="20"/>
  <c r="X27" i="20"/>
  <c r="X46" i="20"/>
  <c r="X30" i="20"/>
  <c r="U9" i="20" l="1"/>
  <c r="U8" i="20"/>
  <c r="X59" i="19"/>
  <c r="U48" i="20" l="1"/>
  <c r="U38" i="19"/>
  <c r="U40" i="19" l="1"/>
  <c r="U41" i="19"/>
  <c r="U39" i="19"/>
  <c r="U8" i="26" l="1"/>
  <c r="U14" i="23"/>
  <c r="U33" i="9"/>
  <c r="U35" i="9" s="1"/>
  <c r="U36" i="9" s="1"/>
  <c r="U41" i="9" s="1"/>
  <c r="U12" i="22" s="1"/>
  <c r="U17" i="22" s="1"/>
  <c r="U18" i="22" s="1"/>
  <c r="U19" i="22" s="1"/>
  <c r="U42" i="19"/>
  <c r="U18" i="26" l="1" a="1"/>
  <c r="U18" i="26" s="1"/>
  <c r="U19" i="26" s="1"/>
  <c r="U10" i="26"/>
  <c r="U11" i="26" s="1"/>
  <c r="U16" i="26" a="1"/>
  <c r="U16" i="26" s="1"/>
  <c r="U39" i="9"/>
  <c r="U38" i="9"/>
  <c r="U20" i="16" s="1"/>
  <c r="U37" i="9"/>
  <c r="U19" i="23"/>
  <c r="U40" i="9"/>
  <c r="U20" i="22"/>
  <c r="U9" i="19"/>
  <c r="U17" i="17" l="1"/>
  <c r="U22" i="16"/>
  <c r="U45" i="19"/>
  <c r="U16" i="17"/>
  <c r="U21" i="16"/>
  <c r="U44" i="19"/>
  <c r="U17" i="26"/>
  <c r="U17" i="23"/>
  <c r="U13" i="26"/>
  <c r="U9" i="23"/>
  <c r="U22" i="22"/>
  <c r="U23" i="22" s="1"/>
  <c r="U21" i="22"/>
  <c r="U18" i="17" l="1"/>
  <c r="U24" i="17" s="1"/>
  <c r="U25" i="17" s="1"/>
  <c r="U26" i="17" s="1"/>
  <c r="U8" i="19" s="1"/>
  <c r="U23" i="16"/>
  <c r="U46" i="19"/>
  <c r="U49" i="19" s="1"/>
  <c r="U50" i="19" s="1"/>
  <c r="U51" i="19" s="1"/>
  <c r="U15" i="26"/>
  <c r="U27" i="17" l="1"/>
  <c r="U29" i="17" s="1"/>
  <c r="U30" i="17" s="1"/>
  <c r="U55" i="19"/>
  <c r="U8" i="23" s="1"/>
  <c r="U10" i="19"/>
  <c r="U13" i="19"/>
  <c r="U14" i="19" s="1"/>
  <c r="U15" i="23"/>
  <c r="U30" i="16"/>
  <c r="U31" i="16" s="1"/>
  <c r="U32" i="16" s="1"/>
  <c r="U7" i="19" s="1"/>
  <c r="U28" i="17" l="1"/>
  <c r="U7" i="23"/>
  <c r="U11" i="19"/>
  <c r="U53" i="19" s="1"/>
  <c r="U33" i="16"/>
  <c r="U35" i="16" s="1"/>
  <c r="U36" i="16" s="1"/>
  <c r="V16" i="19" l="1"/>
  <c r="V17" i="19" s="1"/>
  <c r="U6" i="23"/>
  <c r="U10" i="23" s="1"/>
  <c r="U12" i="23" s="1"/>
  <c r="U13" i="23" s="1"/>
  <c r="U34" i="16"/>
  <c r="V19" i="19" l="1"/>
  <c r="V21" i="19"/>
  <c r="V20" i="19"/>
  <c r="U11" i="23"/>
  <c r="V14" i="26" l="1"/>
  <c r="V12" i="26"/>
  <c r="V22" i="19"/>
  <c r="V24" i="19" s="1"/>
  <c r="V29" i="19" s="1"/>
  <c r="V47" i="19" s="1"/>
  <c r="V30" i="19" l="1"/>
  <c r="V16" i="23" s="1"/>
  <c r="V25" i="19"/>
  <c r="W27" i="19" s="1"/>
  <c r="V48" i="19"/>
  <c r="V47" i="20" l="1"/>
  <c r="V35" i="19"/>
  <c r="V18" i="23" s="1"/>
  <c r="Y56" i="19"/>
  <c r="Y66" i="19" s="1"/>
  <c r="Y26" i="20" l="1"/>
  <c r="Y42" i="20"/>
  <c r="Y18" i="20"/>
  <c r="Y41" i="20"/>
  <c r="Y39" i="20"/>
  <c r="Y33" i="20"/>
  <c r="Y46" i="20"/>
  <c r="Y65" i="19"/>
  <c r="Y59" i="19" s="1"/>
  <c r="Y43" i="19"/>
  <c r="Y36" i="20"/>
  <c r="Y28" i="20"/>
  <c r="V36" i="19"/>
  <c r="V10" i="20" s="1"/>
  <c r="Y24" i="20"/>
  <c r="Y34" i="20"/>
  <c r="Y30" i="20"/>
  <c r="Y25" i="20"/>
  <c r="V30" i="9"/>
  <c r="V31" i="9" s="1"/>
  <c r="V32" i="9" s="1"/>
  <c r="Y29" i="20"/>
  <c r="Y22" i="20"/>
  <c r="Y32" i="20"/>
  <c r="Y17" i="20"/>
  <c r="Y27" i="20"/>
  <c r="Y19" i="20"/>
  <c r="Y45" i="20"/>
  <c r="Y15" i="20"/>
  <c r="AB57" i="19"/>
  <c r="Y16" i="20"/>
  <c r="Y44" i="20"/>
  <c r="Y43" i="20"/>
  <c r="Y37" i="20"/>
  <c r="Y23" i="20"/>
  <c r="Y21" i="20"/>
  <c r="Y31" i="20"/>
  <c r="Y14" i="20"/>
  <c r="Y20" i="20"/>
  <c r="Y40" i="20"/>
  <c r="Y38" i="20"/>
  <c r="Y35" i="20"/>
  <c r="V11" i="20" l="1"/>
  <c r="V8" i="20"/>
  <c r="V9" i="20"/>
  <c r="V48" i="20" l="1"/>
  <c r="V38" i="19"/>
  <c r="V41" i="19" s="1"/>
  <c r="V8" i="26" s="1"/>
  <c r="V18" i="26" s="1" a="1"/>
  <c r="V18" i="26" s="1"/>
  <c r="V16" i="26" l="1" a="1"/>
  <c r="V16" i="26" s="1"/>
  <c r="V16" i="17" s="1"/>
  <c r="V39" i="19"/>
  <c r="V42" i="19" s="1"/>
  <c r="V10" i="26"/>
  <c r="V11" i="26" s="1"/>
  <c r="V13" i="26" s="1"/>
  <c r="V40" i="19"/>
  <c r="V19" i="26"/>
  <c r="V17" i="17"/>
  <c r="V22" i="16"/>
  <c r="V45" i="19"/>
  <c r="V17" i="26" l="1"/>
  <c r="V44" i="19"/>
  <c r="V21" i="16"/>
  <c r="V17" i="23"/>
  <c r="V33" i="9"/>
  <c r="V35" i="9" s="1"/>
  <c r="V36" i="9" s="1"/>
  <c r="V39" i="9" s="1"/>
  <c r="V18" i="17" s="1"/>
  <c r="V24" i="17" s="1"/>
  <c r="V25" i="17" s="1"/>
  <c r="V26" i="17" s="1"/>
  <c r="V14" i="23"/>
  <c r="V15" i="26"/>
  <c r="V19" i="23" l="1"/>
  <c r="V41" i="9"/>
  <c r="V12" i="22" s="1"/>
  <c r="V17" i="22" s="1"/>
  <c r="V18" i="22" s="1"/>
  <c r="V19" i="22" s="1"/>
  <c r="V20" i="22" s="1"/>
  <c r="V9" i="23" s="1"/>
  <c r="V38" i="9"/>
  <c r="V20" i="16" s="1"/>
  <c r="V23" i="16" s="1"/>
  <c r="V30" i="16" s="1"/>
  <c r="V31" i="16" s="1"/>
  <c r="V32" i="16" s="1"/>
  <c r="V7" i="19" s="1"/>
  <c r="V40" i="9"/>
  <c r="V46" i="19" s="1"/>
  <c r="V49" i="19" s="1"/>
  <c r="V50" i="19" s="1"/>
  <c r="V51" i="19" s="1"/>
  <c r="V55" i="19" s="1"/>
  <c r="V8" i="23" s="1"/>
  <c r="V37" i="9"/>
  <c r="V8" i="19"/>
  <c r="V27" i="17"/>
  <c r="V7" i="23" s="1"/>
  <c r="V21" i="22" l="1"/>
  <c r="V15" i="23"/>
  <c r="V22" i="22"/>
  <c r="V23" i="22" s="1"/>
  <c r="V33" i="16"/>
  <c r="V6" i="23" s="1"/>
  <c r="V10" i="23" s="1"/>
  <c r="V13" i="19"/>
  <c r="V14" i="19" s="1"/>
  <c r="V9" i="19"/>
  <c r="V10" i="19"/>
  <c r="V11" i="19"/>
  <c r="V53" i="19" s="1"/>
  <c r="V29" i="17"/>
  <c r="V30" i="17" s="1"/>
  <c r="V28" i="17"/>
  <c r="V35" i="16" l="1"/>
  <c r="V36" i="16" s="1"/>
  <c r="V34" i="16"/>
  <c r="W16" i="19"/>
  <c r="W17" i="19" s="1"/>
  <c r="V12" i="23"/>
  <c r="V13" i="23" s="1"/>
  <c r="V11" i="23"/>
  <c r="W21" i="19" l="1"/>
  <c r="W20" i="19"/>
  <c r="W19" i="19"/>
  <c r="W22" i="19" l="1"/>
  <c r="W24" i="19" s="1"/>
  <c r="W30" i="19" s="1"/>
  <c r="W14" i="26"/>
  <c r="W12" i="26"/>
  <c r="W25" i="19" l="1"/>
  <c r="W35" i="19" s="1"/>
  <c r="W18" i="23" s="1"/>
  <c r="W29" i="19"/>
  <c r="W16" i="23" s="1"/>
  <c r="Z56" i="19" l="1"/>
  <c r="Z39" i="20" s="1"/>
  <c r="W30" i="9"/>
  <c r="W31" i="9" s="1"/>
  <c r="W32" i="9" s="1"/>
  <c r="W36" i="19"/>
  <c r="W10" i="20" s="1"/>
  <c r="W47" i="20"/>
  <c r="W47" i="19"/>
  <c r="W48" i="19" s="1"/>
  <c r="X27" i="19"/>
  <c r="Z21" i="20"/>
  <c r="Z42" i="20"/>
  <c r="Z30" i="20"/>
  <c r="AC57" i="19"/>
  <c r="Z19" i="20"/>
  <c r="Z15" i="20"/>
  <c r="Z36" i="20"/>
  <c r="Z46" i="20"/>
  <c r="Z43" i="19"/>
  <c r="Z37" i="20"/>
  <c r="Z28" i="20"/>
  <c r="Z66" i="19"/>
  <c r="Z25" i="20"/>
  <c r="Z22" i="20"/>
  <c r="Z40" i="20"/>
  <c r="Z26" i="20" l="1"/>
  <c r="Z41" i="20"/>
  <c r="Z27" i="20"/>
  <c r="Z29" i="20"/>
  <c r="Z43" i="20"/>
  <c r="Z24" i="20"/>
  <c r="Z31" i="20"/>
  <c r="Z32" i="20"/>
  <c r="Z23" i="20"/>
  <c r="Z35" i="20"/>
  <c r="Z16" i="20"/>
  <c r="Z34" i="20"/>
  <c r="Z20" i="20"/>
  <c r="Z44" i="20"/>
  <c r="Z18" i="20"/>
  <c r="Z33" i="20"/>
  <c r="Z17" i="20"/>
  <c r="Z38" i="20"/>
  <c r="Z65" i="19"/>
  <c r="Z59" i="19" s="1"/>
  <c r="Z45" i="20"/>
  <c r="W12" i="20"/>
  <c r="W8" i="20"/>
  <c r="W11" i="20"/>
  <c r="W9" i="20"/>
  <c r="W38" i="19" l="1"/>
  <c r="W41" i="19" s="1"/>
  <c r="W8" i="26" s="1"/>
  <c r="W48" i="20"/>
  <c r="W39" i="19" l="1"/>
  <c r="W33" i="9" s="1"/>
  <c r="W35" i="9" s="1"/>
  <c r="W36" i="9" s="1"/>
  <c r="W39" i="9" s="1"/>
  <c r="W40" i="19"/>
  <c r="W18" i="26" a="1"/>
  <c r="W18" i="26" s="1"/>
  <c r="W10" i="26"/>
  <c r="W11" i="26" s="1"/>
  <c r="W16" i="26" a="1"/>
  <c r="W16" i="26" s="1"/>
  <c r="W17" i="26" s="1"/>
  <c r="W42" i="19" l="1"/>
  <c r="W14" i="23"/>
  <c r="W19" i="26"/>
  <c r="W17" i="17"/>
  <c r="W22" i="16"/>
  <c r="W45" i="19"/>
  <c r="W16" i="17"/>
  <c r="W21" i="16"/>
  <c r="W44" i="19"/>
  <c r="W13" i="26"/>
  <c r="W17" i="23"/>
  <c r="W41" i="9"/>
  <c r="W12" i="22" s="1"/>
  <c r="W17" i="22" s="1"/>
  <c r="W18" i="22" s="1"/>
  <c r="W19" i="22" s="1"/>
  <c r="W38" i="9"/>
  <c r="W20" i="16" s="1"/>
  <c r="W40" i="9"/>
  <c r="W37" i="9"/>
  <c r="W19" i="23"/>
  <c r="W46" i="19" l="1"/>
  <c r="W23" i="16"/>
  <c r="W30" i="16" s="1"/>
  <c r="W31" i="16" s="1"/>
  <c r="W32" i="16" s="1"/>
  <c r="W7" i="19" s="1"/>
  <c r="W18" i="17"/>
  <c r="W24" i="17" s="1"/>
  <c r="W25" i="17" s="1"/>
  <c r="W26" i="17" s="1"/>
  <c r="W15" i="26"/>
  <c r="W20" i="22"/>
  <c r="W9" i="19"/>
  <c r="W8" i="19" l="1"/>
  <c r="W27" i="17"/>
  <c r="W7" i="23" s="1"/>
  <c r="W13" i="19"/>
  <c r="W14" i="19" s="1"/>
  <c r="W49" i="19"/>
  <c r="W50" i="19" s="1"/>
  <c r="W51" i="19" s="1"/>
  <c r="W15" i="23"/>
  <c r="W33" i="16"/>
  <c r="W6" i="23" s="1"/>
  <c r="W9" i="23"/>
  <c r="W22" i="22"/>
  <c r="W23" i="22" s="1"/>
  <c r="W21" i="22"/>
  <c r="W28" i="17" l="1"/>
  <c r="W29" i="17"/>
  <c r="W30" i="17" s="1"/>
  <c r="W55" i="19"/>
  <c r="W8" i="23" s="1"/>
  <c r="W10" i="23" s="1"/>
  <c r="W11" i="23" s="1"/>
  <c r="W10" i="19"/>
  <c r="W11" i="19" s="1"/>
  <c r="W53" i="19" s="1"/>
  <c r="W34" i="16"/>
  <c r="W35" i="16"/>
  <c r="W36" i="16" s="1"/>
  <c r="X16" i="19" l="1"/>
  <c r="X17" i="19" s="1"/>
  <c r="W12" i="23"/>
  <c r="W13" i="23" s="1"/>
  <c r="X19" i="19" l="1"/>
  <c r="X20" i="19"/>
  <c r="X21" i="19"/>
  <c r="X14" i="26" l="1"/>
  <c r="X12" i="26"/>
  <c r="X22" i="19"/>
  <c r="X24" i="19" s="1"/>
  <c r="X30" i="19" s="1"/>
  <c r="X25" i="19" l="1"/>
  <c r="AA56" i="19" s="1"/>
  <c r="X29" i="19"/>
  <c r="X16" i="23" s="1"/>
  <c r="X47" i="20" l="1"/>
  <c r="X47" i="19"/>
  <c r="X48" i="19" s="1"/>
  <c r="X35" i="19"/>
  <c r="X36" i="19" s="1"/>
  <c r="X12" i="20" s="1"/>
  <c r="Y27" i="19"/>
  <c r="AD57" i="19"/>
  <c r="AA43" i="19"/>
  <c r="AA65" i="19"/>
  <c r="AA66" i="19"/>
  <c r="AA26" i="20"/>
  <c r="AA20" i="20"/>
  <c r="AA37" i="20"/>
  <c r="AA39" i="20"/>
  <c r="AA21" i="20"/>
  <c r="AA22" i="20"/>
  <c r="AA33" i="20"/>
  <c r="AA17" i="20"/>
  <c r="AA27" i="20"/>
  <c r="AA29" i="20"/>
  <c r="AA45" i="20"/>
  <c r="AA43" i="20"/>
  <c r="AA36" i="20"/>
  <c r="AA28" i="20"/>
  <c r="AA25" i="20"/>
  <c r="AA41" i="20"/>
  <c r="AA16" i="20"/>
  <c r="AA34" i="20"/>
  <c r="AA31" i="20"/>
  <c r="AA46" i="20"/>
  <c r="AA19" i="20"/>
  <c r="AA32" i="20"/>
  <c r="AA42" i="20"/>
  <c r="AA40" i="20"/>
  <c r="AA23" i="20"/>
  <c r="AA18" i="20"/>
  <c r="AA38" i="20"/>
  <c r="AA30" i="20"/>
  <c r="AA24" i="20"/>
  <c r="AA35" i="20"/>
  <c r="AA44" i="20"/>
  <c r="X18" i="23" l="1"/>
  <c r="X30" i="9"/>
  <c r="X31" i="9" s="1"/>
  <c r="X32" i="9" s="1"/>
  <c r="X10" i="20"/>
  <c r="X11" i="20"/>
  <c r="X8" i="20"/>
  <c r="X9" i="20"/>
  <c r="E63" i="20"/>
  <c r="E153" i="20"/>
  <c r="E108" i="20"/>
  <c r="E110" i="20"/>
  <c r="E65" i="20"/>
  <c r="E155" i="20"/>
  <c r="E72" i="20"/>
  <c r="E117" i="20"/>
  <c r="E162" i="20"/>
  <c r="E107" i="20"/>
  <c r="E62" i="20"/>
  <c r="E152" i="20"/>
  <c r="E173" i="20"/>
  <c r="E128" i="20"/>
  <c r="E83" i="20"/>
  <c r="E166" i="20"/>
  <c r="E121" i="20"/>
  <c r="E76" i="20"/>
  <c r="E180" i="20"/>
  <c r="E90" i="20"/>
  <c r="E135" i="20"/>
  <c r="E127" i="20"/>
  <c r="E82" i="20"/>
  <c r="E172" i="20"/>
  <c r="E74" i="20"/>
  <c r="E119" i="20"/>
  <c r="E164" i="20"/>
  <c r="E61" i="20"/>
  <c r="E106" i="20"/>
  <c r="E151" i="20"/>
  <c r="AA59" i="19"/>
  <c r="E89" i="20"/>
  <c r="E134" i="20"/>
  <c r="E179" i="20"/>
  <c r="E85" i="20"/>
  <c r="E130" i="20"/>
  <c r="E175" i="20"/>
  <c r="E115" i="20"/>
  <c r="E70" i="20"/>
  <c r="E160" i="20"/>
  <c r="E168" i="20"/>
  <c r="E123" i="20"/>
  <c r="E78" i="20"/>
  <c r="E80" i="20"/>
  <c r="E125" i="20"/>
  <c r="E170" i="20"/>
  <c r="E132" i="20"/>
  <c r="E177" i="20"/>
  <c r="E87" i="20"/>
  <c r="E116" i="20"/>
  <c r="E161" i="20"/>
  <c r="E71" i="20"/>
  <c r="E86" i="20"/>
  <c r="E131" i="20"/>
  <c r="E176" i="20"/>
  <c r="E163" i="20"/>
  <c r="E118" i="20"/>
  <c r="E73" i="20"/>
  <c r="E169" i="20"/>
  <c r="E124" i="20"/>
  <c r="E79" i="20"/>
  <c r="E158" i="20"/>
  <c r="E68" i="20"/>
  <c r="E113" i="20"/>
  <c r="E122" i="20"/>
  <c r="E77" i="20"/>
  <c r="E167" i="20"/>
  <c r="E67" i="20"/>
  <c r="E157" i="20"/>
  <c r="E112" i="20"/>
  <c r="E159" i="20"/>
  <c r="E69" i="20"/>
  <c r="E114" i="20"/>
  <c r="E64" i="20"/>
  <c r="E154" i="20"/>
  <c r="E109" i="20"/>
  <c r="E171" i="20"/>
  <c r="E126" i="20"/>
  <c r="E81" i="20"/>
  <c r="E66" i="20"/>
  <c r="E156" i="20"/>
  <c r="E111" i="20"/>
  <c r="E165" i="20"/>
  <c r="E120" i="20"/>
  <c r="E75" i="20"/>
  <c r="E181" i="20"/>
  <c r="E136" i="20"/>
  <c r="E91" i="20"/>
  <c r="E133" i="20"/>
  <c r="E88" i="20"/>
  <c r="E178" i="20"/>
  <c r="E129" i="20"/>
  <c r="E174" i="20"/>
  <c r="E84" i="20"/>
  <c r="X48" i="20" l="1"/>
  <c r="X38" i="19"/>
  <c r="X41" i="19" s="1"/>
  <c r="X8" i="26" l="1"/>
  <c r="X40" i="19"/>
  <c r="X39" i="19"/>
  <c r="X14" i="23" s="1"/>
  <c r="X18" i="26" l="1" a="1"/>
  <c r="X18" i="26" s="1"/>
  <c r="X10" i="26"/>
  <c r="X11" i="26" s="1"/>
  <c r="X16" i="26" a="1"/>
  <c r="X16" i="26" s="1"/>
  <c r="X42" i="19"/>
  <c r="X33" i="9"/>
  <c r="X35" i="9" s="1"/>
  <c r="X36" i="9" s="1"/>
  <c r="X39" i="9" s="1"/>
  <c r="X19" i="26" l="1"/>
  <c r="X17" i="17"/>
  <c r="X22" i="16"/>
  <c r="X45" i="19"/>
  <c r="X16" i="17"/>
  <c r="X21" i="16"/>
  <c r="X44" i="19"/>
  <c r="X17" i="26"/>
  <c r="X17" i="23"/>
  <c r="X13" i="26"/>
  <c r="X41" i="9"/>
  <c r="X12" i="22" s="1"/>
  <c r="X17" i="22" s="1"/>
  <c r="X18" i="22" s="1"/>
  <c r="X19" i="22" s="1"/>
  <c r="X19" i="23"/>
  <c r="X37" i="9"/>
  <c r="X40" i="9"/>
  <c r="X38" i="9"/>
  <c r="X20" i="16" s="1"/>
  <c r="X46" i="19" l="1"/>
  <c r="X49" i="19" s="1"/>
  <c r="X50" i="19" s="1"/>
  <c r="X51" i="19" s="1"/>
  <c r="X18" i="17"/>
  <c r="X24" i="17" s="1"/>
  <c r="X25" i="17" s="1"/>
  <c r="X26" i="17" s="1"/>
  <c r="X23" i="16"/>
  <c r="X15" i="26"/>
  <c r="X20" i="22"/>
  <c r="X9" i="19"/>
  <c r="X8" i="19" l="1"/>
  <c r="X27" i="17"/>
  <c r="X7" i="23" s="1"/>
  <c r="X15" i="23"/>
  <c r="X30" i="16"/>
  <c r="X31" i="16" s="1"/>
  <c r="X32" i="16" s="1"/>
  <c r="X33" i="16" s="1"/>
  <c r="X13" i="19"/>
  <c r="X14" i="19" s="1"/>
  <c r="X55" i="19"/>
  <c r="X8" i="23" s="1"/>
  <c r="X10" i="19"/>
  <c r="X22" i="22"/>
  <c r="X23" i="22" s="1"/>
  <c r="X9" i="23"/>
  <c r="X21" i="22"/>
  <c r="X28" i="17" l="1"/>
  <c r="X29" i="17"/>
  <c r="X30" i="17" s="1"/>
  <c r="X7" i="19"/>
  <c r="X11" i="19" s="1"/>
  <c r="X53" i="19" s="1"/>
  <c r="Y16" i="19" s="1"/>
  <c r="X6" i="23"/>
  <c r="X10" i="23" s="1"/>
  <c r="X35" i="16"/>
  <c r="X36" i="16" s="1"/>
  <c r="X34" i="16"/>
  <c r="Y17" i="19" l="1"/>
  <c r="X12" i="23"/>
  <c r="X13" i="23" s="1"/>
  <c r="X11" i="23"/>
  <c r="Y21" i="19" l="1"/>
  <c r="Y19" i="19"/>
  <c r="Y20" i="19"/>
  <c r="Y12" i="26" l="1"/>
  <c r="Y22" i="19"/>
  <c r="Y24" i="19" s="1"/>
  <c r="Y29" i="19" s="1"/>
  <c r="Y14" i="26"/>
  <c r="Y30" i="19" l="1"/>
  <c r="Y16" i="23" s="1"/>
  <c r="Y25" i="19"/>
  <c r="AB56" i="19" s="1"/>
  <c r="Y47" i="19"/>
  <c r="Y35" i="19" l="1"/>
  <c r="Y18" i="23" s="1"/>
  <c r="Y47" i="20"/>
  <c r="Z27" i="19"/>
  <c r="Y48" i="19"/>
  <c r="AE57" i="19"/>
  <c r="AB65" i="19"/>
  <c r="AB66" i="19"/>
  <c r="AB43" i="19"/>
  <c r="AB23" i="20"/>
  <c r="AB43" i="20"/>
  <c r="AB30" i="20"/>
  <c r="AB38" i="20"/>
  <c r="AB44" i="20"/>
  <c r="AB35" i="20"/>
  <c r="AB40" i="20"/>
  <c r="AB19" i="20"/>
  <c r="AB39" i="20"/>
  <c r="AB26" i="20"/>
  <c r="AB24" i="20"/>
  <c r="AB27" i="20"/>
  <c r="AB34" i="20"/>
  <c r="AB25" i="20"/>
  <c r="AB32" i="20"/>
  <c r="AB33" i="20"/>
  <c r="AB36" i="20"/>
  <c r="AB28" i="20"/>
  <c r="AB31" i="20"/>
  <c r="AB41" i="20"/>
  <c r="AB42" i="20"/>
  <c r="AB21" i="20"/>
  <c r="AB29" i="20"/>
  <c r="AB20" i="20"/>
  <c r="AB17" i="20"/>
  <c r="AB37" i="20"/>
  <c r="AB45" i="20"/>
  <c r="AB18" i="20"/>
  <c r="AB46" i="20"/>
  <c r="AB22" i="20"/>
  <c r="Y30" i="9" l="1"/>
  <c r="Y31" i="9" s="1"/>
  <c r="Y32" i="9" s="1"/>
  <c r="Y36" i="19"/>
  <c r="Y11" i="20"/>
  <c r="Y12" i="20"/>
  <c r="AB59" i="19"/>
  <c r="Y8" i="20" l="1"/>
  <c r="Y13" i="20"/>
  <c r="Y10" i="20"/>
  <c r="Y9" i="20"/>
  <c r="Y48" i="20" l="1"/>
  <c r="Y38" i="19"/>
  <c r="Y41" i="19" s="1"/>
  <c r="Y8" i="26" l="1"/>
  <c r="Y10" i="26" s="1"/>
  <c r="Y11" i="26" s="1"/>
  <c r="Y39" i="19"/>
  <c r="Y14" i="23" s="1"/>
  <c r="Y40" i="19"/>
  <c r="Y18" i="26" l="1" a="1"/>
  <c r="Y18" i="26" s="1"/>
  <c r="Y45" i="19" s="1"/>
  <c r="Y16" i="26" a="1"/>
  <c r="Y16" i="26" s="1"/>
  <c r="Y16" i="17" s="1"/>
  <c r="Y42" i="19"/>
  <c r="Y33" i="9"/>
  <c r="Y35" i="9" s="1"/>
  <c r="Y36" i="9" s="1"/>
  <c r="Y39" i="9" s="1"/>
  <c r="Y13" i="26"/>
  <c r="Y17" i="23"/>
  <c r="Y19" i="26" l="1"/>
  <c r="Y22" i="16"/>
  <c r="Y17" i="26"/>
  <c r="Y44" i="19"/>
  <c r="Y21" i="16"/>
  <c r="Y17" i="17"/>
  <c r="Y18" i="17" s="1"/>
  <c r="Y24" i="17" s="1"/>
  <c r="Y25" i="17" s="1"/>
  <c r="Y26" i="17" s="1"/>
  <c r="Y8" i="19" s="1"/>
  <c r="Y41" i="9"/>
  <c r="Y12" i="22" s="1"/>
  <c r="Y17" i="22" s="1"/>
  <c r="Y18" i="22" s="1"/>
  <c r="Y19" i="22" s="1"/>
  <c r="Y9" i="19" s="1"/>
  <c r="Y19" i="23"/>
  <c r="Y37" i="9"/>
  <c r="Y38" i="9"/>
  <c r="Y20" i="16" s="1"/>
  <c r="Y40" i="9"/>
  <c r="Y15" i="26"/>
  <c r="Y23" i="16" l="1"/>
  <c r="Y30" i="16" s="1"/>
  <c r="Y31" i="16" s="1"/>
  <c r="Y32" i="16" s="1"/>
  <c r="Y7" i="19" s="1"/>
  <c r="Y46" i="19"/>
  <c r="Y49" i="19" s="1"/>
  <c r="Y50" i="19" s="1"/>
  <c r="Y51" i="19" s="1"/>
  <c r="Y20" i="22"/>
  <c r="Y22" i="22" s="1"/>
  <c r="Y23" i="22" s="1"/>
  <c r="Y27" i="17"/>
  <c r="Y7" i="23" s="1"/>
  <c r="Y13" i="19" l="1"/>
  <c r="Y14" i="19" s="1"/>
  <c r="Y15" i="23"/>
  <c r="Y55" i="19"/>
  <c r="Y8" i="23" s="1"/>
  <c r="Y10" i="19"/>
  <c r="Y11" i="19" s="1"/>
  <c r="Y53" i="19" s="1"/>
  <c r="Z16" i="19" s="1"/>
  <c r="Y9" i="23"/>
  <c r="Y21" i="22"/>
  <c r="Y28" i="17"/>
  <c r="Y29" i="17"/>
  <c r="Y30" i="17" s="1"/>
  <c r="Y33" i="16"/>
  <c r="Y35" i="16" s="1"/>
  <c r="Y36" i="16" s="1"/>
  <c r="Z17" i="19" l="1"/>
  <c r="Z21" i="19" s="1"/>
  <c r="Y6" i="23"/>
  <c r="Y10" i="23" s="1"/>
  <c r="Y12" i="23" s="1"/>
  <c r="Y13" i="23" s="1"/>
  <c r="Y34" i="16"/>
  <c r="Z19" i="19" l="1"/>
  <c r="Z20" i="19"/>
  <c r="Y11" i="23"/>
  <c r="Z12" i="26" l="1"/>
  <c r="Z14" i="26"/>
  <c r="Z22" i="19"/>
  <c r="Z24" i="19" s="1"/>
  <c r="Z30" i="19" s="1"/>
  <c r="Z25" i="19" l="1"/>
  <c r="AC56" i="19" s="1"/>
  <c r="Z29" i="19"/>
  <c r="Z16" i="23" s="1"/>
  <c r="AA27" i="19" l="1"/>
  <c r="Z47" i="20"/>
  <c r="Z35" i="19"/>
  <c r="Z18" i="23" s="1"/>
  <c r="Z47" i="19"/>
  <c r="Z48" i="19" s="1"/>
  <c r="AC65" i="19"/>
  <c r="AF57" i="19"/>
  <c r="AC66" i="19"/>
  <c r="AC43" i="19"/>
  <c r="AC37" i="20"/>
  <c r="AC43" i="20"/>
  <c r="AC33" i="20"/>
  <c r="AC34" i="20"/>
  <c r="AC23" i="20"/>
  <c r="AC28" i="20"/>
  <c r="AC41" i="20"/>
  <c r="AC18" i="20"/>
  <c r="AC29" i="20"/>
  <c r="AC36" i="20"/>
  <c r="AC35" i="20"/>
  <c r="AC32" i="20"/>
  <c r="AC31" i="20"/>
  <c r="AC21" i="20"/>
  <c r="AC44" i="20"/>
  <c r="AC20" i="20"/>
  <c r="AC38" i="20"/>
  <c r="AC26" i="20"/>
  <c r="AC42" i="20"/>
  <c r="AC39" i="20"/>
  <c r="AC25" i="20"/>
  <c r="AC24" i="20"/>
  <c r="AC19" i="20"/>
  <c r="AC45" i="20"/>
  <c r="AC27" i="20"/>
  <c r="AC46" i="20"/>
  <c r="AC40" i="20"/>
  <c r="AC30" i="20"/>
  <c r="AC22" i="20"/>
  <c r="Z30" i="9" l="1"/>
  <c r="Z31" i="9" s="1"/>
  <c r="Z32" i="9" s="1"/>
  <c r="Z36" i="19"/>
  <c r="Z13" i="20" s="1"/>
  <c r="AC59" i="19"/>
  <c r="Z10" i="20" l="1"/>
  <c r="Z14" i="20"/>
  <c r="Z12" i="20"/>
  <c r="Z11" i="20"/>
  <c r="Z9" i="20"/>
  <c r="Z8" i="20"/>
  <c r="Z48" i="20" l="1"/>
  <c r="Z38" i="19"/>
  <c r="Z40" i="19" s="1"/>
  <c r="Z41" i="19" l="1"/>
  <c r="Z8" i="26" s="1"/>
  <c r="Z39" i="19"/>
  <c r="Z14" i="23" s="1"/>
  <c r="Z42" i="19" l="1"/>
  <c r="Z33" i="9"/>
  <c r="Z35" i="9" s="1"/>
  <c r="Z36" i="9" s="1"/>
  <c r="Z18" i="26" a="1"/>
  <c r="Z18" i="26" s="1"/>
  <c r="Z10" i="26"/>
  <c r="Z11" i="26" s="1"/>
  <c r="Z16" i="26" a="1"/>
  <c r="Z16" i="26" s="1"/>
  <c r="Z19" i="26" l="1"/>
  <c r="Z17" i="17"/>
  <c r="Z22" i="16"/>
  <c r="Z45" i="19"/>
  <c r="Z16" i="17"/>
  <c r="Z21" i="16"/>
  <c r="Z44" i="19"/>
  <c r="Z17" i="26"/>
  <c r="Z13" i="26"/>
  <c r="Z17" i="23"/>
  <c r="Z19" i="23"/>
  <c r="Z37" i="9"/>
  <c r="Z38" i="9"/>
  <c r="Z20" i="16" s="1"/>
  <c r="Z39" i="9"/>
  <c r="Z40" i="9"/>
  <c r="Z41" i="9"/>
  <c r="Z12" i="22" s="1"/>
  <c r="Z18" i="17" l="1"/>
  <c r="Z46" i="19"/>
  <c r="Z49" i="19" s="1"/>
  <c r="Z50" i="19" s="1"/>
  <c r="Z51" i="19" s="1"/>
  <c r="Z23" i="16"/>
  <c r="Z30" i="16" s="1"/>
  <c r="Z31" i="16" s="1"/>
  <c r="Z32" i="16" s="1"/>
  <c r="Z15" i="26"/>
  <c r="Z17" i="22"/>
  <c r="Z18" i="22" s="1"/>
  <c r="Z19" i="22" s="1"/>
  <c r="Z13" i="19" l="1"/>
  <c r="Z14" i="19" s="1"/>
  <c r="Z24" i="17"/>
  <c r="Z25" i="17" s="1"/>
  <c r="Z26" i="17" s="1"/>
  <c r="Z8" i="19" s="1"/>
  <c r="Z15" i="23"/>
  <c r="Z7" i="19"/>
  <c r="Z33" i="16"/>
  <c r="Z55" i="19"/>
  <c r="Z8" i="23" s="1"/>
  <c r="Z10" i="19"/>
  <c r="Z20" i="22"/>
  <c r="Z9" i="19"/>
  <c r="Z27" i="17" l="1"/>
  <c r="Z29" i="17" s="1"/>
  <c r="Z30" i="17" s="1"/>
  <c r="Z11" i="19"/>
  <c r="Z53" i="19" s="1"/>
  <c r="Z22" i="22"/>
  <c r="Z23" i="22" s="1"/>
  <c r="Z9" i="23"/>
  <c r="Z21" i="22"/>
  <c r="Z6" i="23"/>
  <c r="Z35" i="16"/>
  <c r="Z36" i="16" s="1"/>
  <c r="Z34" i="16"/>
  <c r="AA16" i="19" l="1"/>
  <c r="AA17" i="19" s="1"/>
  <c r="Z7" i="23"/>
  <c r="Z10" i="23" s="1"/>
  <c r="Z12" i="23" s="1"/>
  <c r="Z13" i="23" s="1"/>
  <c r="Z28" i="17"/>
  <c r="AA21" i="19" l="1"/>
  <c r="AA20" i="19"/>
  <c r="AA19" i="19"/>
  <c r="Z11" i="23"/>
  <c r="AA12" i="26" l="1"/>
  <c r="AA22" i="19"/>
  <c r="AA24" i="19" s="1"/>
  <c r="AA29" i="19" s="1"/>
  <c r="AA14" i="26"/>
  <c r="E23" i="26" s="1"/>
  <c r="AA30" i="19" l="1"/>
  <c r="AA16" i="23" s="1"/>
  <c r="E43" i="23" s="1"/>
  <c r="D21" i="25" s="1"/>
  <c r="AA25" i="19"/>
  <c r="AD56" i="19" s="1"/>
  <c r="AA47" i="19"/>
  <c r="AA35" i="19" l="1"/>
  <c r="AA30" i="9" s="1"/>
  <c r="AA31" i="9" s="1"/>
  <c r="AA32" i="9" s="1"/>
  <c r="AA47" i="20"/>
  <c r="E137" i="20" s="1"/>
  <c r="AB27" i="19"/>
  <c r="AD65" i="19"/>
  <c r="AG57" i="19"/>
  <c r="AD66" i="19"/>
  <c r="AD43" i="19"/>
  <c r="AD28" i="20"/>
  <c r="AD43" i="20"/>
  <c r="AD20" i="20"/>
  <c r="AD29" i="20"/>
  <c r="AD38" i="20"/>
  <c r="AD33" i="20"/>
  <c r="AD22" i="20"/>
  <c r="AD40" i="20"/>
  <c r="AD45" i="20"/>
  <c r="AD39" i="20"/>
  <c r="AD30" i="20"/>
  <c r="AD37" i="20"/>
  <c r="AD44" i="20"/>
  <c r="AD26" i="20"/>
  <c r="AD42" i="20"/>
  <c r="AD19" i="20"/>
  <c r="AD24" i="20"/>
  <c r="AD31" i="20"/>
  <c r="AD21" i="20"/>
  <c r="AD35" i="20"/>
  <c r="AD36" i="20"/>
  <c r="AD34" i="20"/>
  <c r="AD41" i="20"/>
  <c r="AD23" i="20"/>
  <c r="AD25" i="20"/>
  <c r="AD46" i="20"/>
  <c r="AD27" i="20"/>
  <c r="AD32" i="20"/>
  <c r="AA48" i="19"/>
  <c r="O145" i="24" s="1"/>
  <c r="O147" i="24" s="1"/>
  <c r="AA36" i="19" l="1"/>
  <c r="AA15" i="20" s="1"/>
  <c r="E105" i="20" s="1"/>
  <c r="AA18" i="23"/>
  <c r="E45" i="23" s="1"/>
  <c r="D17" i="25" s="1"/>
  <c r="E92" i="20"/>
  <c r="E182" i="20"/>
  <c r="AD59" i="19"/>
  <c r="AA9" i="20" l="1"/>
  <c r="E144" i="20" s="1"/>
  <c r="AA11" i="20"/>
  <c r="E101" i="20" s="1"/>
  <c r="AA13" i="20"/>
  <c r="E58" i="20" s="1"/>
  <c r="AA12" i="20"/>
  <c r="E147" i="20" s="1"/>
  <c r="AA10" i="20"/>
  <c r="E55" i="20" s="1"/>
  <c r="AA14" i="20"/>
  <c r="E149" i="20" s="1"/>
  <c r="E150" i="20"/>
  <c r="E60" i="20"/>
  <c r="AA8" i="20"/>
  <c r="E54" i="20" l="1"/>
  <c r="E146" i="20"/>
  <c r="E99" i="20"/>
  <c r="E56" i="20"/>
  <c r="E59" i="20"/>
  <c r="E104" i="20"/>
  <c r="E145" i="20"/>
  <c r="E100" i="20"/>
  <c r="E57" i="20"/>
  <c r="E103" i="20"/>
  <c r="E148" i="20"/>
  <c r="E102" i="20"/>
  <c r="AA48" i="20"/>
  <c r="AA38" i="19"/>
  <c r="AA41" i="19" s="1"/>
  <c r="E53" i="20"/>
  <c r="E143" i="20"/>
  <c r="E98" i="20"/>
  <c r="E183" i="20" l="1"/>
  <c r="E93" i="20"/>
  <c r="E138" i="20"/>
  <c r="AA40" i="19"/>
  <c r="AA39" i="19"/>
  <c r="AA14" i="23" s="1"/>
  <c r="AA8" i="26"/>
  <c r="AA42" i="19" l="1"/>
  <c r="O125" i="24" s="1"/>
  <c r="O110" i="24"/>
  <c r="O72" i="24"/>
  <c r="O75" i="24" s="1"/>
  <c r="O171" i="24" s="1"/>
  <c r="AA33" i="9"/>
  <c r="AA35" i="9" s="1"/>
  <c r="AA36" i="9" s="1"/>
  <c r="AA41" i="9" s="1"/>
  <c r="AA18" i="26" a="1"/>
  <c r="AA18" i="26" s="1"/>
  <c r="AA10" i="26"/>
  <c r="AA11" i="26" s="1"/>
  <c r="AA16" i="26" a="1"/>
  <c r="AA16" i="26" s="1"/>
  <c r="E40" i="23"/>
  <c r="D18" i="25" s="1"/>
  <c r="D50" i="31" s="1"/>
  <c r="O172" i="24"/>
  <c r="D51" i="31" l="1"/>
  <c r="D49" i="31"/>
  <c r="AA19" i="26"/>
  <c r="AA17" i="17"/>
  <c r="AA22" i="16"/>
  <c r="AA45" i="19"/>
  <c r="AA16" i="17"/>
  <c r="AA21" i="16"/>
  <c r="AA44" i="19"/>
  <c r="AA17" i="26"/>
  <c r="AA13" i="26"/>
  <c r="AA17" i="23"/>
  <c r="E44" i="23" s="1"/>
  <c r="D22" i="25" s="1"/>
  <c r="D40" i="31" s="1"/>
  <c r="E21" i="26"/>
  <c r="AA39" i="9"/>
  <c r="AA38" i="9"/>
  <c r="AA20" i="16" s="1"/>
  <c r="AA12" i="22"/>
  <c r="O139" i="24"/>
  <c r="O173" i="24"/>
  <c r="AA19" i="23"/>
  <c r="AA37" i="9"/>
  <c r="AA40" i="9"/>
  <c r="D41" i="31" l="1"/>
  <c r="D45" i="31" s="1"/>
  <c r="D39" i="31"/>
  <c r="D43" i="31" s="1"/>
  <c r="AA46" i="19"/>
  <c r="O126" i="24" s="1"/>
  <c r="AA23" i="16"/>
  <c r="AA30" i="16" s="1"/>
  <c r="AA31" i="16" s="1"/>
  <c r="O153" i="24" s="1"/>
  <c r="O113" i="24"/>
  <c r="O114" i="24" s="1"/>
  <c r="O116" i="24" s="1"/>
  <c r="O117" i="24" s="1"/>
  <c r="AA18" i="17"/>
  <c r="AA24" i="17" s="1"/>
  <c r="AA25" i="17" s="1"/>
  <c r="O154" i="24" s="1"/>
  <c r="O128" i="24"/>
  <c r="D44" i="31"/>
  <c r="E22" i="26"/>
  <c r="AA15" i="26"/>
  <c r="O137" i="24"/>
  <c r="O136" i="24"/>
  <c r="AA17" i="22"/>
  <c r="AA18" i="22" s="1"/>
  <c r="O156" i="24" s="1"/>
  <c r="O138" i="24"/>
  <c r="AA13" i="19" l="1"/>
  <c r="AA14" i="19" s="1"/>
  <c r="O140" i="24"/>
  <c r="AA15" i="23"/>
  <c r="E41" i="23" s="1"/>
  <c r="D19" i="25" s="1"/>
  <c r="D53" i="31" s="1"/>
  <c r="AA19" i="22"/>
  <c r="AA49" i="19"/>
  <c r="AA50" i="19" s="1"/>
  <c r="O155" i="24" s="1"/>
  <c r="O157" i="24" s="1"/>
  <c r="AA32" i="16"/>
  <c r="AA26" i="17"/>
  <c r="D54" i="31" l="1"/>
  <c r="D52" i="31"/>
  <c r="O129" i="24"/>
  <c r="O131" i="24" s="1"/>
  <c r="O159" i="24"/>
  <c r="O176" i="24"/>
  <c r="AA51" i="19"/>
  <c r="AA10" i="19" s="1"/>
  <c r="AA7" i="19"/>
  <c r="AA33" i="16"/>
  <c r="AA20" i="22"/>
  <c r="AA9" i="19"/>
  <c r="AA27" i="17"/>
  <c r="AA8" i="19"/>
  <c r="O149" i="24" l="1"/>
  <c r="O162" i="24" s="1"/>
  <c r="O163" i="24" s="1"/>
  <c r="O132" i="24"/>
  <c r="AA55" i="19"/>
  <c r="AA8" i="23" s="1"/>
  <c r="AA7" i="23"/>
  <c r="AA29" i="17"/>
  <c r="AA30" i="17" s="1"/>
  <c r="AA28" i="17"/>
  <c r="AA9" i="23"/>
  <c r="AA22" i="22"/>
  <c r="AA23" i="22" s="1"/>
  <c r="AA21" i="22"/>
  <c r="AA6" i="23"/>
  <c r="AA35" i="16"/>
  <c r="AA36" i="16" s="1"/>
  <c r="AA34" i="16"/>
  <c r="AA11" i="19"/>
  <c r="AA53" i="19" s="1"/>
  <c r="AB16" i="19" s="1"/>
  <c r="O175" i="24" l="1"/>
  <c r="O177" i="24" s="1"/>
  <c r="O150" i="24"/>
  <c r="AB17" i="19"/>
  <c r="AA10" i="23"/>
  <c r="AB21" i="19" l="1"/>
  <c r="AB19" i="19"/>
  <c r="AB20" i="19"/>
  <c r="AA12" i="23"/>
  <c r="AA13" i="23" s="1"/>
  <c r="E42" i="23"/>
  <c r="D20" i="25" s="1"/>
  <c r="D56" i="31" s="1"/>
  <c r="AA11" i="23"/>
  <c r="D57" i="31" l="1"/>
  <c r="D55" i="31"/>
  <c r="AB22" i="19"/>
  <c r="AB24" i="19" s="1"/>
  <c r="AB14" i="26"/>
  <c r="AB12" i="26"/>
  <c r="AB30" i="19" l="1"/>
  <c r="AB29" i="19"/>
  <c r="AB25" i="19"/>
  <c r="AC27" i="19" l="1"/>
  <c r="AE56" i="19"/>
  <c r="AB35" i="19"/>
  <c r="AB47" i="20"/>
  <c r="AB47" i="19"/>
  <c r="AB16" i="23"/>
  <c r="AB48" i="19" l="1"/>
  <c r="AB18" i="23"/>
  <c r="AB36" i="19"/>
  <c r="AB30" i="9"/>
  <c r="AB31" i="9" s="1"/>
  <c r="AB32" i="9" s="1"/>
  <c r="AE66" i="19"/>
  <c r="AE65" i="19"/>
  <c r="AH57" i="19"/>
  <c r="AE43" i="19"/>
  <c r="AE22" i="20"/>
  <c r="AE25" i="20"/>
  <c r="AE45" i="20"/>
  <c r="AE20" i="20"/>
  <c r="AE19" i="20"/>
  <c r="AE24" i="20"/>
  <c r="AE35" i="20"/>
  <c r="AE39" i="20"/>
  <c r="AE28" i="20"/>
  <c r="AE36" i="20"/>
  <c r="AE44" i="20"/>
  <c r="AE27" i="20"/>
  <c r="AE33" i="20"/>
  <c r="AE40" i="20"/>
  <c r="AE37" i="20"/>
  <c r="AE42" i="20"/>
  <c r="AE34" i="20"/>
  <c r="AE43" i="20"/>
  <c r="AE41" i="20"/>
  <c r="AE32" i="20"/>
  <c r="AE26" i="20"/>
  <c r="AE38" i="20"/>
  <c r="AE30" i="20"/>
  <c r="AE29" i="20"/>
  <c r="AE21" i="20"/>
  <c r="AE23" i="20"/>
  <c r="AE31" i="20"/>
  <c r="AE46" i="20"/>
  <c r="AB16" i="20" l="1"/>
  <c r="AB15" i="20"/>
  <c r="AB14" i="20"/>
  <c r="AB12" i="20"/>
  <c r="AB13" i="20"/>
  <c r="AB10" i="20"/>
  <c r="AB11" i="20"/>
  <c r="AB9" i="20"/>
  <c r="AB8" i="20"/>
  <c r="AE59" i="19"/>
  <c r="AB48" i="20" l="1"/>
  <c r="AB38" i="19"/>
  <c r="AB39" i="19" l="1"/>
  <c r="AB40" i="19"/>
  <c r="AB41" i="19"/>
  <c r="AB8" i="26" l="1"/>
  <c r="AB42" i="19"/>
  <c r="AB14" i="23"/>
  <c r="AB33" i="9"/>
  <c r="AB18" i="26" l="1" a="1"/>
  <c r="AB18" i="26" s="1"/>
  <c r="AB10" i="26"/>
  <c r="AB11" i="26" s="1"/>
  <c r="AB16" i="26" a="1"/>
  <c r="AB16" i="26" s="1"/>
  <c r="AB35" i="9"/>
  <c r="AB36" i="9" s="1"/>
  <c r="AB41" i="9" s="1"/>
  <c r="AB19" i="26" l="1"/>
  <c r="AB17" i="17"/>
  <c r="AB22" i="16"/>
  <c r="AB45" i="19"/>
  <c r="AB16" i="17"/>
  <c r="AB21" i="16"/>
  <c r="AB44" i="19"/>
  <c r="AB17" i="26"/>
  <c r="AB13" i="26"/>
  <c r="AB17" i="23"/>
  <c r="AB19" i="23"/>
  <c r="AB37" i="9"/>
  <c r="AB38" i="9"/>
  <c r="AB39" i="9"/>
  <c r="AB40" i="9"/>
  <c r="AB12" i="22"/>
  <c r="AB46" i="19" l="1"/>
  <c r="AB18" i="17"/>
  <c r="AB15" i="26"/>
  <c r="AB17" i="22"/>
  <c r="AB18" i="22" s="1"/>
  <c r="AB19" i="22" s="1"/>
  <c r="AB20" i="16"/>
  <c r="AB23" i="16" s="1"/>
  <c r="AB20" i="22" l="1"/>
  <c r="AB9" i="19"/>
  <c r="AB15" i="23"/>
  <c r="AB30" i="16"/>
  <c r="AB31" i="16" s="1"/>
  <c r="AB13" i="19"/>
  <c r="AB14" i="19" s="1"/>
  <c r="AB24" i="17"/>
  <c r="AB25" i="17" s="1"/>
  <c r="AB26" i="17" s="1"/>
  <c r="AB49" i="19"/>
  <c r="AB50" i="19" s="1"/>
  <c r="AB51" i="19" s="1"/>
  <c r="AB55" i="19" l="1"/>
  <c r="AB8" i="23" s="1"/>
  <c r="AB10" i="19"/>
  <c r="AB27" i="17"/>
  <c r="AB8" i="19"/>
  <c r="AB9" i="23"/>
  <c r="AB22" i="22"/>
  <c r="AB23" i="22" s="1"/>
  <c r="AB21" i="22"/>
  <c r="AB32" i="16"/>
  <c r="AB7" i="23" l="1"/>
  <c r="AB29" i="17"/>
  <c r="AB30" i="17" s="1"/>
  <c r="AB28" i="17"/>
  <c r="AB7" i="19"/>
  <c r="AB11" i="19" s="1"/>
  <c r="AB53" i="19" s="1"/>
  <c r="AC16" i="19" s="1"/>
  <c r="AB33" i="16"/>
  <c r="AB6" i="23" l="1"/>
  <c r="AB10" i="23" s="1"/>
  <c r="AB35" i="16"/>
  <c r="AB36" i="16" s="1"/>
  <c r="AB34" i="16"/>
  <c r="AC17" i="19"/>
  <c r="AC19" i="19" l="1"/>
  <c r="AC20" i="19"/>
  <c r="AC21" i="19"/>
  <c r="AB12" i="23"/>
  <c r="AB13" i="23" s="1"/>
  <c r="AB11" i="23"/>
  <c r="AC22" i="19" l="1"/>
  <c r="AC24" i="19" s="1"/>
  <c r="AC14" i="26"/>
  <c r="AC12" i="26"/>
  <c r="AC30" i="19" l="1"/>
  <c r="AC29" i="19"/>
  <c r="AC25" i="19"/>
  <c r="AC47" i="19" l="1"/>
  <c r="AC16" i="23"/>
  <c r="AF56" i="19"/>
  <c r="AD27" i="19"/>
  <c r="AC35" i="19"/>
  <c r="AC47" i="20"/>
  <c r="AF65" i="19" l="1"/>
  <c r="AI57" i="19"/>
  <c r="AF43" i="19"/>
  <c r="AF66" i="19"/>
  <c r="AF44" i="20"/>
  <c r="AF22" i="20"/>
  <c r="AF31" i="20"/>
  <c r="AF33" i="20"/>
  <c r="AF42" i="20"/>
  <c r="AF25" i="20"/>
  <c r="AF20" i="20"/>
  <c r="AF34" i="20"/>
  <c r="AF26" i="20"/>
  <c r="AF21" i="20"/>
  <c r="AF43" i="20"/>
  <c r="AF39" i="20"/>
  <c r="AF36" i="20"/>
  <c r="AF40" i="20"/>
  <c r="AF45" i="20"/>
  <c r="AF41" i="20"/>
  <c r="AF24" i="20"/>
  <c r="AF32" i="20"/>
  <c r="AF35" i="20"/>
  <c r="AF46" i="20"/>
  <c r="AF29" i="20"/>
  <c r="AF23" i="20"/>
  <c r="AF28" i="20"/>
  <c r="AF37" i="20"/>
  <c r="AF38" i="20"/>
  <c r="AF30" i="20"/>
  <c r="AF27" i="20"/>
  <c r="AC18" i="23"/>
  <c r="AC36" i="19"/>
  <c r="AC30" i="9"/>
  <c r="AC31" i="9" s="1"/>
  <c r="AC32" i="9" s="1"/>
  <c r="AC48" i="19"/>
  <c r="AC16" i="20" l="1"/>
  <c r="AC17" i="20"/>
  <c r="AC13" i="20"/>
  <c r="AC15" i="20"/>
  <c r="AC14" i="20"/>
  <c r="AC11" i="20"/>
  <c r="AC12" i="20"/>
  <c r="AC8" i="20"/>
  <c r="AC9" i="20"/>
  <c r="AC10" i="20"/>
  <c r="AF59" i="19"/>
  <c r="AC48" i="20" l="1"/>
  <c r="AC38" i="19"/>
  <c r="AC39" i="19" l="1"/>
  <c r="AC41" i="19"/>
  <c r="AC40" i="19"/>
  <c r="AC8" i="26" l="1"/>
  <c r="AC42" i="19"/>
  <c r="AC14" i="23"/>
  <c r="AC33" i="9"/>
  <c r="AC18" i="26" l="1" a="1"/>
  <c r="AC18" i="26" s="1"/>
  <c r="AC10" i="26"/>
  <c r="AC11" i="26" s="1"/>
  <c r="AC16" i="26" a="1"/>
  <c r="AC16" i="26" s="1"/>
  <c r="AC17" i="26" s="1"/>
  <c r="AC35" i="9"/>
  <c r="AC36" i="9" s="1"/>
  <c r="AC41" i="9" s="1"/>
  <c r="AC19" i="26" l="1"/>
  <c r="AC17" i="17"/>
  <c r="AC22" i="16"/>
  <c r="AC45" i="19"/>
  <c r="AC16" i="17"/>
  <c r="AC21" i="16"/>
  <c r="AC44" i="19"/>
  <c r="AC17" i="23"/>
  <c r="AC13" i="26"/>
  <c r="AC39" i="9"/>
  <c r="AC19" i="23"/>
  <c r="AC37" i="9"/>
  <c r="AC40" i="9"/>
  <c r="AC12" i="22"/>
  <c r="AC38" i="9"/>
  <c r="AC18" i="17" l="1"/>
  <c r="AC24" i="17" s="1"/>
  <c r="AC25" i="17" s="1"/>
  <c r="AC26" i="17" s="1"/>
  <c r="AC46" i="19"/>
  <c r="AC15" i="26"/>
  <c r="AC20" i="16"/>
  <c r="AC23" i="16" s="1"/>
  <c r="AC17" i="22"/>
  <c r="AC18" i="22" s="1"/>
  <c r="AC27" i="17" l="1"/>
  <c r="AC8" i="19"/>
  <c r="AC19" i="22"/>
  <c r="AC49" i="19"/>
  <c r="AC50" i="19" s="1"/>
  <c r="AC15" i="23"/>
  <c r="AC30" i="16"/>
  <c r="AC31" i="16" s="1"/>
  <c r="AC13" i="19"/>
  <c r="AC14" i="19" s="1"/>
  <c r="AC32" i="16" l="1"/>
  <c r="AC20" i="22"/>
  <c r="AC9" i="19"/>
  <c r="AC51" i="19"/>
  <c r="AC7" i="23"/>
  <c r="AC29" i="17"/>
  <c r="AC30" i="17" s="1"/>
  <c r="AC28" i="17"/>
  <c r="AC9" i="23" l="1"/>
  <c r="AC22" i="22"/>
  <c r="AC23" i="22" s="1"/>
  <c r="AC21" i="22"/>
  <c r="AC7" i="19"/>
  <c r="AC33" i="16"/>
  <c r="AC55" i="19"/>
  <c r="AC8" i="23" s="1"/>
  <c r="AC10" i="19"/>
  <c r="AC11" i="19" l="1"/>
  <c r="AC53" i="19" s="1"/>
  <c r="AD16" i="19" s="1"/>
  <c r="AC6" i="23"/>
  <c r="AC10" i="23" s="1"/>
  <c r="AC35" i="16"/>
  <c r="AC36" i="16" s="1"/>
  <c r="AC34" i="16"/>
  <c r="AC12" i="23" l="1"/>
  <c r="AC13" i="23" s="1"/>
  <c r="AC11" i="23"/>
  <c r="AD17" i="19"/>
  <c r="AD20" i="19" l="1"/>
  <c r="AD21" i="19"/>
  <c r="AD19" i="19"/>
  <c r="AD12" i="26" l="1"/>
  <c r="AD22" i="19"/>
  <c r="AD24" i="19" s="1"/>
  <c r="AD25" i="19" s="1"/>
  <c r="AD14" i="26"/>
  <c r="AD29" i="19" l="1"/>
  <c r="AD47" i="19" s="1"/>
  <c r="AD30" i="19"/>
  <c r="AG56" i="19"/>
  <c r="AE27" i="19"/>
  <c r="AD35" i="19"/>
  <c r="AD47" i="20"/>
  <c r="AD16" i="23" l="1"/>
  <c r="AD18" i="23"/>
  <c r="AD36" i="19"/>
  <c r="AD30" i="9"/>
  <c r="AD31" i="9" s="1"/>
  <c r="AD32" i="9" s="1"/>
  <c r="AD48" i="19"/>
  <c r="AG66" i="19"/>
  <c r="AJ57" i="19"/>
  <c r="AG43" i="19"/>
  <c r="AG65" i="19"/>
  <c r="AG27" i="20"/>
  <c r="AG24" i="20"/>
  <c r="AG29" i="20"/>
  <c r="AG28" i="20"/>
  <c r="AG23" i="20"/>
  <c r="AG35" i="20"/>
  <c r="AG42" i="20"/>
  <c r="AG41" i="20"/>
  <c r="AG30" i="20"/>
  <c r="AG40" i="20"/>
  <c r="AG31" i="20"/>
  <c r="AG25" i="20"/>
  <c r="AG45" i="20"/>
  <c r="AG46" i="20"/>
  <c r="AG22" i="20"/>
  <c r="AG38" i="20"/>
  <c r="AG26" i="20"/>
  <c r="AG32" i="20"/>
  <c r="AG33" i="20"/>
  <c r="AG39" i="20"/>
  <c r="AG21" i="20"/>
  <c r="AG36" i="20"/>
  <c r="AG37" i="20"/>
  <c r="AG44" i="20"/>
  <c r="AG34" i="20"/>
  <c r="AG43" i="20"/>
  <c r="AD17" i="20" l="1"/>
  <c r="AD18" i="20"/>
  <c r="AD15" i="20"/>
  <c r="AD16" i="20"/>
  <c r="AD14" i="20"/>
  <c r="AD11" i="20"/>
  <c r="AD13" i="20"/>
  <c r="AD12" i="20"/>
  <c r="AD9" i="20"/>
  <c r="AD10" i="20"/>
  <c r="AD8" i="20"/>
  <c r="AG59" i="19"/>
  <c r="AD48" i="20" l="1"/>
  <c r="AD38" i="19"/>
  <c r="AD39" i="19" l="1"/>
  <c r="AD40" i="19"/>
  <c r="AD41" i="19"/>
  <c r="AD8" i="26" l="1"/>
  <c r="AD42" i="19"/>
  <c r="AD33" i="9"/>
  <c r="AD14" i="23"/>
  <c r="AD18" i="26" l="1" a="1"/>
  <c r="AD18" i="26" s="1"/>
  <c r="AD10" i="26"/>
  <c r="AD11" i="26" s="1"/>
  <c r="AD16" i="26" a="1"/>
  <c r="AD16" i="26" s="1"/>
  <c r="AD35" i="9"/>
  <c r="AD36" i="9" s="1"/>
  <c r="AD41" i="9" s="1"/>
  <c r="AD19" i="26" l="1"/>
  <c r="AD17" i="17"/>
  <c r="AD22" i="16"/>
  <c r="AD45" i="19"/>
  <c r="AD16" i="17"/>
  <c r="AD21" i="16"/>
  <c r="AD44" i="19"/>
  <c r="AD17" i="26"/>
  <c r="AD13" i="26"/>
  <c r="AD17" i="23"/>
  <c r="AD39" i="9"/>
  <c r="AD40" i="9"/>
  <c r="AD12" i="22"/>
  <c r="AD19" i="23"/>
  <c r="AD37" i="9"/>
  <c r="AD38" i="9"/>
  <c r="AD46" i="19" l="1"/>
  <c r="AD49" i="19" s="1"/>
  <c r="AD50" i="19" s="1"/>
  <c r="AD51" i="19" s="1"/>
  <c r="AD18" i="17"/>
  <c r="AD24" i="17" s="1"/>
  <c r="AD25" i="17" s="1"/>
  <c r="AD26" i="17" s="1"/>
  <c r="AD15" i="26"/>
  <c r="AD17" i="22"/>
  <c r="AD18" i="22" s="1"/>
  <c r="AD19" i="22" s="1"/>
  <c r="AD20" i="16"/>
  <c r="AD23" i="16" s="1"/>
  <c r="AD55" i="19" l="1"/>
  <c r="AD8" i="23" s="1"/>
  <c r="AD10" i="19"/>
  <c r="AD27" i="17"/>
  <c r="AD8" i="19"/>
  <c r="AD15" i="23"/>
  <c r="AD30" i="16"/>
  <c r="AD31" i="16" s="1"/>
  <c r="AD32" i="16" s="1"/>
  <c r="AD13" i="19"/>
  <c r="AD14" i="19" s="1"/>
  <c r="AD20" i="22"/>
  <c r="AD9" i="19"/>
  <c r="AD7" i="19" l="1"/>
  <c r="AD11" i="19" s="1"/>
  <c r="AD53" i="19" s="1"/>
  <c r="AE16" i="19" s="1"/>
  <c r="AD33" i="16"/>
  <c r="AD9" i="23"/>
  <c r="AD22" i="22"/>
  <c r="AD23" i="22" s="1"/>
  <c r="AD21" i="22"/>
  <c r="AD7" i="23"/>
  <c r="AD29" i="17"/>
  <c r="AD30" i="17" s="1"/>
  <c r="AD28" i="17"/>
  <c r="AD6" i="23" l="1"/>
  <c r="AD10" i="23" s="1"/>
  <c r="AD35" i="16"/>
  <c r="AD36" i="16" s="1"/>
  <c r="AD34" i="16"/>
  <c r="AE17" i="19"/>
  <c r="AE20" i="19" l="1"/>
  <c r="AE21" i="19"/>
  <c r="AE19" i="19"/>
  <c r="AD12" i="23"/>
  <c r="AD13" i="23" s="1"/>
  <c r="AD11" i="23"/>
  <c r="AE22" i="19" l="1"/>
  <c r="AE24" i="19" s="1"/>
  <c r="AE14" i="26"/>
  <c r="AE12" i="26"/>
  <c r="AE30" i="19" l="1"/>
  <c r="AE29" i="19"/>
  <c r="AE25" i="19"/>
  <c r="AH56" i="19" l="1"/>
  <c r="AF27" i="19"/>
  <c r="AE35" i="19"/>
  <c r="AE47" i="20"/>
  <c r="AE47" i="19"/>
  <c r="AE16" i="23"/>
  <c r="AE48" i="19" l="1"/>
  <c r="AE18" i="23"/>
  <c r="AE36" i="19"/>
  <c r="AE30" i="9"/>
  <c r="AE31" i="9" s="1"/>
  <c r="AE32" i="9" s="1"/>
  <c r="AK57" i="19"/>
  <c r="AH66" i="19"/>
  <c r="AH43" i="19"/>
  <c r="AH65" i="19"/>
  <c r="AH24" i="20"/>
  <c r="AH35" i="20"/>
  <c r="AH44" i="20"/>
  <c r="AH43" i="20"/>
  <c r="AH41" i="20"/>
  <c r="AH29" i="20"/>
  <c r="AH45" i="20"/>
  <c r="AH23" i="20"/>
  <c r="AH33" i="20"/>
  <c r="AH46" i="20"/>
  <c r="AH28" i="20"/>
  <c r="AH31" i="20"/>
  <c r="AH36" i="20"/>
  <c r="AH38" i="20"/>
  <c r="AH25" i="20"/>
  <c r="AH32" i="20"/>
  <c r="AH40" i="20"/>
  <c r="AH37" i="20"/>
  <c r="AH34" i="20"/>
  <c r="AH30" i="20"/>
  <c r="AH39" i="20"/>
  <c r="AH27" i="20"/>
  <c r="AH42" i="20"/>
  <c r="AH26" i="20"/>
  <c r="AH22" i="20"/>
  <c r="AE17" i="20" l="1"/>
  <c r="AE18" i="20"/>
  <c r="AE16" i="20"/>
  <c r="AE15" i="20"/>
  <c r="AE13" i="20"/>
  <c r="AE14" i="20"/>
  <c r="AE11" i="20"/>
  <c r="AE12" i="20"/>
  <c r="AH59" i="19"/>
  <c r="AE10" i="20"/>
  <c r="AE9" i="20"/>
  <c r="AE8" i="20"/>
  <c r="AE48" i="20" l="1"/>
  <c r="AE38" i="19"/>
  <c r="AE40" i="19" l="1"/>
  <c r="AE39" i="19"/>
  <c r="AE41" i="19"/>
  <c r="AE8" i="26" l="1"/>
  <c r="AE42" i="19"/>
  <c r="AE14" i="23"/>
  <c r="AE33" i="9"/>
  <c r="AE18" i="26" l="1" a="1"/>
  <c r="AE18" i="26" s="1"/>
  <c r="AE10" i="26"/>
  <c r="AE11" i="26" s="1"/>
  <c r="AE16" i="26" a="1"/>
  <c r="AE16" i="26" s="1"/>
  <c r="AE35" i="9"/>
  <c r="AE36" i="9" s="1"/>
  <c r="AE19" i="26" l="1"/>
  <c r="AE17" i="17"/>
  <c r="AE22" i="16"/>
  <c r="AE45" i="19"/>
  <c r="AE13" i="26"/>
  <c r="AE17" i="23"/>
  <c r="AE16" i="17"/>
  <c r="AE21" i="16"/>
  <c r="AE44" i="19"/>
  <c r="AE17" i="26"/>
  <c r="AE19" i="23"/>
  <c r="AE37" i="9"/>
  <c r="AE40" i="9"/>
  <c r="AE38" i="9"/>
  <c r="AE41" i="9"/>
  <c r="AE39" i="9"/>
  <c r="AE18" i="17" l="1"/>
  <c r="AE46" i="19"/>
  <c r="AE15" i="26"/>
  <c r="AE12" i="22"/>
  <c r="AE20" i="16"/>
  <c r="AE23" i="16" s="1"/>
  <c r="AE15" i="23" l="1"/>
  <c r="AE30" i="16"/>
  <c r="AE31" i="16" s="1"/>
  <c r="AE32" i="16" s="1"/>
  <c r="AE13" i="19"/>
  <c r="AE14" i="19" s="1"/>
  <c r="AE49" i="19"/>
  <c r="AE50" i="19" s="1"/>
  <c r="AE51" i="19" s="1"/>
  <c r="AE17" i="22"/>
  <c r="AE18" i="22" s="1"/>
  <c r="AE19" i="22" s="1"/>
  <c r="AE24" i="17"/>
  <c r="AE25" i="17" s="1"/>
  <c r="AE26" i="17" s="1"/>
  <c r="AE55" i="19" l="1"/>
  <c r="AE8" i="23" s="1"/>
  <c r="AE10" i="19"/>
  <c r="AE8" i="19"/>
  <c r="AE27" i="17"/>
  <c r="AE7" i="19"/>
  <c r="AE33" i="16"/>
  <c r="AE20" i="22"/>
  <c r="AE9" i="19"/>
  <c r="AE9" i="23" l="1"/>
  <c r="AE22" i="22"/>
  <c r="AE23" i="22" s="1"/>
  <c r="AE21" i="22"/>
  <c r="AE6" i="23"/>
  <c r="AE35" i="16"/>
  <c r="AE36" i="16" s="1"/>
  <c r="AE34" i="16"/>
  <c r="AE11" i="19"/>
  <c r="AE53" i="19" s="1"/>
  <c r="AF16" i="19" s="1"/>
  <c r="AE7" i="23"/>
  <c r="AE29" i="17"/>
  <c r="AE30" i="17" s="1"/>
  <c r="AE28" i="17"/>
  <c r="AF17" i="19" l="1"/>
  <c r="AE10" i="23"/>
  <c r="AF20" i="19" l="1"/>
  <c r="AF21" i="19"/>
  <c r="AF19" i="19"/>
  <c r="AE12" i="23"/>
  <c r="AE13" i="23" s="1"/>
  <c r="AE11" i="23"/>
  <c r="AF22" i="19" l="1"/>
  <c r="AF24" i="19" s="1"/>
  <c r="AF14" i="26"/>
  <c r="AF12" i="26"/>
  <c r="AF29" i="19" l="1"/>
  <c r="AF30" i="19"/>
  <c r="AF25" i="19"/>
  <c r="AG27" i="19" l="1"/>
  <c r="AI56" i="19"/>
  <c r="AF35" i="19"/>
  <c r="AF47" i="20"/>
  <c r="AF47" i="19"/>
  <c r="AF16" i="23"/>
  <c r="AI66" i="19" l="1"/>
  <c r="AI65" i="19"/>
  <c r="AL57" i="19"/>
  <c r="AI43" i="19"/>
  <c r="AI25" i="20"/>
  <c r="AI37" i="20"/>
  <c r="AI29" i="20"/>
  <c r="AI30" i="20"/>
  <c r="AI38" i="20"/>
  <c r="AI40" i="20"/>
  <c r="AI24" i="20"/>
  <c r="AI28" i="20"/>
  <c r="AI35" i="20"/>
  <c r="AI26" i="20"/>
  <c r="AI39" i="20"/>
  <c r="AI42" i="20"/>
  <c r="AI23" i="20"/>
  <c r="AI41" i="20"/>
  <c r="AI22" i="20"/>
  <c r="AI31" i="20"/>
  <c r="AI43" i="20"/>
  <c r="AI32" i="20"/>
  <c r="AI33" i="20"/>
  <c r="AI34" i="20"/>
  <c r="AI44" i="20"/>
  <c r="AI45" i="20"/>
  <c r="AI27" i="20"/>
  <c r="AI36" i="20"/>
  <c r="AI46" i="20"/>
  <c r="AF48" i="19"/>
  <c r="AF18" i="23"/>
  <c r="AF36" i="19"/>
  <c r="AF30" i="9"/>
  <c r="AF31" i="9" s="1"/>
  <c r="AF32" i="9" s="1"/>
  <c r="AF17" i="20" l="1"/>
  <c r="AF19" i="20"/>
  <c r="AF18" i="20"/>
  <c r="AF14" i="20"/>
  <c r="AF16" i="20"/>
  <c r="AF15" i="20"/>
  <c r="AF12" i="20"/>
  <c r="AF13" i="20"/>
  <c r="AI59" i="19"/>
  <c r="AF11" i="20"/>
  <c r="AF9" i="20"/>
  <c r="AF10" i="20"/>
  <c r="AF8" i="20"/>
  <c r="AF48" i="20" l="1"/>
  <c r="AF38" i="19"/>
  <c r="AF40" i="19" l="1"/>
  <c r="AF41" i="19"/>
  <c r="AF39" i="19"/>
  <c r="AF8" i="26" l="1"/>
  <c r="AF42" i="19"/>
  <c r="AF33" i="9"/>
  <c r="AF14" i="23"/>
  <c r="AF18" i="26" l="1" a="1"/>
  <c r="AF18" i="26" s="1"/>
  <c r="AF10" i="26"/>
  <c r="AF11" i="26" s="1"/>
  <c r="AF16" i="26" a="1"/>
  <c r="AF16" i="26" s="1"/>
  <c r="AF35" i="9"/>
  <c r="AF36" i="9" s="1"/>
  <c r="AF39" i="9" s="1"/>
  <c r="AF19" i="26" l="1"/>
  <c r="AF17" i="17"/>
  <c r="AF22" i="16"/>
  <c r="AF45" i="19"/>
  <c r="AF16" i="17"/>
  <c r="AF21" i="16"/>
  <c r="AF44" i="19"/>
  <c r="AF17" i="26"/>
  <c r="AF17" i="23"/>
  <c r="AF13" i="26"/>
  <c r="AF41" i="9"/>
  <c r="AF12" i="22" s="1"/>
  <c r="AF40" i="9"/>
  <c r="AF19" i="23"/>
  <c r="AF37" i="9"/>
  <c r="AF38" i="9"/>
  <c r="AF18" i="17" l="1"/>
  <c r="AF24" i="17" s="1"/>
  <c r="AF25" i="17" s="1"/>
  <c r="AF26" i="17" s="1"/>
  <c r="AF46" i="19"/>
  <c r="AF49" i="19" s="1"/>
  <c r="AF50" i="19" s="1"/>
  <c r="AF15" i="26"/>
  <c r="AF20" i="16"/>
  <c r="AF23" i="16" s="1"/>
  <c r="AF17" i="22"/>
  <c r="AF18" i="22" s="1"/>
  <c r="AF19" i="22" s="1"/>
  <c r="AF51" i="19" l="1"/>
  <c r="AF55" i="19" s="1"/>
  <c r="AF8" i="23" s="1"/>
  <c r="AF8" i="19"/>
  <c r="AF27" i="17"/>
  <c r="AF20" i="22"/>
  <c r="AF9" i="19"/>
  <c r="AF15" i="23"/>
  <c r="AF30" i="16"/>
  <c r="AF31" i="16" s="1"/>
  <c r="AF32" i="16" s="1"/>
  <c r="AF13" i="19"/>
  <c r="AF14" i="19" s="1"/>
  <c r="AF10" i="19" l="1"/>
  <c r="AF7" i="19"/>
  <c r="AF33" i="16"/>
  <c r="AF7" i="23"/>
  <c r="AF29" i="17"/>
  <c r="AF30" i="17" s="1"/>
  <c r="AF28" i="17"/>
  <c r="AF9" i="23"/>
  <c r="AF22" i="22"/>
  <c r="AF23" i="22" s="1"/>
  <c r="AF21" i="22"/>
  <c r="AF11" i="19" l="1"/>
  <c r="AF53" i="19" s="1"/>
  <c r="AF6" i="23"/>
  <c r="AF10" i="23" s="1"/>
  <c r="AF35" i="16"/>
  <c r="AF36" i="16" s="1"/>
  <c r="AF34" i="16"/>
  <c r="AG16" i="19" l="1"/>
  <c r="AG17" i="19" s="1"/>
  <c r="AF12" i="23"/>
  <c r="AF13" i="23" s="1"/>
  <c r="AF11" i="23"/>
  <c r="AG21" i="19" l="1"/>
  <c r="AG19" i="19"/>
  <c r="AG20" i="19"/>
  <c r="AG12" i="26" l="1"/>
  <c r="AG14" i="26"/>
  <c r="AG22" i="19"/>
  <c r="AG24" i="19" s="1"/>
  <c r="AG29" i="19" s="1"/>
  <c r="AG25" i="19" l="1"/>
  <c r="AJ56" i="19" s="1"/>
  <c r="AG30" i="19"/>
  <c r="AG16" i="23" s="1"/>
  <c r="AG47" i="20"/>
  <c r="AG47" i="19"/>
  <c r="AG35" i="19" l="1"/>
  <c r="AG18" i="23" s="1"/>
  <c r="AH27" i="19"/>
  <c r="AG48" i="19"/>
  <c r="AJ43" i="19"/>
  <c r="AJ65" i="19"/>
  <c r="AJ66" i="19"/>
  <c r="AM57" i="19"/>
  <c r="AJ36" i="20"/>
  <c r="AJ37" i="20"/>
  <c r="AJ35" i="20"/>
  <c r="AJ41" i="20"/>
  <c r="AJ23" i="20"/>
  <c r="AJ26" i="20"/>
  <c r="AJ38" i="20"/>
  <c r="AJ32" i="20"/>
  <c r="AJ25" i="20"/>
  <c r="AJ42" i="20"/>
  <c r="AJ28" i="20"/>
  <c r="AJ43" i="20"/>
  <c r="AJ31" i="20"/>
  <c r="AJ46" i="20"/>
  <c r="AJ27" i="20"/>
  <c r="AJ44" i="20"/>
  <c r="AJ45" i="20"/>
  <c r="AJ40" i="20"/>
  <c r="AJ29" i="20"/>
  <c r="AJ34" i="20"/>
  <c r="AJ24" i="20"/>
  <c r="AJ22" i="20"/>
  <c r="AJ39" i="20"/>
  <c r="AJ30" i="20"/>
  <c r="AJ33" i="20"/>
  <c r="AG30" i="9" l="1"/>
  <c r="AG31" i="9" s="1"/>
  <c r="AG32" i="9" s="1"/>
  <c r="AG36" i="19"/>
  <c r="AG13" i="20" s="1"/>
  <c r="AG17" i="20"/>
  <c r="AG18" i="20"/>
  <c r="AG14" i="20"/>
  <c r="AG15" i="20"/>
  <c r="AJ59" i="19"/>
  <c r="AG11" i="20" l="1"/>
  <c r="AG10" i="20"/>
  <c r="AG20" i="20"/>
  <c r="AG19" i="20"/>
  <c r="AG9" i="20"/>
  <c r="AG16" i="20"/>
  <c r="AG12" i="20"/>
  <c r="AG8" i="20"/>
  <c r="AG48" i="20" l="1"/>
  <c r="AG38" i="19"/>
  <c r="AG40" i="19" s="1"/>
  <c r="AG41" i="19" l="1"/>
  <c r="AG8" i="26" s="1"/>
  <c r="AG39" i="19"/>
  <c r="AG14" i="23" s="1"/>
  <c r="AG33" i="9" l="1"/>
  <c r="AG35" i="9" s="1"/>
  <c r="AG36" i="9" s="1"/>
  <c r="AG41" i="9" s="1"/>
  <c r="AG12" i="22" s="1"/>
  <c r="AG42" i="19"/>
  <c r="AG18" i="26" a="1"/>
  <c r="AG18" i="26" s="1"/>
  <c r="AG10" i="26"/>
  <c r="AG11" i="26" s="1"/>
  <c r="AG16" i="26" a="1"/>
  <c r="AG16" i="26" s="1"/>
  <c r="AG19" i="26" l="1"/>
  <c r="AG17" i="17"/>
  <c r="AG22" i="16"/>
  <c r="AG45" i="19"/>
  <c r="AG16" i="17"/>
  <c r="AG21" i="16"/>
  <c r="AG44" i="19"/>
  <c r="AG17" i="26"/>
  <c r="AG13" i="26"/>
  <c r="AG17" i="23"/>
  <c r="AG17" i="22"/>
  <c r="AG18" i="22" s="1"/>
  <c r="AG19" i="22" s="1"/>
  <c r="AG38" i="9"/>
  <c r="AG20" i="16" s="1"/>
  <c r="AG19" i="23"/>
  <c r="AG37" i="9"/>
  <c r="AG40" i="9"/>
  <c r="AG39" i="9"/>
  <c r="AG18" i="17" l="1"/>
  <c r="AG24" i="17" s="1"/>
  <c r="AG25" i="17" s="1"/>
  <c r="AG26" i="17" s="1"/>
  <c r="AG46" i="19"/>
  <c r="AG49" i="19" s="1"/>
  <c r="AG50" i="19" s="1"/>
  <c r="AG51" i="19" s="1"/>
  <c r="AG23" i="16"/>
  <c r="AG15" i="26"/>
  <c r="AG20" i="22"/>
  <c r="AG9" i="19"/>
  <c r="C40" i="17" l="1"/>
  <c r="AG15" i="23"/>
  <c r="AG13" i="19"/>
  <c r="AG14" i="19" s="1"/>
  <c r="AG30" i="16"/>
  <c r="AG31" i="16" s="1"/>
  <c r="AG32" i="16" s="1"/>
  <c r="AG7" i="19" s="1"/>
  <c r="AG8" i="19"/>
  <c r="AG27" i="17"/>
  <c r="AG9" i="23"/>
  <c r="AG22" i="22"/>
  <c r="AG23" i="22" s="1"/>
  <c r="AG21" i="22"/>
  <c r="AG55" i="19"/>
  <c r="AG8" i="23" s="1"/>
  <c r="AG10" i="19"/>
  <c r="AG33" i="16" l="1"/>
  <c r="AG6" i="23" s="1"/>
  <c r="AG7" i="23"/>
  <c r="AG29" i="17"/>
  <c r="AG30" i="17" s="1"/>
  <c r="AG28" i="17"/>
  <c r="AG11" i="19"/>
  <c r="AG53" i="19" s="1"/>
  <c r="AH16" i="19" s="1"/>
  <c r="AG35" i="16" l="1"/>
  <c r="AG36" i="16" s="1"/>
  <c r="AG34" i="16"/>
  <c r="AG10" i="23"/>
  <c r="AG11" i="23" s="1"/>
  <c r="AH17" i="19"/>
  <c r="AH20" i="19" l="1"/>
  <c r="AH21" i="19"/>
  <c r="AH19" i="19"/>
  <c r="AG12" i="23"/>
  <c r="AG13" i="23" s="1"/>
  <c r="AH22" i="19" l="1"/>
  <c r="AH24" i="19" s="1"/>
  <c r="AH14" i="26"/>
  <c r="AH12" i="26"/>
  <c r="AH30" i="19" l="1"/>
  <c r="AH29" i="19"/>
  <c r="AH25" i="19"/>
  <c r="AH47" i="19" l="1"/>
  <c r="AH16" i="23"/>
  <c r="AK56" i="19"/>
  <c r="AI27" i="19"/>
  <c r="AH35" i="19"/>
  <c r="AH47" i="20"/>
  <c r="AH48" i="19" l="1"/>
  <c r="AH18" i="23"/>
  <c r="AH36" i="19"/>
  <c r="AH30" i="9"/>
  <c r="AH31" i="9" s="1"/>
  <c r="AH32" i="9" s="1"/>
  <c r="AK66" i="19"/>
  <c r="AK43" i="19"/>
  <c r="AK65" i="19"/>
  <c r="AN57" i="19"/>
  <c r="AK36" i="20"/>
  <c r="AK27" i="20"/>
  <c r="AK28" i="20"/>
  <c r="AK32" i="20"/>
  <c r="AK38" i="20"/>
  <c r="AK44" i="20"/>
  <c r="AK42" i="20"/>
  <c r="AK45" i="20"/>
  <c r="AK29" i="20"/>
  <c r="AK46" i="20"/>
  <c r="AK22" i="20"/>
  <c r="AK40" i="20"/>
  <c r="AK35" i="20"/>
  <c r="AK25" i="20"/>
  <c r="AK39" i="20"/>
  <c r="AK43" i="20"/>
  <c r="AK33" i="20"/>
  <c r="AK41" i="20"/>
  <c r="AK30" i="20"/>
  <c r="AK34" i="20"/>
  <c r="AK31" i="20"/>
  <c r="AK23" i="20"/>
  <c r="AK37" i="20"/>
  <c r="AK24" i="20"/>
  <c r="AK26" i="20"/>
  <c r="AH21" i="20" l="1"/>
  <c r="AH20" i="20"/>
  <c r="AH17" i="20"/>
  <c r="AH19" i="20"/>
  <c r="AH18" i="20"/>
  <c r="AH15" i="20"/>
  <c r="AH16" i="20"/>
  <c r="AH13" i="20"/>
  <c r="AH14" i="20"/>
  <c r="AK59" i="19"/>
  <c r="AH11" i="20"/>
  <c r="AH10" i="20"/>
  <c r="AH12" i="20"/>
  <c r="AH8" i="20"/>
  <c r="AH9" i="20"/>
  <c r="AH48" i="20" l="1"/>
  <c r="AH38" i="19"/>
  <c r="AH41" i="19" l="1"/>
  <c r="AH39" i="19"/>
  <c r="AH40" i="19"/>
  <c r="AH8" i="26" l="1"/>
  <c r="AH42" i="19"/>
  <c r="AH14" i="23"/>
  <c r="AH33" i="9"/>
  <c r="AH18" i="26" l="1" a="1"/>
  <c r="AH18" i="26" s="1"/>
  <c r="AH10" i="26"/>
  <c r="AH11" i="26" s="1"/>
  <c r="AH16" i="26" a="1"/>
  <c r="AH16" i="26" s="1"/>
  <c r="AH35" i="9"/>
  <c r="AH36" i="9" s="1"/>
  <c r="AH38" i="9" s="1"/>
  <c r="AH20" i="16" s="1"/>
  <c r="AH19" i="26" l="1"/>
  <c r="AH17" i="17"/>
  <c r="AH22" i="16"/>
  <c r="AH45" i="19"/>
  <c r="AH16" i="17"/>
  <c r="AH21" i="16"/>
  <c r="AH44" i="19"/>
  <c r="AH17" i="26"/>
  <c r="AH17" i="23"/>
  <c r="AH13" i="26"/>
  <c r="AH19" i="23"/>
  <c r="AH37" i="9"/>
  <c r="AH40" i="9"/>
  <c r="AH41" i="9"/>
  <c r="AH12" i="22" s="1"/>
  <c r="AH39" i="9"/>
  <c r="AH23" i="16" l="1"/>
  <c r="AH30" i="16" s="1"/>
  <c r="AH31" i="16" s="1"/>
  <c r="AH32" i="16" s="1"/>
  <c r="AH7" i="19" s="1"/>
  <c r="AH18" i="17"/>
  <c r="AH46" i="19"/>
  <c r="AH49" i="19" s="1"/>
  <c r="AH50" i="19" s="1"/>
  <c r="AH51" i="19" s="1"/>
  <c r="AH15" i="26"/>
  <c r="AH17" i="22"/>
  <c r="AH18" i="22" s="1"/>
  <c r="AH19" i="22" s="1"/>
  <c r="AH33" i="16" l="1"/>
  <c r="AH6" i="23" s="1"/>
  <c r="AH13" i="19"/>
  <c r="AH14" i="19" s="1"/>
  <c r="AH24" i="17"/>
  <c r="AH25" i="17" s="1"/>
  <c r="AH26" i="17" s="1"/>
  <c r="AH27" i="17" s="1"/>
  <c r="AH15" i="23"/>
  <c r="AH20" i="22"/>
  <c r="AH9" i="19"/>
  <c r="AH55" i="19"/>
  <c r="AH8" i="23" s="1"/>
  <c r="AH10" i="19"/>
  <c r="AH34" i="16" l="1"/>
  <c r="AH35" i="16"/>
  <c r="AH36" i="16" s="1"/>
  <c r="AH8" i="19"/>
  <c r="AH11" i="19" s="1"/>
  <c r="AH53" i="19" s="1"/>
  <c r="AH9" i="23"/>
  <c r="AH22" i="22"/>
  <c r="AH23" i="22" s="1"/>
  <c r="AH21" i="22"/>
  <c r="AH7" i="23"/>
  <c r="AH29" i="17"/>
  <c r="AH30" i="17" s="1"/>
  <c r="AH28" i="17"/>
  <c r="AI16" i="19" l="1"/>
  <c r="AI17" i="19" s="1"/>
  <c r="AH10" i="23"/>
  <c r="AH12" i="23" s="1"/>
  <c r="AH13" i="23" s="1"/>
  <c r="AI20" i="19" l="1"/>
  <c r="AI21" i="19"/>
  <c r="AI19" i="19"/>
  <c r="AH11" i="23"/>
  <c r="AI12" i="26" l="1"/>
  <c r="AI22" i="19"/>
  <c r="AI24" i="19" s="1"/>
  <c r="AI30" i="19" s="1"/>
  <c r="AI14" i="26"/>
  <c r="AI25" i="19" l="1"/>
  <c r="AJ27" i="19" s="1"/>
  <c r="AI29" i="19"/>
  <c r="AI47" i="19" s="1"/>
  <c r="AI16" i="23" l="1"/>
  <c r="AL56" i="19"/>
  <c r="AL38" i="20" s="1"/>
  <c r="AI47" i="20"/>
  <c r="AI35" i="19"/>
  <c r="AI18" i="23" s="1"/>
  <c r="AI48" i="19"/>
  <c r="AL30" i="20" l="1"/>
  <c r="AL36" i="20"/>
  <c r="AL25" i="20"/>
  <c r="AL32" i="20"/>
  <c r="AL43" i="19"/>
  <c r="AL43" i="20"/>
  <c r="AL44" i="20"/>
  <c r="AL42" i="20"/>
  <c r="AL31" i="20"/>
  <c r="AL33" i="20"/>
  <c r="AL23" i="20"/>
  <c r="AL22" i="20"/>
  <c r="AL34" i="20"/>
  <c r="AL35" i="20"/>
  <c r="AL65" i="19"/>
  <c r="AL40" i="20"/>
  <c r="AL24" i="20"/>
  <c r="AL27" i="20"/>
  <c r="AL39" i="20"/>
  <c r="AL29" i="20"/>
  <c r="AL66" i="19"/>
  <c r="AL26" i="20"/>
  <c r="AL46" i="20"/>
  <c r="AO57" i="19"/>
  <c r="AL45" i="20"/>
  <c r="AL41" i="20"/>
  <c r="AL28" i="20"/>
  <c r="AL37" i="20"/>
  <c r="AI30" i="9"/>
  <c r="AI31" i="9" s="1"/>
  <c r="AI32" i="9" s="1"/>
  <c r="AI36" i="19"/>
  <c r="AI18" i="20" s="1"/>
  <c r="AI14" i="20" l="1"/>
  <c r="AI19" i="20"/>
  <c r="AI16" i="20"/>
  <c r="AI17" i="20"/>
  <c r="AI9" i="20"/>
  <c r="AI15" i="20"/>
  <c r="AL59" i="19"/>
  <c r="AI13" i="20"/>
  <c r="AI20" i="20"/>
  <c r="AI21" i="20"/>
  <c r="AI10" i="20"/>
  <c r="AI11" i="20"/>
  <c r="AI8" i="20"/>
  <c r="AI12" i="20"/>
  <c r="AI48" i="20" l="1"/>
  <c r="AI38" i="19"/>
  <c r="AI39" i="19" s="1"/>
  <c r="AI40" i="19" l="1"/>
  <c r="AI41" i="19"/>
  <c r="AI8" i="26" s="1"/>
  <c r="AI42" i="19"/>
  <c r="AI33" i="9"/>
  <c r="AI14" i="23"/>
  <c r="AI18" i="26" l="1" a="1"/>
  <c r="AI18" i="26" s="1"/>
  <c r="AI10" i="26"/>
  <c r="AI11" i="26" s="1"/>
  <c r="AI16" i="26" a="1"/>
  <c r="AI16" i="26" s="1"/>
  <c r="AI35" i="9"/>
  <c r="AI36" i="9" s="1"/>
  <c r="AI39" i="9" s="1"/>
  <c r="AI19" i="26" l="1"/>
  <c r="AI17" i="17"/>
  <c r="AI22" i="16"/>
  <c r="AI45" i="19"/>
  <c r="AI16" i="17"/>
  <c r="AI21" i="16"/>
  <c r="AI44" i="19"/>
  <c r="AI17" i="26"/>
  <c r="AI13" i="26"/>
  <c r="AI17" i="23"/>
  <c r="AI19" i="23"/>
  <c r="AI37" i="9"/>
  <c r="AI40" i="9"/>
  <c r="AI38" i="9"/>
  <c r="AI20" i="16" s="1"/>
  <c r="AI41" i="9"/>
  <c r="AI12" i="22" s="1"/>
  <c r="AI23" i="16" l="1"/>
  <c r="AI46" i="19"/>
  <c r="AI49" i="19" s="1"/>
  <c r="AI50" i="19" s="1"/>
  <c r="AI51" i="19" s="1"/>
  <c r="AI18" i="17"/>
  <c r="AI24" i="17" s="1"/>
  <c r="AI25" i="17" s="1"/>
  <c r="AI26" i="17" s="1"/>
  <c r="AI15" i="26"/>
  <c r="AI17" i="22"/>
  <c r="AI18" i="22" s="1"/>
  <c r="AI19" i="22" s="1"/>
  <c r="AI8" i="19" l="1"/>
  <c r="AI27" i="17"/>
  <c r="AI29" i="17" s="1"/>
  <c r="AI30" i="17" s="1"/>
  <c r="AI15" i="23"/>
  <c r="AI13" i="19"/>
  <c r="AI14" i="19" s="1"/>
  <c r="AI30" i="16"/>
  <c r="AI31" i="16" s="1"/>
  <c r="AI32" i="16" s="1"/>
  <c r="AI7" i="19" s="1"/>
  <c r="AI55" i="19"/>
  <c r="AI8" i="23" s="1"/>
  <c r="AI10" i="19"/>
  <c r="AI20" i="22"/>
  <c r="AI9" i="19"/>
  <c r="AI7" i="23" l="1"/>
  <c r="AI28" i="17"/>
  <c r="AI33" i="16"/>
  <c r="AI6" i="23" s="1"/>
  <c r="AI22" i="22"/>
  <c r="AI23" i="22" s="1"/>
  <c r="AI9" i="23"/>
  <c r="AI21" i="22"/>
  <c r="AI11" i="19"/>
  <c r="AI53" i="19" s="1"/>
  <c r="AJ16" i="19" s="1"/>
  <c r="AI34" i="16" l="1"/>
  <c r="AI35" i="16"/>
  <c r="AI36" i="16" s="1"/>
  <c r="AI10" i="23"/>
  <c r="AI12" i="23" s="1"/>
  <c r="AI13" i="23" s="1"/>
  <c r="AJ17" i="19"/>
  <c r="AJ21" i="19" l="1"/>
  <c r="AJ19" i="19"/>
  <c r="AJ20" i="19"/>
  <c r="AI11" i="23"/>
  <c r="AJ22" i="19" l="1"/>
  <c r="AJ24" i="19" s="1"/>
  <c r="AJ14" i="26"/>
  <c r="AJ12" i="26"/>
  <c r="AJ29" i="19" l="1"/>
  <c r="AJ30" i="19"/>
  <c r="AJ25" i="19"/>
  <c r="AM56" i="19" l="1"/>
  <c r="AK27" i="19"/>
  <c r="AJ35" i="19"/>
  <c r="AJ47" i="20"/>
  <c r="AJ47" i="19"/>
  <c r="AJ16" i="23"/>
  <c r="AJ48" i="19" l="1"/>
  <c r="AJ18" i="23"/>
  <c r="AJ36" i="19"/>
  <c r="AJ30" i="9"/>
  <c r="AJ31" i="9" s="1"/>
  <c r="AJ32" i="9" s="1"/>
  <c r="AM65" i="19"/>
  <c r="AP57" i="19"/>
  <c r="AM66" i="19"/>
  <c r="AM43" i="19"/>
  <c r="AM24" i="20"/>
  <c r="AM46" i="20"/>
  <c r="AM40" i="20"/>
  <c r="AM25" i="20"/>
  <c r="AM36" i="20"/>
  <c r="AM35" i="20"/>
  <c r="AM38" i="20"/>
  <c r="AM28" i="20"/>
  <c r="AM43" i="20"/>
  <c r="AM26" i="20"/>
  <c r="AM29" i="20"/>
  <c r="AM30" i="20"/>
  <c r="AM41" i="20"/>
  <c r="AM22" i="20"/>
  <c r="AM44" i="20"/>
  <c r="AM42" i="20"/>
  <c r="AM23" i="20"/>
  <c r="AM33" i="20"/>
  <c r="AM37" i="20"/>
  <c r="AM32" i="20"/>
  <c r="AM45" i="20"/>
  <c r="AM39" i="20"/>
  <c r="AM31" i="20"/>
  <c r="AM34" i="20"/>
  <c r="AM27" i="20"/>
  <c r="AJ19" i="20" l="1"/>
  <c r="AJ20" i="20"/>
  <c r="AJ21" i="20"/>
  <c r="AJ15" i="20"/>
  <c r="AJ18" i="20"/>
  <c r="AJ17" i="20"/>
  <c r="AJ16" i="20"/>
  <c r="F121" i="20"/>
  <c r="F76" i="20"/>
  <c r="F166" i="20"/>
  <c r="F180" i="20"/>
  <c r="F135" i="20"/>
  <c r="F90" i="20"/>
  <c r="F168" i="20"/>
  <c r="F123" i="20"/>
  <c r="F78" i="20"/>
  <c r="F88" i="20"/>
  <c r="F133" i="20"/>
  <c r="F178" i="20"/>
  <c r="F158" i="20"/>
  <c r="F68" i="20"/>
  <c r="F113" i="20"/>
  <c r="F73" i="20"/>
  <c r="F163" i="20"/>
  <c r="F118" i="20"/>
  <c r="F132" i="20"/>
  <c r="F177" i="20"/>
  <c r="F87" i="20"/>
  <c r="F83" i="20"/>
  <c r="F128" i="20"/>
  <c r="F173" i="20"/>
  <c r="F89" i="20"/>
  <c r="F179" i="20"/>
  <c r="F134" i="20"/>
  <c r="F117" i="20"/>
  <c r="F162" i="20"/>
  <c r="F72" i="20"/>
  <c r="F122" i="20"/>
  <c r="F167" i="20"/>
  <c r="F77" i="20"/>
  <c r="F157" i="20"/>
  <c r="F112" i="20"/>
  <c r="F67" i="20"/>
  <c r="F80" i="20"/>
  <c r="F125" i="20"/>
  <c r="F170" i="20"/>
  <c r="AM59" i="19"/>
  <c r="F131" i="20"/>
  <c r="F176" i="20"/>
  <c r="F86" i="20"/>
  <c r="F171" i="20"/>
  <c r="F126" i="20"/>
  <c r="F81" i="20"/>
  <c r="F75" i="20"/>
  <c r="F120" i="20"/>
  <c r="F165" i="20"/>
  <c r="F115" i="20"/>
  <c r="F70" i="20"/>
  <c r="F160" i="20"/>
  <c r="AJ14" i="20"/>
  <c r="AJ9" i="20"/>
  <c r="AJ8" i="20"/>
  <c r="AJ11" i="20"/>
  <c r="AJ10" i="20"/>
  <c r="AJ13" i="20"/>
  <c r="AJ12" i="20"/>
  <c r="F82" i="20"/>
  <c r="F127" i="20"/>
  <c r="F172" i="20"/>
  <c r="F130" i="20"/>
  <c r="F175" i="20"/>
  <c r="F85" i="20"/>
  <c r="F136" i="20"/>
  <c r="F91" i="20"/>
  <c r="F181" i="20"/>
  <c r="F169" i="20"/>
  <c r="F79" i="20"/>
  <c r="F124" i="20"/>
  <c r="F74" i="20"/>
  <c r="F164" i="20"/>
  <c r="F119" i="20"/>
  <c r="F174" i="20"/>
  <c r="F129" i="20"/>
  <c r="F84" i="20"/>
  <c r="F116" i="20"/>
  <c r="F161" i="20"/>
  <c r="F71" i="20"/>
  <c r="F114" i="20"/>
  <c r="F69" i="20"/>
  <c r="F159" i="20"/>
  <c r="AJ48" i="20" l="1"/>
  <c r="AJ38" i="19"/>
  <c r="AJ41" i="19" l="1"/>
  <c r="AJ40" i="19"/>
  <c r="AJ39" i="19"/>
  <c r="AJ8" i="26" l="1"/>
  <c r="AJ42" i="19"/>
  <c r="AJ14" i="23"/>
  <c r="AJ33" i="9"/>
  <c r="AJ18" i="26" l="1" a="1"/>
  <c r="AJ18" i="26" s="1"/>
  <c r="AJ10" i="26"/>
  <c r="AJ11" i="26" s="1"/>
  <c r="AJ16" i="26" a="1"/>
  <c r="AJ16" i="26" s="1"/>
  <c r="AJ35" i="9"/>
  <c r="AJ36" i="9" s="1"/>
  <c r="AJ19" i="26" l="1"/>
  <c r="AJ17" i="17"/>
  <c r="AJ22" i="16"/>
  <c r="AJ45" i="19"/>
  <c r="AJ16" i="17"/>
  <c r="AJ21" i="16"/>
  <c r="AJ44" i="19"/>
  <c r="AJ17" i="26"/>
  <c r="AJ17" i="23"/>
  <c r="AJ13" i="26"/>
  <c r="AJ19" i="23"/>
  <c r="AJ37" i="9"/>
  <c r="AJ38" i="9"/>
  <c r="AJ20" i="16" s="1"/>
  <c r="AJ39" i="9"/>
  <c r="AJ40" i="9"/>
  <c r="AJ41" i="9"/>
  <c r="AJ12" i="22" s="1"/>
  <c r="AJ23" i="16" l="1"/>
  <c r="AJ46" i="19"/>
  <c r="AJ49" i="19" s="1"/>
  <c r="AJ50" i="19" s="1"/>
  <c r="AJ51" i="19" s="1"/>
  <c r="AJ18" i="17"/>
  <c r="AJ24" i="17" s="1"/>
  <c r="AJ25" i="17" s="1"/>
  <c r="AJ26" i="17" s="1"/>
  <c r="AJ15" i="26"/>
  <c r="AJ17" i="22"/>
  <c r="AJ18" i="22" s="1"/>
  <c r="AJ19" i="22" s="1"/>
  <c r="X129" i="24" l="1"/>
  <c r="AJ13" i="19"/>
  <c r="AJ14" i="19" s="1"/>
  <c r="AJ15" i="23"/>
  <c r="AJ30" i="16"/>
  <c r="AJ31" i="16" s="1"/>
  <c r="AJ32" i="16" s="1"/>
  <c r="AJ7" i="19" s="1"/>
  <c r="AJ20" i="22"/>
  <c r="AJ9" i="19"/>
  <c r="AJ8" i="19"/>
  <c r="AJ27" i="17"/>
  <c r="AJ55" i="19"/>
  <c r="AJ8" i="23" s="1"/>
  <c r="AJ10" i="19"/>
  <c r="AJ33" i="16" l="1"/>
  <c r="AJ6" i="23" s="1"/>
  <c r="AJ7" i="23"/>
  <c r="AJ29" i="17"/>
  <c r="AJ30" i="17" s="1"/>
  <c r="AJ28" i="17"/>
  <c r="AJ9" i="23"/>
  <c r="AJ22" i="22"/>
  <c r="AJ23" i="22" s="1"/>
  <c r="AJ21" i="22"/>
  <c r="AJ11" i="19"/>
  <c r="AJ53" i="19" s="1"/>
  <c r="AK16" i="19" s="1"/>
  <c r="AJ34" i="16" l="1"/>
  <c r="AJ35" i="16"/>
  <c r="AJ36" i="16" s="1"/>
  <c r="AJ10" i="23"/>
  <c r="AJ11" i="23" s="1"/>
  <c r="AK17" i="19"/>
  <c r="AK20" i="19" l="1"/>
  <c r="AK21" i="19"/>
  <c r="AK19" i="19"/>
  <c r="AJ12" i="23"/>
  <c r="AJ13" i="23" s="1"/>
  <c r="AK22" i="19" l="1"/>
  <c r="AK24" i="19" s="1"/>
  <c r="AK14" i="26"/>
  <c r="AK12" i="26"/>
  <c r="AK29" i="19" l="1"/>
  <c r="AK30" i="19"/>
  <c r="AK25" i="19"/>
  <c r="AL27" i="19" l="1"/>
  <c r="AN56" i="19"/>
  <c r="AK35" i="19"/>
  <c r="AK47" i="20"/>
  <c r="AK47" i="19"/>
  <c r="AK16" i="23"/>
  <c r="AK48" i="19" l="1"/>
  <c r="AK18" i="23"/>
  <c r="AK36" i="19"/>
  <c r="AK30" i="9"/>
  <c r="AK31" i="9" s="1"/>
  <c r="AK32" i="9" s="1"/>
  <c r="AN65" i="19"/>
  <c r="AQ57" i="19"/>
  <c r="AN66" i="19"/>
  <c r="AN43" i="19"/>
  <c r="AN35" i="20"/>
  <c r="AN33" i="20"/>
  <c r="AN34" i="20"/>
  <c r="AN32" i="20"/>
  <c r="AN40" i="20"/>
  <c r="AN30" i="20"/>
  <c r="AN43" i="20"/>
  <c r="AN37" i="20"/>
  <c r="AN31" i="20"/>
  <c r="AN23" i="20"/>
  <c r="AN26" i="20"/>
  <c r="AN44" i="20"/>
  <c r="AN39" i="20"/>
  <c r="AN24" i="20"/>
  <c r="AN36" i="20"/>
  <c r="AN45" i="20"/>
  <c r="AN29" i="20"/>
  <c r="AN42" i="20"/>
  <c r="AN27" i="20"/>
  <c r="AN46" i="20"/>
  <c r="AN28" i="20"/>
  <c r="AN25" i="20"/>
  <c r="AN38" i="20"/>
  <c r="AN41" i="20"/>
  <c r="AK19" i="20" l="1"/>
  <c r="AK21" i="20"/>
  <c r="AK20" i="20"/>
  <c r="AK18" i="20"/>
  <c r="AK17" i="20"/>
  <c r="AK15" i="20"/>
  <c r="AK16" i="20"/>
  <c r="AN59" i="19"/>
  <c r="AK11" i="20"/>
  <c r="AK10" i="20"/>
  <c r="AK14" i="20"/>
  <c r="AK9" i="20"/>
  <c r="AK12" i="20"/>
  <c r="AK8" i="20"/>
  <c r="AK13" i="20"/>
  <c r="AK48" i="20" l="1"/>
  <c r="AK38" i="19"/>
  <c r="AK39" i="19" l="1"/>
  <c r="AK41" i="19"/>
  <c r="AK40" i="19"/>
  <c r="AK8" i="26" l="1"/>
  <c r="AK42" i="19"/>
  <c r="AK33" i="9"/>
  <c r="AK14" i="23"/>
  <c r="AK18" i="26" l="1" a="1"/>
  <c r="AK18" i="26" s="1"/>
  <c r="AK10" i="26"/>
  <c r="AK11" i="26" s="1"/>
  <c r="AK16" i="26" a="1"/>
  <c r="AK16" i="26" s="1"/>
  <c r="AK35" i="9"/>
  <c r="AK36" i="9" s="1"/>
  <c r="AK41" i="9" s="1"/>
  <c r="AK12" i="22" s="1"/>
  <c r="AK19" i="26" l="1"/>
  <c r="AK17" i="17"/>
  <c r="AK22" i="16"/>
  <c r="AK45" i="19"/>
  <c r="AK16" i="17"/>
  <c r="AK21" i="16"/>
  <c r="AK44" i="19"/>
  <c r="AK13" i="26"/>
  <c r="AK17" i="23"/>
  <c r="AK17" i="26"/>
  <c r="AK39" i="9"/>
  <c r="AK17" i="22"/>
  <c r="AK18" i="22" s="1"/>
  <c r="AK19" i="22" s="1"/>
  <c r="AK19" i="23"/>
  <c r="AK37" i="9"/>
  <c r="AK40" i="9"/>
  <c r="AK38" i="9"/>
  <c r="AK20" i="16" s="1"/>
  <c r="AK18" i="17" l="1"/>
  <c r="AK24" i="17" s="1"/>
  <c r="AK25" i="17" s="1"/>
  <c r="AK26" i="17" s="1"/>
  <c r="AK23" i="16"/>
  <c r="AK30" i="16" s="1"/>
  <c r="AK31" i="16" s="1"/>
  <c r="AK32" i="16" s="1"/>
  <c r="AK46" i="19"/>
  <c r="AK15" i="26"/>
  <c r="AK20" i="22"/>
  <c r="AK9" i="19"/>
  <c r="AK15" i="23" l="1"/>
  <c r="AK27" i="17"/>
  <c r="AK7" i="23" s="1"/>
  <c r="AK8" i="19"/>
  <c r="AK49" i="19"/>
  <c r="AK50" i="19" s="1"/>
  <c r="AK51" i="19" s="1"/>
  <c r="AK55" i="19" s="1"/>
  <c r="AK8" i="23" s="1"/>
  <c r="AK13" i="19"/>
  <c r="AK14" i="19" s="1"/>
  <c r="AK7" i="19"/>
  <c r="AK33" i="16"/>
  <c r="AK22" i="22"/>
  <c r="AK23" i="22" s="1"/>
  <c r="AK9" i="23"/>
  <c r="AK21" i="22"/>
  <c r="AK28" i="17" l="1"/>
  <c r="AK29" i="17"/>
  <c r="AK30" i="17" s="1"/>
  <c r="AK10" i="19"/>
  <c r="AK11" i="19" s="1"/>
  <c r="AK53" i="19" s="1"/>
  <c r="AK6" i="23"/>
  <c r="AK10" i="23" s="1"/>
  <c r="AK35" i="16"/>
  <c r="AK36" i="16" s="1"/>
  <c r="AK34" i="16"/>
  <c r="AL16" i="19" l="1"/>
  <c r="AL17" i="19" s="1"/>
  <c r="AK12" i="23"/>
  <c r="AK13" i="23" s="1"/>
  <c r="AK11" i="23"/>
  <c r="AL20" i="19" l="1"/>
  <c r="AL21" i="19"/>
  <c r="AL19" i="19"/>
  <c r="AL12" i="26" l="1"/>
  <c r="AL14" i="26"/>
  <c r="AL22" i="19"/>
  <c r="AL24" i="19" s="1"/>
  <c r="AL30" i="19" s="1"/>
  <c r="AL25" i="19" l="1"/>
  <c r="AM27" i="19" s="1"/>
  <c r="AL29" i="19"/>
  <c r="AL16" i="23" s="1"/>
  <c r="AO56" i="19"/>
  <c r="AL47" i="20"/>
  <c r="AL35" i="19" l="1"/>
  <c r="AL18" i="23" s="1"/>
  <c r="AL47" i="19"/>
  <c r="AL48" i="19" s="1"/>
  <c r="AO65" i="19"/>
  <c r="AR57" i="19"/>
  <c r="AO66" i="19"/>
  <c r="AO43" i="19"/>
  <c r="AO40" i="20"/>
  <c r="AO44" i="20"/>
  <c r="AO26" i="20"/>
  <c r="AO31" i="20"/>
  <c r="AO39" i="20"/>
  <c r="AO30" i="20"/>
  <c r="AO34" i="20"/>
  <c r="AO33" i="20"/>
  <c r="AO28" i="20"/>
  <c r="AO41" i="20"/>
  <c r="AO42" i="20"/>
  <c r="AO46" i="20"/>
  <c r="AO37" i="20"/>
  <c r="AO38" i="20"/>
  <c r="AO27" i="20"/>
  <c r="AO43" i="20"/>
  <c r="AO32" i="20"/>
  <c r="AO35" i="20"/>
  <c r="AO45" i="20"/>
  <c r="AO36" i="20"/>
  <c r="AO24" i="20"/>
  <c r="AO29" i="20"/>
  <c r="AO25" i="20"/>
  <c r="AL30" i="9" l="1"/>
  <c r="AL31" i="9" s="1"/>
  <c r="AL32" i="9" s="1"/>
  <c r="AL36" i="19"/>
  <c r="AL21" i="20" s="1"/>
  <c r="AL20" i="20"/>
  <c r="AL17" i="20"/>
  <c r="AL16" i="20"/>
  <c r="AO59" i="19"/>
  <c r="AL12" i="20"/>
  <c r="AL11" i="20"/>
  <c r="AL8" i="20"/>
  <c r="AL10" i="20" l="1"/>
  <c r="AL15" i="20"/>
  <c r="AL14" i="20"/>
  <c r="AL19" i="20"/>
  <c r="AL18" i="20"/>
  <c r="AL9" i="20"/>
  <c r="AL13" i="20"/>
  <c r="AL38" i="19" l="1"/>
  <c r="AL40" i="19" s="1"/>
  <c r="AL48" i="20"/>
  <c r="AL41" i="19" l="1"/>
  <c r="AL39" i="19"/>
  <c r="AL33" i="9" s="1"/>
  <c r="AL8" i="26"/>
  <c r="AL14" i="23"/>
  <c r="AL42" i="19" l="1"/>
  <c r="AL18" i="26" a="1"/>
  <c r="AL18" i="26" s="1"/>
  <c r="AL10" i="26"/>
  <c r="AL11" i="26" s="1"/>
  <c r="AL16" i="26" a="1"/>
  <c r="AL16" i="26" s="1"/>
  <c r="AL17" i="26" s="1"/>
  <c r="AL35" i="9"/>
  <c r="AL36" i="9" s="1"/>
  <c r="AL19" i="26" l="1"/>
  <c r="AL17" i="17"/>
  <c r="AL22" i="16"/>
  <c r="AL45" i="19"/>
  <c r="AL16" i="17"/>
  <c r="AL21" i="16"/>
  <c r="AL44" i="19"/>
  <c r="AL13" i="26"/>
  <c r="AL17" i="23"/>
  <c r="AL19" i="23"/>
  <c r="AL37" i="9"/>
  <c r="AL39" i="9"/>
  <c r="AL38" i="9"/>
  <c r="AL20" i="16" s="1"/>
  <c r="AL40" i="9"/>
  <c r="AL41" i="9"/>
  <c r="AL12" i="22" s="1"/>
  <c r="AL18" i="17" l="1"/>
  <c r="AL24" i="17" s="1"/>
  <c r="AL25" i="17" s="1"/>
  <c r="AL26" i="17" s="1"/>
  <c r="AL46" i="19"/>
  <c r="AL49" i="19" s="1"/>
  <c r="AL50" i="19" s="1"/>
  <c r="AL51" i="19" s="1"/>
  <c r="AL23" i="16"/>
  <c r="AL15" i="26"/>
  <c r="AL17" i="22"/>
  <c r="AL18" i="22" s="1"/>
  <c r="AL19" i="22" s="1"/>
  <c r="AL15" i="23" l="1"/>
  <c r="AL13" i="19"/>
  <c r="AL14" i="19" s="1"/>
  <c r="AL30" i="16"/>
  <c r="AL31" i="16" s="1"/>
  <c r="AL32" i="16" s="1"/>
  <c r="AL7" i="19" s="1"/>
  <c r="AL20" i="22"/>
  <c r="AL9" i="19"/>
  <c r="AL27" i="17"/>
  <c r="AL8" i="19"/>
  <c r="AL55" i="19"/>
  <c r="AL8" i="23" s="1"/>
  <c r="AL10" i="19"/>
  <c r="AL33" i="16" l="1"/>
  <c r="AL6" i="23" s="1"/>
  <c r="AL7" i="23"/>
  <c r="AL29" i="17"/>
  <c r="AL30" i="17" s="1"/>
  <c r="AL28" i="17"/>
  <c r="AL11" i="19"/>
  <c r="AL53" i="19" s="1"/>
  <c r="AM16" i="19" s="1"/>
  <c r="AL22" i="22"/>
  <c r="AL23" i="22" s="1"/>
  <c r="AL9" i="23"/>
  <c r="AL21" i="22"/>
  <c r="AL34" i="16" l="1"/>
  <c r="AL35" i="16"/>
  <c r="AL36" i="16" s="1"/>
  <c r="AM17" i="19"/>
  <c r="AL10" i="23"/>
  <c r="AM21" i="19" l="1"/>
  <c r="AM20" i="19"/>
  <c r="AM19" i="19"/>
  <c r="AL12" i="23"/>
  <c r="AL13" i="23" s="1"/>
  <c r="AL11" i="23"/>
  <c r="AM22" i="19" l="1"/>
  <c r="AM24" i="19" s="1"/>
  <c r="AM14" i="26"/>
  <c r="AM12" i="26"/>
  <c r="F23" i="26" l="1"/>
  <c r="AM29" i="19"/>
  <c r="AM30" i="19"/>
  <c r="AM25" i="19"/>
  <c r="AP56" i="19" l="1"/>
  <c r="AN27" i="19"/>
  <c r="AM35" i="19"/>
  <c r="AM47" i="20"/>
  <c r="AM47" i="19"/>
  <c r="AM16" i="23"/>
  <c r="F43" i="23" s="1"/>
  <c r="E21" i="25" s="1"/>
  <c r="F137" i="20" l="1"/>
  <c r="F182" i="20"/>
  <c r="F92" i="20"/>
  <c r="AM18" i="23"/>
  <c r="F45" i="23" s="1"/>
  <c r="E17" i="25" s="1"/>
  <c r="AM36" i="19"/>
  <c r="AM21" i="20" s="1"/>
  <c r="AM30" i="9"/>
  <c r="AM31" i="9" s="1"/>
  <c r="AM32" i="9" s="1"/>
  <c r="AM48" i="19"/>
  <c r="P145" i="24" s="1"/>
  <c r="P147" i="24" s="1"/>
  <c r="AP66" i="19"/>
  <c r="AP43" i="19"/>
  <c r="AP65" i="19"/>
  <c r="AS57" i="19"/>
  <c r="AP31" i="20"/>
  <c r="AP43" i="20"/>
  <c r="AP26" i="20"/>
  <c r="AP28" i="20"/>
  <c r="AP40" i="20"/>
  <c r="AP39" i="20"/>
  <c r="AP38" i="20"/>
  <c r="AP34" i="20"/>
  <c r="AP41" i="20"/>
  <c r="AP27" i="20"/>
  <c r="AP36" i="20"/>
  <c r="AP35" i="20"/>
  <c r="AP30" i="20"/>
  <c r="AP46" i="20"/>
  <c r="AP29" i="20"/>
  <c r="AP44" i="20"/>
  <c r="AP42" i="20"/>
  <c r="AP45" i="20"/>
  <c r="AP37" i="20"/>
  <c r="AP33" i="20"/>
  <c r="AP25" i="20"/>
  <c r="AP32" i="20"/>
  <c r="F66" i="20" l="1"/>
  <c r="F156" i="20"/>
  <c r="F111" i="20"/>
  <c r="AM20" i="20"/>
  <c r="AM19" i="20"/>
  <c r="AM16" i="20"/>
  <c r="F151" i="20" s="1"/>
  <c r="AM17" i="20"/>
  <c r="AM18" i="20"/>
  <c r="AM13" i="20"/>
  <c r="AM10" i="20"/>
  <c r="AM9" i="20"/>
  <c r="AM12" i="20"/>
  <c r="AM14" i="20"/>
  <c r="AM11" i="20"/>
  <c r="AM15" i="20"/>
  <c r="AM8" i="20"/>
  <c r="AP59" i="19"/>
  <c r="F64" i="20" l="1"/>
  <c r="F154" i="20"/>
  <c r="F109" i="20"/>
  <c r="F155" i="20"/>
  <c r="F65" i="20"/>
  <c r="F110" i="20"/>
  <c r="F106" i="20"/>
  <c r="F61" i="20"/>
  <c r="F108" i="20"/>
  <c r="F63" i="20"/>
  <c r="F153" i="20"/>
  <c r="F62" i="20"/>
  <c r="F107" i="20"/>
  <c r="F152" i="20"/>
  <c r="F56" i="20"/>
  <c r="F146" i="20"/>
  <c r="F101" i="20"/>
  <c r="F60" i="20"/>
  <c r="F150" i="20"/>
  <c r="F105" i="20"/>
  <c r="F149" i="20"/>
  <c r="F59" i="20"/>
  <c r="F104" i="20"/>
  <c r="F148" i="20"/>
  <c r="F103" i="20"/>
  <c r="F58" i="20"/>
  <c r="F147" i="20"/>
  <c r="F102" i="20"/>
  <c r="F57" i="20"/>
  <c r="F100" i="20"/>
  <c r="F145" i="20"/>
  <c r="F55" i="20"/>
  <c r="AM48" i="20"/>
  <c r="AM38" i="19"/>
  <c r="F53" i="20"/>
  <c r="F143" i="20"/>
  <c r="F98" i="20"/>
  <c r="F99" i="20"/>
  <c r="F54" i="20"/>
  <c r="F144" i="20"/>
  <c r="AM39" i="19" l="1"/>
  <c r="AM41" i="19"/>
  <c r="AM40" i="19"/>
  <c r="F138" i="20"/>
  <c r="F183" i="20"/>
  <c r="F93" i="20"/>
  <c r="AM8" i="26" l="1"/>
  <c r="AM42" i="19"/>
  <c r="P125" i="24" s="1"/>
  <c r="AM14" i="23"/>
  <c r="AM33" i="9"/>
  <c r="P110" i="24"/>
  <c r="P72" i="24"/>
  <c r="P75" i="24" s="1"/>
  <c r="AM18" i="26" l="1" a="1"/>
  <c r="AM18" i="26" s="1"/>
  <c r="AM10" i="26"/>
  <c r="AM11" i="26" s="1"/>
  <c r="AM16" i="26" a="1"/>
  <c r="AM16" i="26" s="1"/>
  <c r="P171" i="24"/>
  <c r="AM35" i="9"/>
  <c r="AM36" i="9" s="1"/>
  <c r="AM38" i="9" s="1"/>
  <c r="P172" i="24"/>
  <c r="F40" i="23"/>
  <c r="E18" i="25" s="1"/>
  <c r="E50" i="31" s="1"/>
  <c r="E51" i="31" l="1"/>
  <c r="E49" i="31"/>
  <c r="AM19" i="26"/>
  <c r="AM17" i="17"/>
  <c r="AM22" i="16"/>
  <c r="AM45" i="19"/>
  <c r="AM16" i="17"/>
  <c r="AM21" i="16"/>
  <c r="AM44" i="19"/>
  <c r="AM17" i="26"/>
  <c r="AM13" i="26"/>
  <c r="AM17" i="23"/>
  <c r="F44" i="23" s="1"/>
  <c r="E22" i="25" s="1"/>
  <c r="E40" i="31" s="1"/>
  <c r="F21" i="26"/>
  <c r="AM39" i="9"/>
  <c r="AM19" i="23"/>
  <c r="AM37" i="9"/>
  <c r="AM40" i="9"/>
  <c r="AM20" i="16"/>
  <c r="P136" i="24"/>
  <c r="P173" i="24"/>
  <c r="AM41" i="9"/>
  <c r="E41" i="31" l="1"/>
  <c r="E45" i="31" s="1"/>
  <c r="E39" i="31"/>
  <c r="E43" i="31" s="1"/>
  <c r="P113" i="24"/>
  <c r="P114" i="24" s="1"/>
  <c r="P116" i="24" s="1"/>
  <c r="P117" i="24" s="1"/>
  <c r="AM23" i="16"/>
  <c r="AM30" i="16" s="1"/>
  <c r="AM31" i="16" s="1"/>
  <c r="P153" i="24" s="1"/>
  <c r="AM46" i="19"/>
  <c r="P126" i="24" s="1"/>
  <c r="AM18" i="17"/>
  <c r="AM24" i="17" s="1"/>
  <c r="AM25" i="17" s="1"/>
  <c r="P154" i="24" s="1"/>
  <c r="P128" i="24"/>
  <c r="E44" i="31"/>
  <c r="P137" i="24"/>
  <c r="AM15" i="26"/>
  <c r="F22" i="26"/>
  <c r="AM12" i="22"/>
  <c r="P139" i="24"/>
  <c r="P138" i="24"/>
  <c r="C42" i="16" l="1"/>
  <c r="P129" i="24"/>
  <c r="P131" i="24" s="1"/>
  <c r="P132" i="24" s="1"/>
  <c r="AM15" i="23"/>
  <c r="F41" i="23" s="1"/>
  <c r="E19" i="25" s="1"/>
  <c r="E53" i="31" s="1"/>
  <c r="P140" i="24"/>
  <c r="AM13" i="19"/>
  <c r="AM14" i="19" s="1"/>
  <c r="AM26" i="17"/>
  <c r="AM27" i="17" s="1"/>
  <c r="AM32" i="16"/>
  <c r="AM49" i="19"/>
  <c r="AM50" i="19" s="1"/>
  <c r="AM17" i="22"/>
  <c r="AM18" i="22" s="1"/>
  <c r="P156" i="24" s="1"/>
  <c r="E54" i="31" l="1"/>
  <c r="E52" i="31"/>
  <c r="P149" i="24"/>
  <c r="P150" i="24" s="1"/>
  <c r="AM8" i="19"/>
  <c r="P155" i="24"/>
  <c r="P157" i="24" s="1"/>
  <c r="P159" i="24" s="1"/>
  <c r="P176" i="24"/>
  <c r="AM51" i="19"/>
  <c r="AM7" i="23"/>
  <c r="AM29" i="17"/>
  <c r="AM30" i="17" s="1"/>
  <c r="C34" i="17"/>
  <c r="C35" i="17"/>
  <c r="AM28" i="17"/>
  <c r="AM7" i="19"/>
  <c r="AM33" i="16"/>
  <c r="AM19" i="22"/>
  <c r="P162" i="24" l="1"/>
  <c r="P163" i="24" s="1"/>
  <c r="AM6" i="23"/>
  <c r="AM35" i="16"/>
  <c r="AM36" i="16" s="1"/>
  <c r="C39" i="16"/>
  <c r="C40" i="16"/>
  <c r="AM34" i="16"/>
  <c r="AM20" i="22"/>
  <c r="AM9" i="19"/>
  <c r="AM55" i="19"/>
  <c r="AM8" i="23" s="1"/>
  <c r="AM10" i="19"/>
  <c r="P175" i="24" l="1"/>
  <c r="P177" i="24" s="1"/>
  <c r="AM11" i="19"/>
  <c r="AM53" i="19" s="1"/>
  <c r="AM9" i="23"/>
  <c r="AM10" i="23" s="1"/>
  <c r="AM22" i="22"/>
  <c r="AM23" i="22" s="1"/>
  <c r="AM21" i="22"/>
  <c r="C41" i="16"/>
  <c r="AN16" i="19" l="1"/>
  <c r="AN17" i="19" s="1"/>
  <c r="AM12" i="23"/>
  <c r="AM13" i="23" s="1"/>
  <c r="C31" i="23"/>
  <c r="C32" i="23"/>
  <c r="F42" i="23"/>
  <c r="E20" i="25" s="1"/>
  <c r="E56" i="31" s="1"/>
  <c r="AM11" i="23"/>
  <c r="AN19" i="19" l="1"/>
  <c r="AN20" i="19"/>
  <c r="AN21" i="19"/>
  <c r="E57" i="31"/>
  <c r="E55" i="31"/>
  <c r="AN12" i="26" l="1"/>
  <c r="AN22" i="19"/>
  <c r="AN24" i="19" s="1"/>
  <c r="AN30" i="19" s="1"/>
  <c r="AN14" i="26"/>
  <c r="AN25" i="19" l="1"/>
  <c r="AN35" i="19" s="1"/>
  <c r="AN29" i="19"/>
  <c r="AN47" i="19" s="1"/>
  <c r="AO27" i="19"/>
  <c r="AQ56" i="19" l="1"/>
  <c r="AQ38" i="20" s="1"/>
  <c r="AN47" i="20"/>
  <c r="AN16" i="23"/>
  <c r="AN48" i="19"/>
  <c r="AN18" i="23"/>
  <c r="AN36" i="19"/>
  <c r="AN22" i="20" s="1"/>
  <c r="AN30" i="9"/>
  <c r="AN31" i="9" s="1"/>
  <c r="AN32" i="9" s="1"/>
  <c r="AQ65" i="19"/>
  <c r="AT57" i="19"/>
  <c r="AQ43" i="19"/>
  <c r="AQ66" i="19"/>
  <c r="AQ35" i="20"/>
  <c r="AQ42" i="20"/>
  <c r="AQ29" i="20"/>
  <c r="AQ37" i="20"/>
  <c r="AQ39" i="20"/>
  <c r="AQ36" i="20"/>
  <c r="AQ32" i="20"/>
  <c r="AQ31" i="20"/>
  <c r="AQ34" i="20"/>
  <c r="AQ46" i="20"/>
  <c r="AQ30" i="20"/>
  <c r="AQ27" i="20"/>
  <c r="AQ28" i="20"/>
  <c r="AQ26" i="20"/>
  <c r="AQ33" i="20"/>
  <c r="AQ43" i="20" l="1"/>
  <c r="AQ40" i="20"/>
  <c r="AQ45" i="20"/>
  <c r="AQ41" i="20"/>
  <c r="AQ44" i="20"/>
  <c r="AN18" i="20"/>
  <c r="AN19" i="20"/>
  <c r="AN21" i="20"/>
  <c r="AN20" i="20"/>
  <c r="AN16" i="20"/>
  <c r="AN17" i="20"/>
  <c r="AQ59" i="19"/>
  <c r="AN10" i="20"/>
  <c r="AN8" i="20"/>
  <c r="AN12" i="20"/>
  <c r="AN14" i="20"/>
  <c r="AN11" i="20"/>
  <c r="AN9" i="20"/>
  <c r="AN13" i="20"/>
  <c r="AN15" i="20"/>
  <c r="AN48" i="20" l="1"/>
  <c r="AN38" i="19"/>
  <c r="AN39" i="19" l="1"/>
  <c r="AN41" i="19"/>
  <c r="AN40" i="19"/>
  <c r="AN8" i="26" l="1"/>
  <c r="AN42" i="19"/>
  <c r="AN14" i="23"/>
  <c r="AN33" i="9"/>
  <c r="AN18" i="26" l="1" a="1"/>
  <c r="AN18" i="26" s="1"/>
  <c r="AN10" i="26"/>
  <c r="AN11" i="26" s="1"/>
  <c r="AN16" i="26" a="1"/>
  <c r="AN16" i="26" s="1"/>
  <c r="AN35" i="9"/>
  <c r="AN36" i="9" s="1"/>
  <c r="AN40" i="9" s="1"/>
  <c r="AN19" i="26" l="1"/>
  <c r="AN17" i="17"/>
  <c r="AN22" i="16"/>
  <c r="AN45" i="19"/>
  <c r="AN16" i="17"/>
  <c r="AN21" i="16"/>
  <c r="AN44" i="19"/>
  <c r="AN17" i="26"/>
  <c r="AN13" i="26"/>
  <c r="AN17" i="23"/>
  <c r="AN39" i="9"/>
  <c r="AN19" i="23"/>
  <c r="AN37" i="9"/>
  <c r="AN38" i="9"/>
  <c r="AN41" i="9"/>
  <c r="AN46" i="19" l="1"/>
  <c r="AN49" i="19" s="1"/>
  <c r="AN50" i="19" s="1"/>
  <c r="AN51" i="19" s="1"/>
  <c r="AN18" i="17"/>
  <c r="AN15" i="26"/>
  <c r="AN12" i="22"/>
  <c r="AN20" i="16"/>
  <c r="AN23" i="16" s="1"/>
  <c r="AN55" i="19" l="1"/>
  <c r="AN8" i="23" s="1"/>
  <c r="AN10" i="19"/>
  <c r="AN15" i="23"/>
  <c r="AN30" i="16"/>
  <c r="AN31" i="16" s="1"/>
  <c r="AN32" i="16" s="1"/>
  <c r="AN13" i="19"/>
  <c r="AN14" i="19" s="1"/>
  <c r="AN17" i="22"/>
  <c r="AN18" i="22" s="1"/>
  <c r="AN24" i="17"/>
  <c r="AN25" i="17" s="1"/>
  <c r="AN19" i="22" l="1"/>
  <c r="AN7" i="19"/>
  <c r="AN33" i="16"/>
  <c r="AN26" i="17"/>
  <c r="AN27" i="17" l="1"/>
  <c r="AN8" i="19"/>
  <c r="AN20" i="22"/>
  <c r="AN9" i="19"/>
  <c r="AN6" i="23"/>
  <c r="AN35" i="16"/>
  <c r="AN36" i="16" s="1"/>
  <c r="AN34" i="16"/>
  <c r="AN11" i="19" l="1"/>
  <c r="AN53" i="19" s="1"/>
  <c r="AN7" i="23"/>
  <c r="AN29" i="17"/>
  <c r="AN30" i="17" s="1"/>
  <c r="AN28" i="17"/>
  <c r="AN9" i="23"/>
  <c r="AN22" i="22"/>
  <c r="AN23" i="22" s="1"/>
  <c r="AN21" i="22"/>
  <c r="AO16" i="19" l="1"/>
  <c r="AO17" i="19" s="1"/>
  <c r="AN10" i="23"/>
  <c r="AN11" i="23" s="1"/>
  <c r="AO19" i="19" l="1"/>
  <c r="AO20" i="19"/>
  <c r="AO21" i="19"/>
  <c r="AN12" i="23"/>
  <c r="AN13" i="23" s="1"/>
  <c r="AO12" i="26" l="1"/>
  <c r="AO14" i="26"/>
  <c r="AO22" i="19"/>
  <c r="AO24" i="19" s="1"/>
  <c r="AO25" i="19" s="1"/>
  <c r="AO30" i="19" l="1"/>
  <c r="AO29" i="19"/>
  <c r="AO47" i="19" s="1"/>
  <c r="AR56" i="19"/>
  <c r="AP27" i="19"/>
  <c r="AO35" i="19"/>
  <c r="AO47" i="20"/>
  <c r="AO16" i="23" l="1"/>
  <c r="AO48" i="19"/>
  <c r="AO18" i="23"/>
  <c r="AO36" i="19"/>
  <c r="AO30" i="9"/>
  <c r="AO31" i="9" s="1"/>
  <c r="AO32" i="9" s="1"/>
  <c r="AR66" i="19"/>
  <c r="AR65" i="19"/>
  <c r="AU57" i="19"/>
  <c r="AR43" i="19"/>
  <c r="AR34" i="20"/>
  <c r="AR35" i="20"/>
  <c r="AR39" i="20"/>
  <c r="AR31" i="20"/>
  <c r="AR44" i="20"/>
  <c r="AR28" i="20"/>
  <c r="AR40" i="20"/>
  <c r="AR46" i="20"/>
  <c r="AR32" i="20"/>
  <c r="AR38" i="20"/>
  <c r="AR29" i="20"/>
  <c r="AR43" i="20"/>
  <c r="AR33" i="20"/>
  <c r="AR36" i="20"/>
  <c r="AR37" i="20"/>
  <c r="AR30" i="20"/>
  <c r="AR42" i="20"/>
  <c r="AR45" i="20"/>
  <c r="AR41" i="20"/>
  <c r="AR27" i="20"/>
  <c r="AO22" i="20" l="1"/>
  <c r="AO23" i="20"/>
  <c r="AO19" i="20"/>
  <c r="AO21" i="20"/>
  <c r="AO20" i="20"/>
  <c r="AO17" i="20"/>
  <c r="AO18" i="20"/>
  <c r="AO8" i="20"/>
  <c r="AO10" i="20"/>
  <c r="AO15" i="20"/>
  <c r="AO9" i="20"/>
  <c r="AO12" i="20"/>
  <c r="AO13" i="20"/>
  <c r="AO16" i="20"/>
  <c r="AO11" i="20"/>
  <c r="AO14" i="20"/>
  <c r="AR59" i="19"/>
  <c r="AO48" i="20" l="1"/>
  <c r="AO38" i="19"/>
  <c r="AO39" i="19" l="1"/>
  <c r="AO40" i="19"/>
  <c r="AO41" i="19"/>
  <c r="AO8" i="26" l="1"/>
  <c r="AO42" i="19"/>
  <c r="AO14" i="23"/>
  <c r="AO33" i="9"/>
  <c r="AO18" i="26" l="1" a="1"/>
  <c r="AO18" i="26" s="1"/>
  <c r="AO10" i="26"/>
  <c r="AO11" i="26" s="1"/>
  <c r="AO16" i="26" a="1"/>
  <c r="AO16" i="26" s="1"/>
  <c r="AO17" i="26" s="1"/>
  <c r="AO35" i="9"/>
  <c r="AO36" i="9" s="1"/>
  <c r="AO41" i="9" s="1"/>
  <c r="AO19" i="26" l="1"/>
  <c r="AO17" i="17"/>
  <c r="AO22" i="16"/>
  <c r="AO45" i="19"/>
  <c r="AO16" i="17"/>
  <c r="AO21" i="16"/>
  <c r="AO44" i="19"/>
  <c r="AO17" i="23"/>
  <c r="AO13" i="26"/>
  <c r="AO12" i="22"/>
  <c r="AO19" i="23"/>
  <c r="AO37" i="9"/>
  <c r="AO40" i="9"/>
  <c r="AO38" i="9"/>
  <c r="AO39" i="9"/>
  <c r="AO18" i="17" l="1"/>
  <c r="AO46" i="19"/>
  <c r="AO15" i="26"/>
  <c r="AO20" i="16"/>
  <c r="AO23" i="16" s="1"/>
  <c r="AO17" i="22"/>
  <c r="AO18" i="22" s="1"/>
  <c r="AO19" i="22" s="1"/>
  <c r="AO20" i="22" l="1"/>
  <c r="AO9" i="19"/>
  <c r="AO49" i="19"/>
  <c r="AO50" i="19" s="1"/>
  <c r="AO51" i="19" s="1"/>
  <c r="AO15" i="23"/>
  <c r="AO30" i="16"/>
  <c r="AO31" i="16" s="1"/>
  <c r="AO32" i="16" s="1"/>
  <c r="AO13" i="19"/>
  <c r="AO14" i="19" s="1"/>
  <c r="AO24" i="17"/>
  <c r="AO25" i="17" s="1"/>
  <c r="AO26" i="17" s="1"/>
  <c r="AO8" i="19" l="1"/>
  <c r="AO27" i="17"/>
  <c r="AO7" i="19"/>
  <c r="AO33" i="16"/>
  <c r="AO55" i="19"/>
  <c r="AO8" i="23" s="1"/>
  <c r="AO10" i="19"/>
  <c r="AO9" i="23"/>
  <c r="AO22" i="22"/>
  <c r="AO23" i="22" s="1"/>
  <c r="AO21" i="22"/>
  <c r="AO11" i="19" l="1"/>
  <c r="AO53" i="19" s="1"/>
  <c r="AO7" i="23"/>
  <c r="AO29" i="17"/>
  <c r="AO30" i="17" s="1"/>
  <c r="AO28" i="17"/>
  <c r="AO6" i="23"/>
  <c r="AO35" i="16"/>
  <c r="AO36" i="16" s="1"/>
  <c r="AO34" i="16"/>
  <c r="AP16" i="19" l="1"/>
  <c r="AP17" i="19" s="1"/>
  <c r="AO10" i="23"/>
  <c r="AO12" i="23" s="1"/>
  <c r="AO13" i="23" s="1"/>
  <c r="AP20" i="19" l="1"/>
  <c r="AP21" i="19"/>
  <c r="AP19" i="19"/>
  <c r="AO11" i="23"/>
  <c r="AP22" i="19" l="1"/>
  <c r="AP24" i="19" s="1"/>
  <c r="AP30" i="19" s="1"/>
  <c r="AP12" i="26"/>
  <c r="AP14" i="26"/>
  <c r="AP25" i="19" l="1"/>
  <c r="AS56" i="19" s="1"/>
  <c r="AP29" i="19"/>
  <c r="AP47" i="19" s="1"/>
  <c r="AP47" i="20" l="1"/>
  <c r="AP16" i="23"/>
  <c r="AQ27" i="19"/>
  <c r="AP35" i="19"/>
  <c r="AP18" i="23" s="1"/>
  <c r="AP48" i="19"/>
  <c r="AS66" i="19"/>
  <c r="AS65" i="19"/>
  <c r="AV57" i="19"/>
  <c r="AS43" i="19"/>
  <c r="AS38" i="20"/>
  <c r="AS36" i="20"/>
  <c r="AS37" i="20"/>
  <c r="AS43" i="20"/>
  <c r="AS34" i="20"/>
  <c r="AS32" i="20"/>
  <c r="AS31" i="20"/>
  <c r="AS29" i="20"/>
  <c r="AS39" i="20"/>
  <c r="AS44" i="20"/>
  <c r="AS30" i="20"/>
  <c r="AS42" i="20"/>
  <c r="AS40" i="20"/>
  <c r="AS41" i="20"/>
  <c r="AS33" i="20"/>
  <c r="AS35" i="20"/>
  <c r="AS46" i="20"/>
  <c r="AS28" i="20"/>
  <c r="AS45" i="20"/>
  <c r="AP30" i="9" l="1"/>
  <c r="AP31" i="9" s="1"/>
  <c r="AP32" i="9" s="1"/>
  <c r="AP36" i="19"/>
  <c r="AP10" i="20" s="1"/>
  <c r="AP22" i="20"/>
  <c r="AP23" i="20"/>
  <c r="AP24" i="20"/>
  <c r="AP19" i="20"/>
  <c r="AS59" i="19"/>
  <c r="AP16" i="20" l="1"/>
  <c r="AP15" i="20"/>
  <c r="AP21" i="20"/>
  <c r="AP20" i="20"/>
  <c r="AP12" i="20"/>
  <c r="AP11" i="20"/>
  <c r="AP9" i="20"/>
  <c r="AP18" i="20"/>
  <c r="AP17" i="20"/>
  <c r="AP14" i="20"/>
  <c r="AP8" i="20"/>
  <c r="AP13" i="20"/>
  <c r="AP48" i="20" l="1"/>
  <c r="AP38" i="19"/>
  <c r="AP40" i="19" s="1"/>
  <c r="AP41" i="19" l="1"/>
  <c r="AP39" i="19"/>
  <c r="AP42" i="19" s="1"/>
  <c r="AP8" i="26"/>
  <c r="AP33" i="9" l="1"/>
  <c r="AP35" i="9" s="1"/>
  <c r="AP36" i="9" s="1"/>
  <c r="AP39" i="9" s="1"/>
  <c r="AP14" i="23"/>
  <c r="AP18" i="26" a="1"/>
  <c r="AP18" i="26" s="1"/>
  <c r="AP10" i="26"/>
  <c r="AP11" i="26" s="1"/>
  <c r="AP16" i="26" a="1"/>
  <c r="AP16" i="26" s="1"/>
  <c r="AP19" i="26" l="1"/>
  <c r="AP17" i="17"/>
  <c r="AP22" i="16"/>
  <c r="AP45" i="19"/>
  <c r="AP16" i="17"/>
  <c r="AP21" i="16"/>
  <c r="AP44" i="19"/>
  <c r="AP17" i="26"/>
  <c r="AP13" i="26"/>
  <c r="AP17" i="23"/>
  <c r="AP38" i="9"/>
  <c r="AP20" i="16" s="1"/>
  <c r="AP41" i="9"/>
  <c r="AP12" i="22" s="1"/>
  <c r="AP19" i="23"/>
  <c r="AP37" i="9"/>
  <c r="AP40" i="9"/>
  <c r="AP18" i="17" l="1"/>
  <c r="AP24" i="17" s="1"/>
  <c r="AP25" i="17" s="1"/>
  <c r="AP26" i="17" s="1"/>
  <c r="AP46" i="19"/>
  <c r="AP23" i="16"/>
  <c r="AP30" i="16" s="1"/>
  <c r="AP31" i="16" s="1"/>
  <c r="AP15" i="26"/>
  <c r="AP17" i="22"/>
  <c r="AP18" i="22" s="1"/>
  <c r="AP19" i="22" s="1"/>
  <c r="AP13" i="19" l="1"/>
  <c r="AP14" i="19" s="1"/>
  <c r="AP15" i="23"/>
  <c r="AP20" i="22"/>
  <c r="AP9" i="19"/>
  <c r="AP32" i="16"/>
  <c r="AP8" i="19"/>
  <c r="AP27" i="17"/>
  <c r="AP49" i="19"/>
  <c r="AP50" i="19" s="1"/>
  <c r="AP51" i="19" l="1"/>
  <c r="AP7" i="23"/>
  <c r="AP29" i="17"/>
  <c r="AP30" i="17" s="1"/>
  <c r="AP28" i="17"/>
  <c r="AP7" i="19"/>
  <c r="AP33" i="16"/>
  <c r="AP9" i="23"/>
  <c r="AP22" i="22"/>
  <c r="AP23" i="22" s="1"/>
  <c r="AP21" i="22"/>
  <c r="AP6" i="23" l="1"/>
  <c r="AP35" i="16"/>
  <c r="AP36" i="16" s="1"/>
  <c r="AP34" i="16"/>
  <c r="AP55" i="19"/>
  <c r="AP8" i="23" s="1"/>
  <c r="AP10" i="19"/>
  <c r="AP11" i="19" s="1"/>
  <c r="AP53" i="19" s="1"/>
  <c r="AQ16" i="19" s="1"/>
  <c r="AQ17" i="19" l="1"/>
  <c r="AP10" i="23"/>
  <c r="AQ20" i="19" l="1"/>
  <c r="AQ21" i="19"/>
  <c r="AQ19" i="19"/>
  <c r="AP12" i="23"/>
  <c r="AP13" i="23" s="1"/>
  <c r="AP11" i="23"/>
  <c r="AQ22" i="19" l="1"/>
  <c r="AQ24" i="19" s="1"/>
  <c r="AQ14" i="26"/>
  <c r="AQ12" i="26"/>
  <c r="AQ30" i="19" l="1"/>
  <c r="AQ29" i="19"/>
  <c r="AQ25" i="19"/>
  <c r="AQ47" i="19" l="1"/>
  <c r="AQ16" i="23"/>
  <c r="AT56" i="19"/>
  <c r="AR27" i="19"/>
  <c r="AQ35" i="19"/>
  <c r="AQ47" i="20"/>
  <c r="AQ18" i="23" l="1"/>
  <c r="AQ36" i="19"/>
  <c r="AQ30" i="9"/>
  <c r="AQ31" i="9" s="1"/>
  <c r="AQ32" i="9" s="1"/>
  <c r="AT43" i="19"/>
  <c r="AW57" i="19"/>
  <c r="AT65" i="19"/>
  <c r="AT66" i="19"/>
  <c r="AT44" i="20"/>
  <c r="AT34" i="20"/>
  <c r="AT36" i="20"/>
  <c r="AT42" i="20"/>
  <c r="AT32" i="20"/>
  <c r="AT45" i="20"/>
  <c r="AT31" i="20"/>
  <c r="AT33" i="20"/>
  <c r="AT46" i="20"/>
  <c r="AT37" i="20"/>
  <c r="AT39" i="20"/>
  <c r="AT41" i="20"/>
  <c r="AT38" i="20"/>
  <c r="AT35" i="20"/>
  <c r="AT40" i="20"/>
  <c r="AT43" i="20"/>
  <c r="AT29" i="20"/>
  <c r="AT30" i="20"/>
  <c r="AQ48" i="19"/>
  <c r="AQ21" i="20" l="1"/>
  <c r="AQ23" i="20"/>
  <c r="AQ25" i="20"/>
  <c r="AQ24" i="20"/>
  <c r="AQ22" i="20"/>
  <c r="AQ19" i="20"/>
  <c r="AQ20" i="20"/>
  <c r="AT59" i="19"/>
  <c r="AQ15" i="20"/>
  <c r="AQ14" i="20"/>
  <c r="AQ12" i="20"/>
  <c r="AQ11" i="20"/>
  <c r="AQ8" i="20"/>
  <c r="AQ10" i="20"/>
  <c r="AQ18" i="20"/>
  <c r="AQ16" i="20"/>
  <c r="AQ13" i="20"/>
  <c r="AQ9" i="20"/>
  <c r="AQ17" i="20"/>
  <c r="AQ48" i="20" l="1"/>
  <c r="AQ38" i="19"/>
  <c r="AQ40" i="19" l="1"/>
  <c r="AQ41" i="19"/>
  <c r="AQ39" i="19"/>
  <c r="AQ8" i="26" l="1"/>
  <c r="AQ42" i="19"/>
  <c r="AQ14" i="23"/>
  <c r="AQ33" i="9"/>
  <c r="AQ18" i="26" l="1" a="1"/>
  <c r="AQ18" i="26" s="1"/>
  <c r="AQ10" i="26"/>
  <c r="AQ11" i="26" s="1"/>
  <c r="AQ16" i="26" a="1"/>
  <c r="AQ16" i="26" s="1"/>
  <c r="AQ35" i="9"/>
  <c r="AQ36" i="9" s="1"/>
  <c r="AQ41" i="9" s="1"/>
  <c r="AQ19" i="26" l="1"/>
  <c r="AQ17" i="17"/>
  <c r="AQ22" i="16"/>
  <c r="AQ45" i="19"/>
  <c r="AQ16" i="17"/>
  <c r="AQ21" i="16"/>
  <c r="AQ44" i="19"/>
  <c r="AQ17" i="26"/>
  <c r="AQ17" i="23"/>
  <c r="AQ13" i="26"/>
  <c r="AQ39" i="9"/>
  <c r="AQ12" i="22"/>
  <c r="AQ38" i="9"/>
  <c r="AQ19" i="23"/>
  <c r="AQ37" i="9"/>
  <c r="AQ40" i="9"/>
  <c r="AQ46" i="19" l="1"/>
  <c r="AQ18" i="17"/>
  <c r="AQ24" i="17" s="1"/>
  <c r="AQ25" i="17" s="1"/>
  <c r="AQ26" i="17" s="1"/>
  <c r="AQ15" i="26"/>
  <c r="AQ20" i="16"/>
  <c r="AQ23" i="16" s="1"/>
  <c r="AQ17" i="22"/>
  <c r="AQ18" i="22" s="1"/>
  <c r="AQ19" i="22" s="1"/>
  <c r="AQ20" i="22" l="1"/>
  <c r="AQ9" i="19"/>
  <c r="AQ15" i="23"/>
  <c r="AQ30" i="16"/>
  <c r="AQ31" i="16" s="1"/>
  <c r="AQ32" i="16" s="1"/>
  <c r="AQ13" i="19"/>
  <c r="AQ14" i="19" s="1"/>
  <c r="AQ8" i="19"/>
  <c r="AQ27" i="17"/>
  <c r="AQ49" i="19"/>
  <c r="AQ50" i="19" s="1"/>
  <c r="AQ51" i="19" s="1"/>
  <c r="AQ7" i="19" l="1"/>
  <c r="AQ33" i="16"/>
  <c r="AQ9" i="23"/>
  <c r="AQ22" i="22"/>
  <c r="AQ23" i="22" s="1"/>
  <c r="AQ21" i="22"/>
  <c r="AQ55" i="19"/>
  <c r="AQ8" i="23" s="1"/>
  <c r="AQ10" i="19"/>
  <c r="AQ7" i="23"/>
  <c r="AQ29" i="17"/>
  <c r="AQ30" i="17" s="1"/>
  <c r="AQ28" i="17"/>
  <c r="AQ11" i="19" l="1"/>
  <c r="AQ53" i="19" s="1"/>
  <c r="AQ6" i="23"/>
  <c r="AQ10" i="23" s="1"/>
  <c r="AQ35" i="16"/>
  <c r="AQ36" i="16" s="1"/>
  <c r="AQ34" i="16"/>
  <c r="AR16" i="19" l="1"/>
  <c r="AR17" i="19" s="1"/>
  <c r="AQ12" i="23"/>
  <c r="AQ13" i="23" s="1"/>
  <c r="AQ11" i="23"/>
  <c r="AR20" i="19" l="1"/>
  <c r="AR21" i="19"/>
  <c r="AR19" i="19"/>
  <c r="AR12" i="26" l="1"/>
  <c r="AR22" i="19"/>
  <c r="AR24" i="19" s="1"/>
  <c r="AR30" i="19" s="1"/>
  <c r="AR14" i="26"/>
  <c r="AR25" i="19" l="1"/>
  <c r="AS27" i="19" s="1"/>
  <c r="AR29" i="19"/>
  <c r="AR16" i="23" s="1"/>
  <c r="AU56" i="19" l="1"/>
  <c r="AU35" i="20" s="1"/>
  <c r="AR47" i="19"/>
  <c r="AR48" i="19" s="1"/>
  <c r="AR47" i="20"/>
  <c r="AR35" i="19"/>
  <c r="AR18" i="23" s="1"/>
  <c r="AU38" i="20" l="1"/>
  <c r="AU36" i="20"/>
  <c r="AU32" i="20"/>
  <c r="AU46" i="20"/>
  <c r="AU34" i="20"/>
  <c r="AU31" i="20"/>
  <c r="AU40" i="20"/>
  <c r="AU39" i="20"/>
  <c r="AU41" i="20"/>
  <c r="AX57" i="19"/>
  <c r="AU30" i="20"/>
  <c r="AU45" i="20"/>
  <c r="AU33" i="20"/>
  <c r="AU43" i="19"/>
  <c r="AU66" i="19"/>
  <c r="AU42" i="20"/>
  <c r="AU37" i="20"/>
  <c r="AU44" i="20"/>
  <c r="AU65" i="19"/>
  <c r="AU43" i="20"/>
  <c r="AR30" i="9"/>
  <c r="AR31" i="9" s="1"/>
  <c r="AR32" i="9" s="1"/>
  <c r="AR36" i="19"/>
  <c r="AR15" i="20" s="1"/>
  <c r="AR26" i="20"/>
  <c r="AR24" i="20"/>
  <c r="AR25" i="20"/>
  <c r="AR23" i="20"/>
  <c r="AR22" i="20"/>
  <c r="AR20" i="20"/>
  <c r="AR21" i="20"/>
  <c r="AR11" i="20"/>
  <c r="AR18" i="20" l="1"/>
  <c r="AR9" i="20"/>
  <c r="AU59" i="19"/>
  <c r="AR14" i="20"/>
  <c r="AR12" i="20"/>
  <c r="AR19" i="20"/>
  <c r="AR13" i="20"/>
  <c r="AR16" i="20"/>
  <c r="AR17" i="20"/>
  <c r="AR10" i="20"/>
  <c r="AR8" i="20"/>
  <c r="AR48" i="20" l="1"/>
  <c r="AR38" i="19"/>
  <c r="AR41" i="19" s="1"/>
  <c r="AR39" i="19" l="1"/>
  <c r="AR42" i="19" s="1"/>
  <c r="AR40" i="19"/>
  <c r="AR8" i="26"/>
  <c r="AR14" i="23" l="1"/>
  <c r="AR33" i="9"/>
  <c r="AR35" i="9" s="1"/>
  <c r="AR36" i="9" s="1"/>
  <c r="AR39" i="9" s="1"/>
  <c r="AR18" i="26" a="1"/>
  <c r="AR18" i="26" s="1"/>
  <c r="AR10" i="26"/>
  <c r="AR11" i="26" s="1"/>
  <c r="AR16" i="26" a="1"/>
  <c r="AR16" i="26" s="1"/>
  <c r="AR17" i="26" s="1"/>
  <c r="AR19" i="26" l="1"/>
  <c r="AR17" i="17"/>
  <c r="AR22" i="16"/>
  <c r="AR45" i="19"/>
  <c r="AR13" i="26"/>
  <c r="AR17" i="23"/>
  <c r="AR16" i="17"/>
  <c r="AR21" i="16"/>
  <c r="AR44" i="19"/>
  <c r="AR40" i="9"/>
  <c r="AR38" i="9"/>
  <c r="AR41" i="9"/>
  <c r="AR19" i="23"/>
  <c r="AR37" i="9"/>
  <c r="AR18" i="17" l="1"/>
  <c r="AR24" i="17" s="1"/>
  <c r="AR25" i="17" s="1"/>
  <c r="AR26" i="17" s="1"/>
  <c r="AR46" i="19"/>
  <c r="AR15" i="26"/>
  <c r="AR12" i="22"/>
  <c r="AR20" i="16"/>
  <c r="AR23" i="16" s="1"/>
  <c r="AR49" i="19" l="1"/>
  <c r="AR50" i="19" s="1"/>
  <c r="AR51" i="19" s="1"/>
  <c r="AR15" i="23"/>
  <c r="AR30" i="16"/>
  <c r="AR31" i="16" s="1"/>
  <c r="AR32" i="16" s="1"/>
  <c r="AR13" i="19"/>
  <c r="AR14" i="19" s="1"/>
  <c r="AR17" i="22"/>
  <c r="AR18" i="22" s="1"/>
  <c r="AR19" i="22" s="1"/>
  <c r="AR8" i="19"/>
  <c r="AR27" i="17"/>
  <c r="AR20" i="22" l="1"/>
  <c r="AR9" i="19"/>
  <c r="AR7" i="19"/>
  <c r="AR33" i="16"/>
  <c r="AR55" i="19"/>
  <c r="AR8" i="23" s="1"/>
  <c r="AR10" i="19"/>
  <c r="AR7" i="23"/>
  <c r="AR29" i="17"/>
  <c r="AR30" i="17" s="1"/>
  <c r="AR28" i="17"/>
  <c r="AR11" i="19" l="1"/>
  <c r="AR53" i="19" s="1"/>
  <c r="AS16" i="19" s="1"/>
  <c r="AR6" i="23"/>
  <c r="AR35" i="16"/>
  <c r="AR36" i="16" s="1"/>
  <c r="AR34" i="16"/>
  <c r="AR9" i="23"/>
  <c r="AR22" i="22"/>
  <c r="AR23" i="22" s="1"/>
  <c r="AR21" i="22"/>
  <c r="AR10" i="23" l="1"/>
  <c r="AS17" i="19"/>
  <c r="AS20" i="19" l="1"/>
  <c r="AS21" i="19"/>
  <c r="AS19" i="19"/>
  <c r="AR12" i="23"/>
  <c r="AR13" i="23" s="1"/>
  <c r="AR11" i="23"/>
  <c r="AS22" i="19" l="1"/>
  <c r="AS24" i="19" s="1"/>
  <c r="AS14" i="26"/>
  <c r="AS12" i="26"/>
  <c r="AS30" i="19" l="1"/>
  <c r="AS29" i="19"/>
  <c r="AS25" i="19"/>
  <c r="AS47" i="19" l="1"/>
  <c r="AS16" i="23"/>
  <c r="AV56" i="19"/>
  <c r="AT27" i="19"/>
  <c r="AS35" i="19"/>
  <c r="AS47" i="20"/>
  <c r="AS18" i="23" l="1"/>
  <c r="AS36" i="19"/>
  <c r="AS30" i="9"/>
  <c r="AS31" i="9" s="1"/>
  <c r="AS32" i="9" s="1"/>
  <c r="AY57" i="19"/>
  <c r="AV66" i="19"/>
  <c r="AV65" i="19"/>
  <c r="AV43" i="19"/>
  <c r="AV33" i="20"/>
  <c r="AV36" i="20"/>
  <c r="AV39" i="20"/>
  <c r="AV41" i="20"/>
  <c r="AV34" i="20"/>
  <c r="AV37" i="20"/>
  <c r="AV42" i="20"/>
  <c r="AV45" i="20"/>
  <c r="AV35" i="20"/>
  <c r="AV46" i="20"/>
  <c r="AV31" i="20"/>
  <c r="AV32" i="20"/>
  <c r="AV40" i="20"/>
  <c r="AV44" i="20"/>
  <c r="AV38" i="20"/>
  <c r="AV43" i="20"/>
  <c r="AS48" i="19"/>
  <c r="AS24" i="20" l="1"/>
  <c r="AS27" i="20"/>
  <c r="AS22" i="20"/>
  <c r="AS26" i="20"/>
  <c r="AS23" i="20"/>
  <c r="AS25" i="20"/>
  <c r="AS20" i="20"/>
  <c r="AS21" i="20"/>
  <c r="AV59" i="19"/>
  <c r="AS18" i="20"/>
  <c r="AS9" i="20"/>
  <c r="AS12" i="20"/>
  <c r="AS13" i="20"/>
  <c r="AS14" i="20"/>
  <c r="AS10" i="20"/>
  <c r="AS16" i="20"/>
  <c r="AS17" i="20"/>
  <c r="AS11" i="20"/>
  <c r="AS8" i="20"/>
  <c r="AS15" i="20"/>
  <c r="AS19" i="20"/>
  <c r="AS48" i="20" l="1"/>
  <c r="AS38" i="19"/>
  <c r="AS41" i="19" l="1"/>
  <c r="AS40" i="19"/>
  <c r="AS39" i="19"/>
  <c r="AS8" i="26" l="1"/>
  <c r="AS42" i="19"/>
  <c r="AS14" i="23"/>
  <c r="AS33" i="9"/>
  <c r="AS18" i="26" l="1" a="1"/>
  <c r="AS18" i="26" s="1"/>
  <c r="AS10" i="26"/>
  <c r="AS11" i="26" s="1"/>
  <c r="AS16" i="26" a="1"/>
  <c r="AS16" i="26" s="1"/>
  <c r="AS35" i="9"/>
  <c r="AS36" i="9" s="1"/>
  <c r="AS19" i="26" l="1"/>
  <c r="AS17" i="17"/>
  <c r="AS22" i="16"/>
  <c r="AS45" i="19"/>
  <c r="AS16" i="17"/>
  <c r="AS21" i="16"/>
  <c r="AS44" i="19"/>
  <c r="AS13" i="26"/>
  <c r="AS17" i="23"/>
  <c r="AS17" i="26"/>
  <c r="AS19" i="23"/>
  <c r="AS37" i="9"/>
  <c r="AS40" i="9"/>
  <c r="AS38" i="9"/>
  <c r="AS20" i="16" s="1"/>
  <c r="AS41" i="9"/>
  <c r="AS12" i="22" s="1"/>
  <c r="AS39" i="9"/>
  <c r="AS18" i="17" l="1"/>
  <c r="AS24" i="17" s="1"/>
  <c r="AS25" i="17" s="1"/>
  <c r="AS26" i="17" s="1"/>
  <c r="AS23" i="16"/>
  <c r="AS46" i="19"/>
  <c r="AS49" i="19" s="1"/>
  <c r="AS50" i="19" s="1"/>
  <c r="AS51" i="19" s="1"/>
  <c r="AS15" i="26"/>
  <c r="AS17" i="22"/>
  <c r="AS18" i="22" s="1"/>
  <c r="AS19" i="22" s="1"/>
  <c r="AS15" i="23" l="1"/>
  <c r="AS13" i="19"/>
  <c r="AS14" i="19" s="1"/>
  <c r="AS30" i="16"/>
  <c r="AS31" i="16" s="1"/>
  <c r="AS32" i="16" s="1"/>
  <c r="AS7" i="19" s="1"/>
  <c r="AS55" i="19"/>
  <c r="AS8" i="23" s="1"/>
  <c r="AS10" i="19"/>
  <c r="AS8" i="19"/>
  <c r="AS27" i="17"/>
  <c r="AS20" i="22"/>
  <c r="AS9" i="19"/>
  <c r="AS33" i="16" l="1"/>
  <c r="AS6" i="23" s="1"/>
  <c r="AS9" i="23"/>
  <c r="AS22" i="22"/>
  <c r="AS23" i="22" s="1"/>
  <c r="AS21" i="22"/>
  <c r="AS11" i="19"/>
  <c r="AS53" i="19" s="1"/>
  <c r="AT16" i="19" s="1"/>
  <c r="AS7" i="23"/>
  <c r="AS29" i="17"/>
  <c r="AS30" i="17" s="1"/>
  <c r="AS28" i="17"/>
  <c r="AS34" i="16" l="1"/>
  <c r="AS35" i="16"/>
  <c r="AS36" i="16" s="1"/>
  <c r="AS10" i="23"/>
  <c r="AT17" i="19"/>
  <c r="AT21" i="19" l="1"/>
  <c r="AT20" i="19"/>
  <c r="AT19" i="19"/>
  <c r="AS12" i="23"/>
  <c r="AS13" i="23" s="1"/>
  <c r="AS11" i="23"/>
  <c r="AT22" i="19" l="1"/>
  <c r="AT24" i="19" s="1"/>
  <c r="AT14" i="26"/>
  <c r="AT12" i="26"/>
  <c r="AT29" i="19" l="1"/>
  <c r="AT30" i="19"/>
  <c r="AT25" i="19"/>
  <c r="AW56" i="19" l="1"/>
  <c r="AU27" i="19"/>
  <c r="AT35" i="19"/>
  <c r="AT47" i="20"/>
  <c r="AT47" i="19"/>
  <c r="AT16" i="23"/>
  <c r="AT18" i="23" l="1"/>
  <c r="AT36" i="19"/>
  <c r="AT30" i="9"/>
  <c r="AT31" i="9" s="1"/>
  <c r="AT32" i="9" s="1"/>
  <c r="AT48" i="19"/>
  <c r="AW65" i="19"/>
  <c r="AW43" i="19"/>
  <c r="AZ57" i="19"/>
  <c r="AW66" i="19"/>
  <c r="AW41" i="20"/>
  <c r="AW36" i="20"/>
  <c r="AW43" i="20"/>
  <c r="AW44" i="20"/>
  <c r="AW42" i="20"/>
  <c r="AW45" i="20"/>
  <c r="AW34" i="20"/>
  <c r="AW32" i="20"/>
  <c r="AW46" i="20"/>
  <c r="AW37" i="20"/>
  <c r="AW39" i="20"/>
  <c r="AW40" i="20"/>
  <c r="AW38" i="20"/>
  <c r="AW35" i="20"/>
  <c r="AW33" i="20"/>
  <c r="AT21" i="20" l="1"/>
  <c r="AT24" i="20"/>
  <c r="AT28" i="20"/>
  <c r="AT27" i="20"/>
  <c r="AT22" i="20"/>
  <c r="AT23" i="20"/>
  <c r="AT25" i="20"/>
  <c r="AT26" i="20"/>
  <c r="AW59" i="19"/>
  <c r="AT16" i="20"/>
  <c r="AT12" i="20"/>
  <c r="AT17" i="20"/>
  <c r="AT13" i="20"/>
  <c r="AT14" i="20"/>
  <c r="AT15" i="20"/>
  <c r="AT8" i="20"/>
  <c r="AT10" i="20"/>
  <c r="AT20" i="20"/>
  <c r="AT11" i="20"/>
  <c r="AT18" i="20"/>
  <c r="AT19" i="20"/>
  <c r="AT9" i="20"/>
  <c r="AT48" i="20" l="1"/>
  <c r="AT38" i="19"/>
  <c r="AT41" i="19" l="1"/>
  <c r="AT40" i="19"/>
  <c r="AT39" i="19"/>
  <c r="AT8" i="26" l="1"/>
  <c r="AT42" i="19"/>
  <c r="AT33" i="9"/>
  <c r="AT14" i="23"/>
  <c r="AT18" i="26" l="1" a="1"/>
  <c r="AT18" i="26" s="1"/>
  <c r="AT10" i="26"/>
  <c r="AT11" i="26" s="1"/>
  <c r="AT16" i="26" a="1"/>
  <c r="AT16" i="26" s="1"/>
  <c r="AT35" i="9"/>
  <c r="AT36" i="9" s="1"/>
  <c r="AT41" i="9" s="1"/>
  <c r="AT12" i="22" s="1"/>
  <c r="AT19" i="26" l="1"/>
  <c r="AT17" i="17"/>
  <c r="AT22" i="16"/>
  <c r="AT45" i="19"/>
  <c r="AT16" i="17"/>
  <c r="AT21" i="16"/>
  <c r="AT44" i="19"/>
  <c r="AT17" i="26"/>
  <c r="AT17" i="23"/>
  <c r="AT13" i="26"/>
  <c r="AT38" i="9"/>
  <c r="AT20" i="16" s="1"/>
  <c r="AT39" i="9"/>
  <c r="AT17" i="22"/>
  <c r="AT18" i="22" s="1"/>
  <c r="AT19" i="22" s="1"/>
  <c r="AT19" i="23"/>
  <c r="AT37" i="9"/>
  <c r="AT40" i="9"/>
  <c r="AT18" i="17" l="1"/>
  <c r="AT24" i="17" s="1"/>
  <c r="AT25" i="17" s="1"/>
  <c r="AT46" i="19"/>
  <c r="AT49" i="19" s="1"/>
  <c r="AT50" i="19" s="1"/>
  <c r="AT51" i="19" s="1"/>
  <c r="AT23" i="16"/>
  <c r="AT30" i="16" s="1"/>
  <c r="AT31" i="16" s="1"/>
  <c r="AT32" i="16" s="1"/>
  <c r="AT15" i="26"/>
  <c r="AT20" i="22"/>
  <c r="AT9" i="19"/>
  <c r="AT7" i="19" l="1"/>
  <c r="AT33" i="16"/>
  <c r="AT34" i="16" s="1"/>
  <c r="AT13" i="19"/>
  <c r="AT14" i="19" s="1"/>
  <c r="AT26" i="17"/>
  <c r="AT8" i="19" s="1"/>
  <c r="AT15" i="23"/>
  <c r="AT55" i="19"/>
  <c r="AT8" i="23" s="1"/>
  <c r="AT10" i="19"/>
  <c r="AT22" i="22"/>
  <c r="AT23" i="22" s="1"/>
  <c r="AT9" i="23"/>
  <c r="AT21" i="22"/>
  <c r="AT27" i="17" l="1"/>
  <c r="AT7" i="23" s="1"/>
  <c r="AT35" i="16"/>
  <c r="AT36" i="16" s="1"/>
  <c r="AT6" i="23"/>
  <c r="AT11" i="19"/>
  <c r="AT53" i="19" s="1"/>
  <c r="AU16" i="19" l="1"/>
  <c r="AU17" i="19" s="1"/>
  <c r="AT10" i="23"/>
  <c r="AT11" i="23" s="1"/>
  <c r="AT28" i="17"/>
  <c r="AT29" i="17"/>
  <c r="AT30" i="17" s="1"/>
  <c r="AU20" i="19" l="1"/>
  <c r="AU19" i="19"/>
  <c r="AU21" i="19"/>
  <c r="AT12" i="23"/>
  <c r="AT13" i="23" s="1"/>
  <c r="AU12" i="26" l="1"/>
  <c r="AU22" i="19"/>
  <c r="AU24" i="19" s="1"/>
  <c r="AU25" i="19" s="1"/>
  <c r="AU14" i="26"/>
  <c r="AU29" i="19" l="1"/>
  <c r="AU47" i="19" s="1"/>
  <c r="AU30" i="19"/>
  <c r="AX56" i="19"/>
  <c r="AV27" i="19"/>
  <c r="AU35" i="19"/>
  <c r="AU47" i="20"/>
  <c r="AU16" i="23" l="1"/>
  <c r="AX65" i="19"/>
  <c r="BA57" i="19"/>
  <c r="AX43" i="19"/>
  <c r="AX66" i="19"/>
  <c r="AX43" i="20"/>
  <c r="AX38" i="20"/>
  <c r="AX34" i="20"/>
  <c r="AX40" i="20"/>
  <c r="AX37" i="20"/>
  <c r="AX41" i="20"/>
  <c r="AX44" i="20"/>
  <c r="AX42" i="20"/>
  <c r="AX39" i="20"/>
  <c r="AX36" i="20"/>
  <c r="AX46" i="20"/>
  <c r="AX45" i="20"/>
  <c r="AX33" i="20"/>
  <c r="AX35" i="20"/>
  <c r="AU48" i="19"/>
  <c r="AU18" i="23"/>
  <c r="AU36" i="19"/>
  <c r="AU30" i="9"/>
  <c r="AU31" i="9" s="1"/>
  <c r="AU32" i="9" s="1"/>
  <c r="AU25" i="20" l="1"/>
  <c r="AU22" i="20"/>
  <c r="AU23" i="20"/>
  <c r="AU24" i="20"/>
  <c r="AU26" i="20"/>
  <c r="AU28" i="20"/>
  <c r="AU29" i="20"/>
  <c r="AU27" i="20"/>
  <c r="AU17" i="20"/>
  <c r="AU21" i="20"/>
  <c r="AU13" i="20"/>
  <c r="AU18" i="20"/>
  <c r="AU12" i="20"/>
  <c r="AU20" i="20"/>
  <c r="AU15" i="20"/>
  <c r="AU19" i="20"/>
  <c r="AU8" i="20"/>
  <c r="AU9" i="20"/>
  <c r="AU10" i="20"/>
  <c r="AU16" i="20"/>
  <c r="AU11" i="20"/>
  <c r="AU14" i="20"/>
  <c r="AX59" i="19"/>
  <c r="AU48" i="20" l="1"/>
  <c r="AU38" i="19"/>
  <c r="AU41" i="19" l="1"/>
  <c r="AU39" i="19"/>
  <c r="AU40" i="19"/>
  <c r="AU8" i="26" l="1"/>
  <c r="AU42" i="19"/>
  <c r="AU14" i="23"/>
  <c r="AU33" i="9"/>
  <c r="AU18" i="26" l="1" a="1"/>
  <c r="AU18" i="26" s="1"/>
  <c r="AU10" i="26"/>
  <c r="AU11" i="26" s="1"/>
  <c r="AU16" i="26" a="1"/>
  <c r="AU16" i="26" s="1"/>
  <c r="AU35" i="9"/>
  <c r="AU36" i="9" s="1"/>
  <c r="AU19" i="26" l="1"/>
  <c r="AU17" i="17"/>
  <c r="AU22" i="16"/>
  <c r="AU45" i="19"/>
  <c r="AU16" i="17"/>
  <c r="AU21" i="16"/>
  <c r="AU44" i="19"/>
  <c r="AU17" i="26"/>
  <c r="AU13" i="26"/>
  <c r="AU17" i="23"/>
  <c r="AU19" i="23"/>
  <c r="AU37" i="9"/>
  <c r="AU40" i="9"/>
  <c r="AU38" i="9"/>
  <c r="AU20" i="16" s="1"/>
  <c r="AU41" i="9"/>
  <c r="AU12" i="22" s="1"/>
  <c r="AU39" i="9"/>
  <c r="AU46" i="19" l="1"/>
  <c r="AU18" i="17"/>
  <c r="AU24" i="17" s="1"/>
  <c r="AU25" i="17" s="1"/>
  <c r="AU26" i="17" s="1"/>
  <c r="AU23" i="16"/>
  <c r="AU30" i="16" s="1"/>
  <c r="AU31" i="16" s="1"/>
  <c r="AU32" i="16" s="1"/>
  <c r="AU15" i="26"/>
  <c r="AU17" i="22"/>
  <c r="AU18" i="22" s="1"/>
  <c r="AU19" i="22" s="1"/>
  <c r="AU13" i="19" l="1"/>
  <c r="AU14" i="19" s="1"/>
  <c r="AU15" i="23"/>
  <c r="AU49" i="19"/>
  <c r="AU50" i="19" s="1"/>
  <c r="AU51" i="19" s="1"/>
  <c r="AU55" i="19" s="1"/>
  <c r="AU8" i="23" s="1"/>
  <c r="AU7" i="19"/>
  <c r="AU33" i="16"/>
  <c r="AU20" i="22"/>
  <c r="AU9" i="19"/>
  <c r="AU8" i="19"/>
  <c r="AU27" i="17"/>
  <c r="AU10" i="19" l="1"/>
  <c r="AU11" i="19" s="1"/>
  <c r="AU53" i="19" s="1"/>
  <c r="AV16" i="19" s="1"/>
  <c r="AU6" i="23"/>
  <c r="AU35" i="16"/>
  <c r="AU36" i="16" s="1"/>
  <c r="AU34" i="16"/>
  <c r="AU7" i="23"/>
  <c r="AU29" i="17"/>
  <c r="AU30" i="17" s="1"/>
  <c r="AU28" i="17"/>
  <c r="AU9" i="23"/>
  <c r="AU22" i="22"/>
  <c r="AU23" i="22" s="1"/>
  <c r="AU21" i="22"/>
  <c r="AV17" i="19" l="1"/>
  <c r="AU10" i="23"/>
  <c r="AV19" i="19" l="1"/>
  <c r="AV20" i="19"/>
  <c r="AV21" i="19"/>
  <c r="AU12" i="23"/>
  <c r="AU13" i="23" s="1"/>
  <c r="AU11" i="23"/>
  <c r="AV22" i="19" l="1"/>
  <c r="AV24" i="19" s="1"/>
  <c r="AV14" i="26"/>
  <c r="AV12" i="26"/>
  <c r="AV29" i="19" l="1"/>
  <c r="AV30" i="19"/>
  <c r="AV25" i="19"/>
  <c r="AY56" i="19" l="1"/>
  <c r="AW27" i="19"/>
  <c r="AV35" i="19"/>
  <c r="AV47" i="20"/>
  <c r="AV47" i="19"/>
  <c r="AV16" i="23"/>
  <c r="AY65" i="19" l="1"/>
  <c r="BB57" i="19"/>
  <c r="AY66" i="19"/>
  <c r="AY43" i="19"/>
  <c r="AY36" i="20"/>
  <c r="AY45" i="20"/>
  <c r="AY42" i="20"/>
  <c r="AY46" i="20"/>
  <c r="AY37" i="20"/>
  <c r="AY44" i="20"/>
  <c r="AY38" i="20"/>
  <c r="AY34" i="20"/>
  <c r="AY35" i="20"/>
  <c r="AY41" i="20"/>
  <c r="AY43" i="20"/>
  <c r="AY39" i="20"/>
  <c r="AY40" i="20"/>
  <c r="AV48" i="19"/>
  <c r="AV18" i="23"/>
  <c r="AV36" i="19"/>
  <c r="AV30" i="9"/>
  <c r="AV31" i="9" s="1"/>
  <c r="AV32" i="9" s="1"/>
  <c r="AV26" i="20" l="1"/>
  <c r="AV22" i="20"/>
  <c r="AV27" i="20"/>
  <c r="AV24" i="20"/>
  <c r="AV28" i="20"/>
  <c r="AV30" i="20"/>
  <c r="AV23" i="20"/>
  <c r="AV25" i="20"/>
  <c r="AV29" i="20"/>
  <c r="AY59" i="19"/>
  <c r="G172" i="20"/>
  <c r="G82" i="20"/>
  <c r="G127" i="20"/>
  <c r="AV15" i="20"/>
  <c r="AV18" i="20"/>
  <c r="AV13" i="20"/>
  <c r="AV8" i="20"/>
  <c r="AV19" i="20"/>
  <c r="AV12" i="20"/>
  <c r="AV11" i="20"/>
  <c r="AV17" i="20"/>
  <c r="AV21" i="20"/>
  <c r="AV20" i="20"/>
  <c r="AV14" i="20"/>
  <c r="AV9" i="20"/>
  <c r="AV10" i="20"/>
  <c r="AV16" i="20"/>
  <c r="G88" i="20"/>
  <c r="G133" i="20"/>
  <c r="G178" i="20"/>
  <c r="G181" i="20"/>
  <c r="G136" i="20"/>
  <c r="G91" i="20"/>
  <c r="G126" i="20"/>
  <c r="G81" i="20"/>
  <c r="G171" i="20"/>
  <c r="G175" i="20"/>
  <c r="G85" i="20"/>
  <c r="G130" i="20"/>
  <c r="G179" i="20"/>
  <c r="G89" i="20"/>
  <c r="G134" i="20"/>
  <c r="G129" i="20"/>
  <c r="G84" i="20"/>
  <c r="G174" i="20"/>
  <c r="G169" i="20"/>
  <c r="G79" i="20"/>
  <c r="G124" i="20"/>
  <c r="G132" i="20"/>
  <c r="G87" i="20"/>
  <c r="G177" i="20"/>
  <c r="G176" i="20"/>
  <c r="G131" i="20"/>
  <c r="G86" i="20"/>
  <c r="G128" i="20"/>
  <c r="G83" i="20"/>
  <c r="G173" i="20"/>
  <c r="G125" i="20"/>
  <c r="G80" i="20"/>
  <c r="G170" i="20"/>
  <c r="G180" i="20"/>
  <c r="G135" i="20"/>
  <c r="G90" i="20"/>
  <c r="AV48" i="20" l="1"/>
  <c r="AV38" i="19"/>
  <c r="AV40" i="19" l="1"/>
  <c r="AV41" i="19"/>
  <c r="AV39" i="19"/>
  <c r="AV8" i="26" l="1"/>
  <c r="AV42" i="19"/>
  <c r="AV14" i="23"/>
  <c r="AV33" i="9"/>
  <c r="AV18" i="26" l="1" a="1"/>
  <c r="AV18" i="26" s="1"/>
  <c r="AV10" i="26"/>
  <c r="AV11" i="26" s="1"/>
  <c r="AV16" i="26" a="1"/>
  <c r="AV16" i="26" s="1"/>
  <c r="AV35" i="9"/>
  <c r="AV36" i="9" s="1"/>
  <c r="AV17" i="17" l="1"/>
  <c r="AV22" i="16"/>
  <c r="AV45" i="19"/>
  <c r="AV19" i="26"/>
  <c r="AV16" i="17"/>
  <c r="AV21" i="16"/>
  <c r="AV44" i="19"/>
  <c r="AV17" i="26"/>
  <c r="AV13" i="26"/>
  <c r="AV17" i="23"/>
  <c r="AV19" i="23"/>
  <c r="AV37" i="9"/>
  <c r="AV38" i="9"/>
  <c r="AV20" i="16" s="1"/>
  <c r="AV39" i="9"/>
  <c r="AV40" i="9"/>
  <c r="AV41" i="9"/>
  <c r="AV12" i="22" s="1"/>
  <c r="AV18" i="17" l="1"/>
  <c r="AV24" i="17" s="1"/>
  <c r="AV25" i="17" s="1"/>
  <c r="AV26" i="17" s="1"/>
  <c r="AV23" i="16"/>
  <c r="AV30" i="16" s="1"/>
  <c r="AV31" i="16" s="1"/>
  <c r="AV32" i="16" s="1"/>
  <c r="AV46" i="19"/>
  <c r="AV15" i="26"/>
  <c r="AV17" i="22"/>
  <c r="AV18" i="22" s="1"/>
  <c r="AV19" i="22" s="1"/>
  <c r="AV15" i="23" l="1"/>
  <c r="AV13" i="19"/>
  <c r="AV14" i="19" s="1"/>
  <c r="AV49" i="19"/>
  <c r="AV50" i="19" s="1"/>
  <c r="AV51" i="19" s="1"/>
  <c r="AV55" i="19" s="1"/>
  <c r="AV8" i="23" s="1"/>
  <c r="AV8" i="19"/>
  <c r="AV27" i="17"/>
  <c r="AV20" i="22"/>
  <c r="AV9" i="19"/>
  <c r="AV7" i="19"/>
  <c r="AV33" i="16"/>
  <c r="AV10" i="19" l="1"/>
  <c r="AV11" i="19" s="1"/>
  <c r="AV53" i="19" s="1"/>
  <c r="AV6" i="23"/>
  <c r="AV35" i="16"/>
  <c r="AV36" i="16" s="1"/>
  <c r="AV34" i="16"/>
  <c r="AV9" i="23"/>
  <c r="AV22" i="22"/>
  <c r="AV23" i="22" s="1"/>
  <c r="AV21" i="22"/>
  <c r="AV7" i="23"/>
  <c r="AV29" i="17"/>
  <c r="AV30" i="17" s="1"/>
  <c r="AV28" i="17"/>
  <c r="AW16" i="19" l="1"/>
  <c r="AW17" i="19" s="1"/>
  <c r="AV10" i="23"/>
  <c r="AW21" i="19" l="1"/>
  <c r="AW19" i="19"/>
  <c r="AW20" i="19"/>
  <c r="AV12" i="23"/>
  <c r="AV13" i="23" s="1"/>
  <c r="AV11" i="23"/>
  <c r="AW12" i="26" l="1"/>
  <c r="AW22" i="19"/>
  <c r="AW24" i="19" s="1"/>
  <c r="AW29" i="19" s="1"/>
  <c r="AW14" i="26"/>
  <c r="AW25" i="19" l="1"/>
  <c r="AW35" i="19" s="1"/>
  <c r="AW30" i="19"/>
  <c r="AW16" i="23" s="1"/>
  <c r="AW47" i="19"/>
  <c r="AX27" i="19" l="1"/>
  <c r="AZ56" i="19"/>
  <c r="AZ40" i="20" s="1"/>
  <c r="AW47" i="20"/>
  <c r="AW48" i="19"/>
  <c r="AW18" i="23"/>
  <c r="AW36" i="19"/>
  <c r="AW30" i="9"/>
  <c r="AW31" i="9" s="1"/>
  <c r="AW32" i="9" s="1"/>
  <c r="AZ65" i="19"/>
  <c r="BC57" i="19"/>
  <c r="AZ66" i="19"/>
  <c r="AZ38" i="20"/>
  <c r="AZ41" i="20"/>
  <c r="AZ37" i="20"/>
  <c r="AZ46" i="20"/>
  <c r="AZ39" i="20"/>
  <c r="AZ44" i="20" l="1"/>
  <c r="AZ35" i="20"/>
  <c r="AZ42" i="20"/>
  <c r="AZ43" i="19"/>
  <c r="AZ43" i="20"/>
  <c r="AZ45" i="20"/>
  <c r="AZ36" i="20"/>
  <c r="AW24" i="20"/>
  <c r="AW28" i="20"/>
  <c r="AW23" i="20"/>
  <c r="AW31" i="20"/>
  <c r="AW25" i="20"/>
  <c r="AW26" i="20"/>
  <c r="AW29" i="20"/>
  <c r="AW30" i="20"/>
  <c r="AW27" i="20"/>
  <c r="AW22" i="20"/>
  <c r="AZ59" i="19"/>
  <c r="AW20" i="20"/>
  <c r="AW18" i="20"/>
  <c r="AW8" i="20"/>
  <c r="AW15" i="20"/>
  <c r="AW12" i="20"/>
  <c r="AW11" i="20"/>
  <c r="AW13" i="20"/>
  <c r="AW19" i="20"/>
  <c r="AW16" i="20"/>
  <c r="AW21" i="20"/>
  <c r="AW10" i="20"/>
  <c r="AW17" i="20"/>
  <c r="AW14" i="20"/>
  <c r="AW9" i="20"/>
  <c r="AW48" i="20" l="1"/>
  <c r="AW38" i="19"/>
  <c r="AW41" i="19" l="1"/>
  <c r="AW39" i="19"/>
  <c r="AW40" i="19"/>
  <c r="AW8" i="26" l="1"/>
  <c r="AW42" i="19"/>
  <c r="AW14" i="23"/>
  <c r="AW33" i="9"/>
  <c r="AW18" i="26" l="1" a="1"/>
  <c r="AW18" i="26" s="1"/>
  <c r="AW10" i="26"/>
  <c r="AW11" i="26" s="1"/>
  <c r="AW16" i="26" a="1"/>
  <c r="AW16" i="26" s="1"/>
  <c r="AW17" i="26" s="1"/>
  <c r="AW35" i="9"/>
  <c r="AW36" i="9" s="1"/>
  <c r="AW41" i="9" s="1"/>
  <c r="AW12" i="22" s="1"/>
  <c r="AW19" i="26" l="1"/>
  <c r="AW17" i="17"/>
  <c r="AW22" i="16"/>
  <c r="AW45" i="19"/>
  <c r="AW16" i="17"/>
  <c r="AW21" i="16"/>
  <c r="AW44" i="19"/>
  <c r="AW17" i="23"/>
  <c r="AW13" i="26"/>
  <c r="AW17" i="22"/>
  <c r="AW18" i="22" s="1"/>
  <c r="AW19" i="22" s="1"/>
  <c r="AW19" i="23"/>
  <c r="AW37" i="9"/>
  <c r="AW40" i="9"/>
  <c r="AW38" i="9"/>
  <c r="AW20" i="16" s="1"/>
  <c r="AW39" i="9"/>
  <c r="AW18" i="17" l="1"/>
  <c r="AW24" i="17" s="1"/>
  <c r="AW25" i="17" s="1"/>
  <c r="AW26" i="17" s="1"/>
  <c r="AW23" i="16"/>
  <c r="AW30" i="16" s="1"/>
  <c r="AW31" i="16" s="1"/>
  <c r="AW32" i="16" s="1"/>
  <c r="AW46" i="19"/>
  <c r="AW49" i="19" s="1"/>
  <c r="AW50" i="19" s="1"/>
  <c r="AW51" i="19" s="1"/>
  <c r="AW15" i="26"/>
  <c r="AW20" i="22"/>
  <c r="AW9" i="19"/>
  <c r="AW15" i="23" l="1"/>
  <c r="AW13" i="19"/>
  <c r="AW14" i="19" s="1"/>
  <c r="AW7" i="19"/>
  <c r="AW33" i="16"/>
  <c r="AW55" i="19"/>
  <c r="AW8" i="23" s="1"/>
  <c r="AW10" i="19"/>
  <c r="AW9" i="23"/>
  <c r="AW22" i="22"/>
  <c r="AW23" i="22" s="1"/>
  <c r="AW21" i="22"/>
  <c r="AW8" i="19"/>
  <c r="AW27" i="17"/>
  <c r="AW11" i="19" l="1"/>
  <c r="AW53" i="19" s="1"/>
  <c r="AW7" i="23"/>
  <c r="AW29" i="17"/>
  <c r="AW30" i="17" s="1"/>
  <c r="AW28" i="17"/>
  <c r="AW6" i="23"/>
  <c r="AW35" i="16"/>
  <c r="AW36" i="16" s="1"/>
  <c r="AW34" i="16"/>
  <c r="AX16" i="19" l="1"/>
  <c r="AX17" i="19" s="1"/>
  <c r="AW10" i="23"/>
  <c r="AW12" i="23" s="1"/>
  <c r="AW13" i="23" s="1"/>
  <c r="AX20" i="19" l="1"/>
  <c r="AX19" i="19"/>
  <c r="AX21" i="19"/>
  <c r="AW11" i="23"/>
  <c r="AX12" i="26" l="1"/>
  <c r="AX14" i="26"/>
  <c r="AX22" i="19"/>
  <c r="AX24" i="19" s="1"/>
  <c r="AX29" i="19" s="1"/>
  <c r="AX25" i="19" l="1"/>
  <c r="BA56" i="19" s="1"/>
  <c r="AX30" i="19"/>
  <c r="AX16" i="23" s="1"/>
  <c r="AX47" i="19"/>
  <c r="AX35" i="19" l="1"/>
  <c r="AX18" i="23" s="1"/>
  <c r="AX47" i="20"/>
  <c r="AY27" i="19"/>
  <c r="BA66" i="19"/>
  <c r="BA65" i="19"/>
  <c r="BD57" i="19"/>
  <c r="BA43" i="19"/>
  <c r="BA36" i="20"/>
  <c r="BA40" i="20"/>
  <c r="BA42" i="20"/>
  <c r="BA44" i="20"/>
  <c r="BA37" i="20"/>
  <c r="BA38" i="20"/>
  <c r="BA45" i="20"/>
  <c r="BA43" i="20"/>
  <c r="BA39" i="20"/>
  <c r="BA41" i="20"/>
  <c r="BA46" i="20"/>
  <c r="AX48" i="19"/>
  <c r="AX30" i="9" l="1"/>
  <c r="AX31" i="9" s="1"/>
  <c r="AX32" i="9" s="1"/>
  <c r="AX36" i="19"/>
  <c r="AX28" i="20" s="1"/>
  <c r="AX29" i="20"/>
  <c r="AX31" i="20"/>
  <c r="AX32" i="20"/>
  <c r="AX30" i="20"/>
  <c r="BA59" i="19"/>
  <c r="AX13" i="20" l="1"/>
  <c r="AX25" i="20"/>
  <c r="AX19" i="20"/>
  <c r="AX10" i="20"/>
  <c r="AX8" i="20"/>
  <c r="AX18" i="20"/>
  <c r="AX12" i="20"/>
  <c r="AX23" i="20"/>
  <c r="AX15" i="20"/>
  <c r="AX21" i="20"/>
  <c r="AX26" i="20"/>
  <c r="AX11" i="20"/>
  <c r="AX20" i="20"/>
  <c r="AX16" i="20"/>
  <c r="AX9" i="20"/>
  <c r="AX17" i="20"/>
  <c r="AX27" i="20"/>
  <c r="AX14" i="20"/>
  <c r="AX22" i="20"/>
  <c r="AX24" i="20"/>
  <c r="AX48" i="20" l="1"/>
  <c r="AX38" i="19"/>
  <c r="AX41" i="19" s="1"/>
  <c r="AX40" i="19" l="1"/>
  <c r="AX39" i="19"/>
  <c r="AX42" i="19" s="1"/>
  <c r="AX8" i="26"/>
  <c r="AX33" i="9" l="1"/>
  <c r="AX35" i="9" s="1"/>
  <c r="AX36" i="9" s="1"/>
  <c r="AX14" i="23"/>
  <c r="AX18" i="26" a="1"/>
  <c r="AX18" i="26" s="1"/>
  <c r="AX10" i="26"/>
  <c r="AX11" i="26" s="1"/>
  <c r="AX16" i="26" a="1"/>
  <c r="AX16" i="26" s="1"/>
  <c r="AX17" i="26" s="1"/>
  <c r="AX19" i="26" l="1"/>
  <c r="AX17" i="17"/>
  <c r="AX22" i="16"/>
  <c r="AX45" i="19"/>
  <c r="AX16" i="17"/>
  <c r="AX21" i="16"/>
  <c r="AX44" i="19"/>
  <c r="AX13" i="26"/>
  <c r="AX17" i="23"/>
  <c r="AX19" i="23"/>
  <c r="AX37" i="9"/>
  <c r="AX38" i="9"/>
  <c r="AX20" i="16" s="1"/>
  <c r="AX39" i="9"/>
  <c r="AX40" i="9"/>
  <c r="AX41" i="9"/>
  <c r="AX12" i="22" s="1"/>
  <c r="AX46" i="19" l="1"/>
  <c r="AX49" i="19" s="1"/>
  <c r="AX50" i="19" s="1"/>
  <c r="AX51" i="19" s="1"/>
  <c r="AX18" i="17"/>
  <c r="AX24" i="17" s="1"/>
  <c r="AX25" i="17" s="1"/>
  <c r="AX26" i="17" s="1"/>
  <c r="AX23" i="16"/>
  <c r="AX15" i="26"/>
  <c r="AX17" i="22"/>
  <c r="AX18" i="22" s="1"/>
  <c r="AX19" i="22" s="1"/>
  <c r="AX15" i="23" l="1"/>
  <c r="AX13" i="19"/>
  <c r="AX14" i="19" s="1"/>
  <c r="AX30" i="16"/>
  <c r="AX31" i="16" s="1"/>
  <c r="AX32" i="16" s="1"/>
  <c r="AX7" i="19" s="1"/>
  <c r="AX55" i="19"/>
  <c r="AX8" i="23" s="1"/>
  <c r="AX10" i="19"/>
  <c r="AX27" i="17"/>
  <c r="AX8" i="19"/>
  <c r="AX20" i="22"/>
  <c r="AX9" i="19"/>
  <c r="AX33" i="16" l="1"/>
  <c r="AX6" i="23" s="1"/>
  <c r="AX11" i="19"/>
  <c r="AX53" i="19" s="1"/>
  <c r="AY16" i="19" s="1"/>
  <c r="AX22" i="22"/>
  <c r="AX23" i="22" s="1"/>
  <c r="AX9" i="23"/>
  <c r="AX21" i="22"/>
  <c r="AX7" i="23"/>
  <c r="AX29" i="17"/>
  <c r="AX30" i="17" s="1"/>
  <c r="AX28" i="17"/>
  <c r="AX34" i="16" l="1"/>
  <c r="AX35" i="16"/>
  <c r="AX36" i="16" s="1"/>
  <c r="AY17" i="19"/>
  <c r="AX10" i="23"/>
  <c r="AY21" i="19" l="1"/>
  <c r="AY19" i="19"/>
  <c r="AY20" i="19"/>
  <c r="AX12" i="23"/>
  <c r="AX13" i="23" s="1"/>
  <c r="AX11" i="23"/>
  <c r="AY22" i="19" l="1"/>
  <c r="AY24" i="19" s="1"/>
  <c r="AY14" i="26"/>
  <c r="AY12" i="26"/>
  <c r="G23" i="26" l="1"/>
  <c r="AY30" i="19"/>
  <c r="AY29" i="19"/>
  <c r="AY25" i="19"/>
  <c r="BB56" i="19" l="1"/>
  <c r="AZ27" i="19"/>
  <c r="AY35" i="19"/>
  <c r="AY47" i="20"/>
  <c r="AY47" i="19"/>
  <c r="AY16" i="23"/>
  <c r="G43" i="23" s="1"/>
  <c r="F21" i="25" s="1"/>
  <c r="AY48" i="19" l="1"/>
  <c r="Q145" i="24" s="1"/>
  <c r="Q147" i="24" s="1"/>
  <c r="G182" i="20"/>
  <c r="G92" i="20"/>
  <c r="G137" i="20"/>
  <c r="AY18" i="23"/>
  <c r="G45" i="23" s="1"/>
  <c r="F17" i="25" s="1"/>
  <c r="AY36" i="19"/>
  <c r="AY30" i="9"/>
  <c r="AY31" i="9" s="1"/>
  <c r="AY32" i="9" s="1"/>
  <c r="BB65" i="19"/>
  <c r="BE57" i="19"/>
  <c r="BB66" i="19"/>
  <c r="BB43" i="19"/>
  <c r="BB45" i="20"/>
  <c r="BB38" i="20"/>
  <c r="BB39" i="20"/>
  <c r="BB41" i="20"/>
  <c r="BB42" i="20"/>
  <c r="BB46" i="20"/>
  <c r="BB40" i="20"/>
  <c r="BB43" i="20"/>
  <c r="BB44" i="20"/>
  <c r="BB37" i="20"/>
  <c r="AY28" i="20" l="1"/>
  <c r="AY31" i="20"/>
  <c r="AY33" i="20"/>
  <c r="AY27" i="20"/>
  <c r="AY25" i="20"/>
  <c r="AY26" i="20"/>
  <c r="AY32" i="20"/>
  <c r="AY29" i="20"/>
  <c r="AY30" i="20"/>
  <c r="AY24" i="20"/>
  <c r="AY23" i="20"/>
  <c r="AY22" i="20"/>
  <c r="BB59" i="19"/>
  <c r="AY21" i="20"/>
  <c r="AY19" i="20"/>
  <c r="AY12" i="20"/>
  <c r="AY15" i="20"/>
  <c r="AY17" i="20"/>
  <c r="AY11" i="20"/>
  <c r="AY14" i="20"/>
  <c r="AY9" i="20"/>
  <c r="AY13" i="20"/>
  <c r="AY16" i="20"/>
  <c r="AY20" i="20"/>
  <c r="AY10" i="20"/>
  <c r="AY8" i="20"/>
  <c r="AY18" i="20"/>
  <c r="G120" i="20" l="1"/>
  <c r="G165" i="20"/>
  <c r="G75" i="20"/>
  <c r="G161" i="20"/>
  <c r="G116" i="20"/>
  <c r="G71" i="20"/>
  <c r="G69" i="20"/>
  <c r="G159" i="20"/>
  <c r="G114" i="20"/>
  <c r="G119" i="20"/>
  <c r="G164" i="20"/>
  <c r="G74" i="20"/>
  <c r="G115" i="20"/>
  <c r="G70" i="20"/>
  <c r="G160" i="20"/>
  <c r="G72" i="20"/>
  <c r="G162" i="20"/>
  <c r="G117" i="20"/>
  <c r="G168" i="20"/>
  <c r="G123" i="20"/>
  <c r="G78" i="20"/>
  <c r="G77" i="20"/>
  <c r="G122" i="20"/>
  <c r="G167" i="20"/>
  <c r="G166" i="20"/>
  <c r="G121" i="20"/>
  <c r="G76" i="20"/>
  <c r="G73" i="20"/>
  <c r="G163" i="20"/>
  <c r="G118" i="20"/>
  <c r="G157" i="20"/>
  <c r="G67" i="20"/>
  <c r="G112" i="20"/>
  <c r="G158" i="20"/>
  <c r="G68" i="20"/>
  <c r="G113" i="20"/>
  <c r="G151" i="20"/>
  <c r="G106" i="20"/>
  <c r="G61" i="20"/>
  <c r="G55" i="20"/>
  <c r="G145" i="20"/>
  <c r="G100" i="20"/>
  <c r="G58" i="20"/>
  <c r="G103" i="20"/>
  <c r="G148" i="20"/>
  <c r="G155" i="20"/>
  <c r="G65" i="20"/>
  <c r="G110" i="20"/>
  <c r="G144" i="20"/>
  <c r="G99" i="20"/>
  <c r="G54" i="20"/>
  <c r="G109" i="20"/>
  <c r="G154" i="20"/>
  <c r="G64" i="20"/>
  <c r="G59" i="20"/>
  <c r="G149" i="20"/>
  <c r="G104" i="20"/>
  <c r="G56" i="20"/>
  <c r="G146" i="20"/>
  <c r="G101" i="20"/>
  <c r="G153" i="20"/>
  <c r="G63" i="20"/>
  <c r="G108" i="20"/>
  <c r="G105" i="20"/>
  <c r="G60" i="20"/>
  <c r="G150" i="20"/>
  <c r="G66" i="20"/>
  <c r="G111" i="20"/>
  <c r="G156" i="20"/>
  <c r="G152" i="20"/>
  <c r="G62" i="20"/>
  <c r="G107" i="20"/>
  <c r="AY48" i="20"/>
  <c r="AY38" i="19"/>
  <c r="G53" i="20"/>
  <c r="G98" i="20"/>
  <c r="G143" i="20"/>
  <c r="G102" i="20"/>
  <c r="G57" i="20"/>
  <c r="G147" i="20"/>
  <c r="G138" i="20" l="1"/>
  <c r="G93" i="20"/>
  <c r="AY39" i="19"/>
  <c r="AY41" i="19"/>
  <c r="AY40" i="19"/>
  <c r="G183" i="20"/>
  <c r="AY8" i="26" l="1"/>
  <c r="AY42" i="19"/>
  <c r="Q125" i="24" s="1"/>
  <c r="AY33" i="9"/>
  <c r="AY14" i="23"/>
  <c r="Q110" i="24"/>
  <c r="Q72" i="24"/>
  <c r="Q75" i="24" s="1"/>
  <c r="AY18" i="26" l="1" a="1"/>
  <c r="AY18" i="26" s="1"/>
  <c r="AY10" i="26"/>
  <c r="AY11" i="26" s="1"/>
  <c r="AY16" i="26" a="1"/>
  <c r="AY16" i="26" s="1"/>
  <c r="Q171" i="24"/>
  <c r="AY35" i="9"/>
  <c r="AY36" i="9" s="1"/>
  <c r="AY41" i="9" s="1"/>
  <c r="G40" i="23"/>
  <c r="F18" i="25" s="1"/>
  <c r="F50" i="31" s="1"/>
  <c r="Q172" i="24"/>
  <c r="F51" i="31" l="1"/>
  <c r="F49" i="31"/>
  <c r="AY19" i="26"/>
  <c r="AY17" i="17"/>
  <c r="AY22" i="16"/>
  <c r="AY45" i="19"/>
  <c r="AY16" i="17"/>
  <c r="AY21" i="16"/>
  <c r="AY44" i="19"/>
  <c r="AY17" i="26"/>
  <c r="AY13" i="26"/>
  <c r="AY17" i="23"/>
  <c r="G44" i="23" s="1"/>
  <c r="F22" i="25" s="1"/>
  <c r="F40" i="31" s="1"/>
  <c r="G21" i="26"/>
  <c r="AY39" i="9"/>
  <c r="Q173" i="24"/>
  <c r="AY38" i="9"/>
  <c r="AY20" i="16" s="1"/>
  <c r="AY19" i="23"/>
  <c r="AY37" i="9"/>
  <c r="AY40" i="9"/>
  <c r="AY12" i="22"/>
  <c r="Q139" i="24"/>
  <c r="F41" i="31" l="1"/>
  <c r="F45" i="31" s="1"/>
  <c r="F39" i="31"/>
  <c r="F43" i="31" s="1"/>
  <c r="Q113" i="24"/>
  <c r="Q114" i="24" s="1"/>
  <c r="Q116" i="24" s="1"/>
  <c r="Q117" i="24" s="1"/>
  <c r="AY46" i="19"/>
  <c r="Q126" i="24" s="1"/>
  <c r="AY23" i="16"/>
  <c r="AY30" i="16" s="1"/>
  <c r="AY31" i="16" s="1"/>
  <c r="Q153" i="24" s="1"/>
  <c r="AY18" i="17"/>
  <c r="AY24" i="17" s="1"/>
  <c r="AY25" i="17" s="1"/>
  <c r="Q154" i="24" s="1"/>
  <c r="Q128" i="24"/>
  <c r="F44" i="31"/>
  <c r="Q137" i="24"/>
  <c r="AY15" i="26"/>
  <c r="G22" i="26"/>
  <c r="Q136" i="24"/>
  <c r="AY17" i="22"/>
  <c r="AY18" i="22" s="1"/>
  <c r="Q156" i="24" s="1"/>
  <c r="Q138" i="24"/>
  <c r="AY15" i="23" l="1"/>
  <c r="G41" i="23" s="1"/>
  <c r="F19" i="25" s="1"/>
  <c r="F53" i="31" s="1"/>
  <c r="Q140" i="24"/>
  <c r="AY19" i="22"/>
  <c r="AY20" i="22" s="1"/>
  <c r="AY49" i="19"/>
  <c r="AY50" i="19" s="1"/>
  <c r="Q155" i="24" s="1"/>
  <c r="Q157" i="24" s="1"/>
  <c r="AY13" i="19"/>
  <c r="AY14" i="19" s="1"/>
  <c r="AY32" i="16"/>
  <c r="AY26" i="17"/>
  <c r="F54" i="31" l="1"/>
  <c r="F52" i="31"/>
  <c r="Q129" i="24"/>
  <c r="Q131" i="24" s="1"/>
  <c r="Q159" i="24"/>
  <c r="AY9" i="19"/>
  <c r="Q176" i="24"/>
  <c r="AY7" i="19"/>
  <c r="AY33" i="16"/>
  <c r="AY9" i="23"/>
  <c r="AY22" i="22"/>
  <c r="AY23" i="22" s="1"/>
  <c r="AY21" i="22"/>
  <c r="AY8" i="19"/>
  <c r="AY27" i="17"/>
  <c r="AY51" i="19"/>
  <c r="Q149" i="24" l="1"/>
  <c r="Q150" i="24" s="1"/>
  <c r="Q132" i="24"/>
  <c r="AY55" i="19"/>
  <c r="AY8" i="23" s="1"/>
  <c r="AY10" i="19"/>
  <c r="AY11" i="19" s="1"/>
  <c r="AY53" i="19" s="1"/>
  <c r="AZ16" i="19" s="1"/>
  <c r="AY6" i="23"/>
  <c r="AY35" i="16"/>
  <c r="AY36" i="16" s="1"/>
  <c r="AY34" i="16"/>
  <c r="AY7" i="23"/>
  <c r="AY29" i="17"/>
  <c r="AY30" i="17" s="1"/>
  <c r="AY28" i="17"/>
  <c r="Q162" i="24" l="1"/>
  <c r="Q175" i="24" s="1"/>
  <c r="Q177" i="24" s="1"/>
  <c r="AY10" i="23"/>
  <c r="AZ17" i="19"/>
  <c r="Q163" i="24" l="1"/>
  <c r="AZ21" i="19"/>
  <c r="AZ19" i="19"/>
  <c r="AZ20" i="19"/>
  <c r="AY12" i="23"/>
  <c r="AY13" i="23" s="1"/>
  <c r="G42" i="23"/>
  <c r="F20" i="25" s="1"/>
  <c r="F56" i="31" s="1"/>
  <c r="AY11" i="23"/>
  <c r="F57" i="31" l="1"/>
  <c r="F55" i="31"/>
  <c r="AZ22" i="19"/>
  <c r="AZ24" i="19" s="1"/>
  <c r="AZ12" i="26"/>
  <c r="AZ14" i="26"/>
  <c r="AZ29" i="19" l="1"/>
  <c r="AZ30" i="19"/>
  <c r="AZ25" i="19"/>
  <c r="BC56" i="19" l="1"/>
  <c r="BA27" i="19"/>
  <c r="AZ35" i="19"/>
  <c r="AZ47" i="20"/>
  <c r="AZ47" i="19"/>
  <c r="AZ16" i="23"/>
  <c r="AZ48" i="19" l="1"/>
  <c r="AZ18" i="23"/>
  <c r="AZ36" i="19"/>
  <c r="AZ30" i="9"/>
  <c r="AZ31" i="9" s="1"/>
  <c r="AZ32" i="9" s="1"/>
  <c r="BC66" i="19"/>
  <c r="BC65" i="19"/>
  <c r="BF57" i="19"/>
  <c r="BC43" i="19"/>
  <c r="BC38" i="20"/>
  <c r="BC43" i="20"/>
  <c r="BC40" i="20"/>
  <c r="BC41" i="20"/>
  <c r="BC46" i="20"/>
  <c r="BC42" i="20"/>
  <c r="BC45" i="20"/>
  <c r="BC44" i="20"/>
  <c r="BC39" i="20"/>
  <c r="AZ32" i="20" l="1"/>
  <c r="AZ29" i="20"/>
  <c r="AZ31" i="20"/>
  <c r="AZ28" i="20"/>
  <c r="AZ27" i="20"/>
  <c r="AZ33" i="20"/>
  <c r="AZ25" i="20"/>
  <c r="AZ34" i="20"/>
  <c r="AZ30" i="20"/>
  <c r="AZ26" i="20"/>
  <c r="AZ23" i="20"/>
  <c r="AZ24" i="20"/>
  <c r="AZ22" i="20"/>
  <c r="AZ17" i="20"/>
  <c r="AZ11" i="20"/>
  <c r="AZ19" i="20"/>
  <c r="AZ20" i="20"/>
  <c r="AZ9" i="20"/>
  <c r="AZ13" i="20"/>
  <c r="AZ16" i="20"/>
  <c r="AZ10" i="20"/>
  <c r="AZ21" i="20"/>
  <c r="AZ14" i="20"/>
  <c r="AZ8" i="20"/>
  <c r="AZ18" i="20"/>
  <c r="AZ15" i="20"/>
  <c r="AZ12" i="20"/>
  <c r="BC59" i="19"/>
  <c r="AZ48" i="20" l="1"/>
  <c r="AZ38" i="19"/>
  <c r="AZ39" i="19" l="1"/>
  <c r="AZ40" i="19"/>
  <c r="AZ41" i="19"/>
  <c r="AZ8" i="26" l="1"/>
  <c r="AZ42" i="19"/>
  <c r="AZ14" i="23"/>
  <c r="AZ33" i="9"/>
  <c r="AZ18" i="26" l="1" a="1"/>
  <c r="AZ18" i="26" s="1"/>
  <c r="AZ10" i="26"/>
  <c r="AZ11" i="26" s="1"/>
  <c r="AZ16" i="26" a="1"/>
  <c r="AZ16" i="26" s="1"/>
  <c r="AZ35" i="9"/>
  <c r="AZ36" i="9" s="1"/>
  <c r="AZ40" i="9" s="1"/>
  <c r="AZ19" i="26" l="1"/>
  <c r="AZ17" i="17"/>
  <c r="AZ22" i="16"/>
  <c r="AZ45" i="19"/>
  <c r="AZ16" i="17"/>
  <c r="AZ21" i="16"/>
  <c r="AZ44" i="19"/>
  <c r="AZ17" i="26"/>
  <c r="AZ17" i="23"/>
  <c r="AZ13" i="26"/>
  <c r="AZ41" i="9"/>
  <c r="AZ12" i="22" s="1"/>
  <c r="AZ39" i="9"/>
  <c r="AZ38" i="9"/>
  <c r="AZ20" i="16" s="1"/>
  <c r="AZ19" i="23"/>
  <c r="AZ37" i="9"/>
  <c r="AZ46" i="19" l="1"/>
  <c r="AZ49" i="19" s="1"/>
  <c r="AZ50" i="19" s="1"/>
  <c r="AZ51" i="19" s="1"/>
  <c r="AZ23" i="16"/>
  <c r="AZ18" i="17"/>
  <c r="AZ24" i="17" s="1"/>
  <c r="AZ25" i="17" s="1"/>
  <c r="AZ26" i="17" s="1"/>
  <c r="AZ15" i="26"/>
  <c r="AZ17" i="22"/>
  <c r="AZ18" i="22" s="1"/>
  <c r="AZ19" i="22" s="1"/>
  <c r="AZ15" i="23" l="1"/>
  <c r="AZ30" i="16"/>
  <c r="AZ31" i="16" s="1"/>
  <c r="AZ32" i="16" s="1"/>
  <c r="AZ33" i="16" s="1"/>
  <c r="AZ13" i="19"/>
  <c r="AZ14" i="19" s="1"/>
  <c r="AZ20" i="22"/>
  <c r="AZ9" i="19"/>
  <c r="AZ55" i="19"/>
  <c r="AZ8" i="23" s="1"/>
  <c r="AZ10" i="19"/>
  <c r="AZ27" i="17"/>
  <c r="AZ8" i="19"/>
  <c r="AZ7" i="19" l="1"/>
  <c r="AZ11" i="19" s="1"/>
  <c r="AZ53" i="19" s="1"/>
  <c r="BA16" i="19" s="1"/>
  <c r="AZ9" i="23"/>
  <c r="AZ22" i="22"/>
  <c r="AZ23" i="22" s="1"/>
  <c r="AZ21" i="22"/>
  <c r="AZ6" i="23"/>
  <c r="AZ35" i="16"/>
  <c r="AZ36" i="16" s="1"/>
  <c r="AZ34" i="16"/>
  <c r="AZ7" i="23"/>
  <c r="AZ29" i="17"/>
  <c r="AZ30" i="17" s="1"/>
  <c r="AZ28" i="17"/>
  <c r="AZ10" i="23" l="1"/>
  <c r="BA17" i="19"/>
  <c r="BA21" i="19" l="1"/>
  <c r="BA19" i="19"/>
  <c r="BA20" i="19"/>
  <c r="AZ12" i="23"/>
  <c r="AZ13" i="23" s="1"/>
  <c r="AZ11" i="23"/>
  <c r="BA22" i="19" l="1"/>
  <c r="BA24" i="19" s="1"/>
  <c r="BA12" i="26"/>
  <c r="BA14" i="26"/>
  <c r="BA30" i="19" l="1"/>
  <c r="BA29" i="19"/>
  <c r="BA25" i="19"/>
  <c r="BB27" i="19" l="1"/>
  <c r="BD56" i="19"/>
  <c r="BA35" i="19"/>
  <c r="BA47" i="20"/>
  <c r="BA47" i="19"/>
  <c r="BA16" i="23"/>
  <c r="BA48" i="19" l="1"/>
  <c r="BA18" i="23"/>
  <c r="BA36" i="19"/>
  <c r="BA30" i="9"/>
  <c r="BA31" i="9" s="1"/>
  <c r="BA32" i="9" s="1"/>
  <c r="BD66" i="19"/>
  <c r="BD43" i="19"/>
  <c r="BG57" i="19"/>
  <c r="BD65" i="19"/>
  <c r="BD45" i="20"/>
  <c r="BD41" i="20"/>
  <c r="BD43" i="20"/>
  <c r="BD44" i="20"/>
  <c r="BD42" i="20"/>
  <c r="BD39" i="20"/>
  <c r="BD46" i="20"/>
  <c r="BD40" i="20"/>
  <c r="BA32" i="20" l="1"/>
  <c r="BA33" i="20"/>
  <c r="BA29" i="20"/>
  <c r="BA28" i="20"/>
  <c r="BA26" i="20"/>
  <c r="BA30" i="20"/>
  <c r="BA27" i="20"/>
  <c r="BA35" i="20"/>
  <c r="BA31" i="20"/>
  <c r="BA34" i="20"/>
  <c r="BA25" i="20"/>
  <c r="BA23" i="20"/>
  <c r="BA22" i="20"/>
  <c r="BA24" i="20"/>
  <c r="BA12" i="20"/>
  <c r="BA15" i="20"/>
  <c r="BA8" i="20"/>
  <c r="BA19" i="20"/>
  <c r="BA13" i="20"/>
  <c r="BA18" i="20"/>
  <c r="BA14" i="20"/>
  <c r="BA21" i="20"/>
  <c r="BA9" i="20"/>
  <c r="BA16" i="20"/>
  <c r="BA17" i="20"/>
  <c r="BA11" i="20"/>
  <c r="BA10" i="20"/>
  <c r="BA20" i="20"/>
  <c r="BD59" i="19"/>
  <c r="BA48" i="20" l="1"/>
  <c r="BA38" i="19"/>
  <c r="BA40" i="19" l="1"/>
  <c r="BA39" i="19"/>
  <c r="BA41" i="19"/>
  <c r="BA8" i="26" l="1"/>
  <c r="BA42" i="19"/>
  <c r="BA33" i="9"/>
  <c r="BA14" i="23"/>
  <c r="BA18" i="26" l="1" a="1"/>
  <c r="BA18" i="26" s="1"/>
  <c r="BA10" i="26"/>
  <c r="BA11" i="26" s="1"/>
  <c r="BA16" i="26" a="1"/>
  <c r="BA16" i="26" s="1"/>
  <c r="BA35" i="9"/>
  <c r="BA36" i="9" s="1"/>
  <c r="BA19" i="26" l="1"/>
  <c r="BA17" i="17"/>
  <c r="BA22" i="16"/>
  <c r="BA45" i="19"/>
  <c r="BA16" i="17"/>
  <c r="BA21" i="16"/>
  <c r="BA44" i="19"/>
  <c r="BA17" i="26"/>
  <c r="BA13" i="26"/>
  <c r="BA17" i="23"/>
  <c r="BA19" i="23"/>
  <c r="BA37" i="9"/>
  <c r="BA38" i="9"/>
  <c r="BA40" i="9"/>
  <c r="BA41" i="9"/>
  <c r="BA39" i="9"/>
  <c r="BA18" i="17" l="1"/>
  <c r="BA46" i="19"/>
  <c r="BA15" i="26"/>
  <c r="BA12" i="22"/>
  <c r="BA20" i="16"/>
  <c r="BA23" i="16" s="1"/>
  <c r="BA17" i="22" l="1"/>
  <c r="BA18" i="22" s="1"/>
  <c r="BA49" i="19"/>
  <c r="BA50" i="19" s="1"/>
  <c r="BA51" i="19" s="1"/>
  <c r="BA15" i="23"/>
  <c r="BA30" i="16"/>
  <c r="BA31" i="16" s="1"/>
  <c r="BA32" i="16" s="1"/>
  <c r="BA13" i="19"/>
  <c r="BA14" i="19" s="1"/>
  <c r="BA24" i="17"/>
  <c r="BA25" i="17" s="1"/>
  <c r="BA55" i="19" l="1"/>
  <c r="BA8" i="23" s="1"/>
  <c r="BA10" i="19"/>
  <c r="BA7" i="19"/>
  <c r="BA33" i="16"/>
  <c r="BA26" i="17"/>
  <c r="BA19" i="22"/>
  <c r="BA20" i="22" l="1"/>
  <c r="BA9" i="19"/>
  <c r="BA8" i="19"/>
  <c r="BA27" i="17"/>
  <c r="BA6" i="23"/>
  <c r="BA35" i="16"/>
  <c r="BA36" i="16" s="1"/>
  <c r="BA34" i="16"/>
  <c r="BA11" i="19" l="1"/>
  <c r="BA53" i="19" s="1"/>
  <c r="BA9" i="23"/>
  <c r="BA22" i="22"/>
  <c r="BA23" i="22" s="1"/>
  <c r="BA21" i="22"/>
  <c r="BA7" i="23"/>
  <c r="BA29" i="17"/>
  <c r="BA30" i="17" s="1"/>
  <c r="BA28" i="17"/>
  <c r="BB16" i="19" l="1"/>
  <c r="BB17" i="19" s="1"/>
  <c r="BA10" i="23"/>
  <c r="BA11" i="23" s="1"/>
  <c r="BB20" i="19" l="1"/>
  <c r="BB21" i="19"/>
  <c r="BB19" i="19"/>
  <c r="BA12" i="23"/>
  <c r="BA13" i="23" s="1"/>
  <c r="BB14" i="26" l="1"/>
  <c r="BB12" i="26"/>
  <c r="BB22" i="19"/>
  <c r="BB24" i="19" s="1"/>
  <c r="BB30" i="19" s="1"/>
  <c r="BB29" i="19" l="1"/>
  <c r="BB47" i="19" s="1"/>
  <c r="BB25" i="19"/>
  <c r="BE56" i="19" s="1"/>
  <c r="BC27" i="19" l="1"/>
  <c r="BB16" i="23"/>
  <c r="BB35" i="19"/>
  <c r="BB18" i="23" s="1"/>
  <c r="BB47" i="20"/>
  <c r="BH57" i="19"/>
  <c r="BE66" i="19"/>
  <c r="BE43" i="19"/>
  <c r="BE65" i="19"/>
  <c r="BE41" i="20"/>
  <c r="BE42" i="20"/>
  <c r="BE43" i="20"/>
  <c r="BE44" i="20"/>
  <c r="BE45" i="20"/>
  <c r="BE46" i="20"/>
  <c r="BE40" i="20"/>
  <c r="BB48" i="19"/>
  <c r="BB30" i="9" l="1"/>
  <c r="BB31" i="9" s="1"/>
  <c r="BB32" i="9" s="1"/>
  <c r="BB36" i="19"/>
  <c r="BB24" i="20" s="1"/>
  <c r="BB34" i="20"/>
  <c r="BB36" i="20"/>
  <c r="BB35" i="20"/>
  <c r="BB33" i="20"/>
  <c r="BB32" i="20"/>
  <c r="BB29" i="20"/>
  <c r="BB22" i="20"/>
  <c r="BB25" i="20"/>
  <c r="BE59" i="19"/>
  <c r="BB14" i="20"/>
  <c r="BB15" i="20"/>
  <c r="BB12" i="20"/>
  <c r="BB11" i="20" l="1"/>
  <c r="BB16" i="20"/>
  <c r="BB17" i="20"/>
  <c r="BB30" i="20"/>
  <c r="BB23" i="20"/>
  <c r="BB28" i="20"/>
  <c r="BB18" i="20"/>
  <c r="BB10" i="20"/>
  <c r="BB13" i="20"/>
  <c r="BB8" i="20"/>
  <c r="BB20" i="20"/>
  <c r="BB31" i="20"/>
  <c r="BB19" i="20"/>
  <c r="BB26" i="20"/>
  <c r="BB27" i="20"/>
  <c r="BB21" i="20"/>
  <c r="BB9" i="20"/>
  <c r="BB48" i="20" l="1"/>
  <c r="BB38" i="19"/>
  <c r="BB39" i="19" s="1"/>
  <c r="BB41" i="19" l="1"/>
  <c r="BB8" i="26" s="1"/>
  <c r="BB40" i="19"/>
  <c r="BB42" i="19"/>
  <c r="BB14" i="23"/>
  <c r="BB33" i="9"/>
  <c r="BB18" i="26" l="1" a="1"/>
  <c r="BB18" i="26" s="1"/>
  <c r="BB10" i="26"/>
  <c r="BB11" i="26" s="1"/>
  <c r="BB16" i="26" a="1"/>
  <c r="BB16" i="26" s="1"/>
  <c r="BB35" i="9"/>
  <c r="BB36" i="9" s="1"/>
  <c r="BB39" i="9" s="1"/>
  <c r="BB19" i="26" l="1"/>
  <c r="BB17" i="17"/>
  <c r="BB22" i="16"/>
  <c r="BB45" i="19"/>
  <c r="BB16" i="17"/>
  <c r="BB21" i="16"/>
  <c r="BB44" i="19"/>
  <c r="BB17" i="26"/>
  <c r="BB13" i="26"/>
  <c r="BB17" i="23"/>
  <c r="BB40" i="9"/>
  <c r="BB38" i="9"/>
  <c r="BB20" i="16" s="1"/>
  <c r="BB41" i="9"/>
  <c r="BB19" i="23"/>
  <c r="BB37" i="9"/>
  <c r="BB18" i="17" l="1"/>
  <c r="BB24" i="17" s="1"/>
  <c r="BB25" i="17" s="1"/>
  <c r="BB23" i="16"/>
  <c r="BB30" i="16" s="1"/>
  <c r="BB31" i="16" s="1"/>
  <c r="BB46" i="19"/>
  <c r="BB49" i="19" s="1"/>
  <c r="BB50" i="19" s="1"/>
  <c r="BB15" i="26"/>
  <c r="BB12" i="22"/>
  <c r="BB15" i="23" l="1"/>
  <c r="BB13" i="19"/>
  <c r="BB14" i="19" s="1"/>
  <c r="BB32" i="16"/>
  <c r="BB17" i="22"/>
  <c r="BB18" i="22" s="1"/>
  <c r="BB26" i="17"/>
  <c r="BB51" i="19"/>
  <c r="BB8" i="19" l="1"/>
  <c r="BB27" i="17"/>
  <c r="BB55" i="19"/>
  <c r="BB8" i="23" s="1"/>
  <c r="BB10" i="19"/>
  <c r="BB19" i="22"/>
  <c r="BB7" i="19"/>
  <c r="BB33" i="16"/>
  <c r="BB6" i="23" l="1"/>
  <c r="BB35" i="16"/>
  <c r="BB36" i="16" s="1"/>
  <c r="BB34" i="16"/>
  <c r="BB7" i="23"/>
  <c r="BB29" i="17"/>
  <c r="BB30" i="17" s="1"/>
  <c r="BB28" i="17"/>
  <c r="BB20" i="22"/>
  <c r="BB9" i="19"/>
  <c r="BB11" i="19" s="1"/>
  <c r="BB53" i="19" s="1"/>
  <c r="BC16" i="19" s="1"/>
  <c r="BC17" i="19" l="1"/>
  <c r="BB22" i="22"/>
  <c r="BB23" i="22" s="1"/>
  <c r="BB9" i="23"/>
  <c r="BB10" i="23" s="1"/>
  <c r="BB21" i="22"/>
  <c r="BC19" i="19" l="1"/>
  <c r="BC20" i="19"/>
  <c r="BC21" i="19"/>
  <c r="BB12" i="23"/>
  <c r="BB13" i="23" s="1"/>
  <c r="BB11" i="23"/>
  <c r="BC22" i="19" l="1"/>
  <c r="BC24" i="19" s="1"/>
  <c r="BC12" i="26"/>
  <c r="BC14" i="26"/>
  <c r="BC30" i="19" l="1"/>
  <c r="BC29" i="19"/>
  <c r="BC25" i="19"/>
  <c r="BF56" i="19" l="1"/>
  <c r="BD27" i="19"/>
  <c r="BC35" i="19"/>
  <c r="BC47" i="20"/>
  <c r="BC47" i="19"/>
  <c r="BC16" i="23"/>
  <c r="BC18" i="23" l="1"/>
  <c r="BC36" i="19"/>
  <c r="BC30" i="9"/>
  <c r="BC31" i="9" s="1"/>
  <c r="BC32" i="9" s="1"/>
  <c r="BC48" i="19"/>
  <c r="BI57" i="19"/>
  <c r="BF65" i="19"/>
  <c r="BF66" i="19"/>
  <c r="BF43" i="19"/>
  <c r="BF44" i="20"/>
  <c r="BF42" i="20"/>
  <c r="BF45" i="20"/>
  <c r="BF46" i="20"/>
  <c r="BF43" i="20"/>
  <c r="BF41" i="20"/>
  <c r="BC33" i="20" l="1"/>
  <c r="BC31" i="20"/>
  <c r="BC28" i="20"/>
  <c r="BC30" i="20"/>
  <c r="BC37" i="20"/>
  <c r="BC36" i="20"/>
  <c r="BC34" i="20"/>
  <c r="BC29" i="20"/>
  <c r="BC32" i="20"/>
  <c r="BC35" i="20"/>
  <c r="BC26" i="20"/>
  <c r="BC24" i="20"/>
  <c r="BC27" i="20"/>
  <c r="BC25" i="20"/>
  <c r="BC22" i="20"/>
  <c r="BC23" i="20"/>
  <c r="BF59" i="19"/>
  <c r="BC8" i="20"/>
  <c r="BC9" i="20"/>
  <c r="BC20" i="20"/>
  <c r="BC19" i="20"/>
  <c r="BC10" i="20"/>
  <c r="BC13" i="20"/>
  <c r="BC17" i="20"/>
  <c r="BC16" i="20"/>
  <c r="BC14" i="20"/>
  <c r="BC18" i="20"/>
  <c r="BC15" i="20"/>
  <c r="BC21" i="20"/>
  <c r="BC11" i="20"/>
  <c r="BC12" i="20"/>
  <c r="BC48" i="20" l="1"/>
  <c r="BC38" i="19"/>
  <c r="BC41" i="19" l="1"/>
  <c r="BC40" i="19"/>
  <c r="BC39" i="19"/>
  <c r="BC8" i="26" l="1"/>
  <c r="BC42" i="19"/>
  <c r="BC14" i="23"/>
  <c r="BC33" i="9"/>
  <c r="BC18" i="26" l="1" a="1"/>
  <c r="BC18" i="26" s="1"/>
  <c r="BC10" i="26"/>
  <c r="BC11" i="26" s="1"/>
  <c r="BC16" i="26" a="1"/>
  <c r="BC16" i="26" s="1"/>
  <c r="BC17" i="26" s="1"/>
  <c r="BC35" i="9"/>
  <c r="BC36" i="9" s="1"/>
  <c r="BC41" i="9" s="1"/>
  <c r="BC19" i="26" l="1"/>
  <c r="BC17" i="17"/>
  <c r="BC22" i="16"/>
  <c r="BC45" i="19"/>
  <c r="BC13" i="26"/>
  <c r="BC17" i="23"/>
  <c r="BC16" i="17"/>
  <c r="BC21" i="16"/>
  <c r="BC44" i="19"/>
  <c r="BC38" i="9"/>
  <c r="BC20" i="16" s="1"/>
  <c r="BC19" i="23"/>
  <c r="BC37" i="9"/>
  <c r="BC12" i="22"/>
  <c r="BC39" i="9"/>
  <c r="BC40" i="9"/>
  <c r="BC23" i="16" l="1"/>
  <c r="BC30" i="16" s="1"/>
  <c r="BC31" i="16" s="1"/>
  <c r="BC32" i="16" s="1"/>
  <c r="BC46" i="19"/>
  <c r="BC49" i="19" s="1"/>
  <c r="BC50" i="19" s="1"/>
  <c r="BC51" i="19" s="1"/>
  <c r="BC18" i="17"/>
  <c r="BC15" i="26"/>
  <c r="BC17" i="22"/>
  <c r="BC18" i="22" s="1"/>
  <c r="BC19" i="22" s="1"/>
  <c r="BC13" i="19" l="1"/>
  <c r="BC14" i="19" s="1"/>
  <c r="BC20" i="22"/>
  <c r="BC9" i="19"/>
  <c r="BC55" i="19"/>
  <c r="BC8" i="23" s="1"/>
  <c r="BC10" i="19"/>
  <c r="BC24" i="17"/>
  <c r="BC25" i="17" s="1"/>
  <c r="BC26" i="17" s="1"/>
  <c r="BC7" i="19"/>
  <c r="BC33" i="16"/>
  <c r="BC15" i="23"/>
  <c r="BC8" i="19" l="1"/>
  <c r="BC11" i="19" s="1"/>
  <c r="BC53" i="19" s="1"/>
  <c r="BD16" i="19" s="1"/>
  <c r="BC27" i="17"/>
  <c r="BC6" i="23"/>
  <c r="BC35" i="16"/>
  <c r="BC36" i="16" s="1"/>
  <c r="BC34" i="16"/>
  <c r="BC22" i="22"/>
  <c r="BC23" i="22" s="1"/>
  <c r="BC9" i="23"/>
  <c r="BC21" i="22"/>
  <c r="BD17" i="19" l="1"/>
  <c r="BC7" i="23"/>
  <c r="BC10" i="23" s="1"/>
  <c r="BC29" i="17"/>
  <c r="BC30" i="17" s="1"/>
  <c r="BC28" i="17"/>
  <c r="BD21" i="19" l="1"/>
  <c r="BD20" i="19"/>
  <c r="BD19" i="19"/>
  <c r="BC12" i="23"/>
  <c r="BC13" i="23" s="1"/>
  <c r="BC11" i="23"/>
  <c r="BD22" i="19" l="1"/>
  <c r="BD24" i="19" s="1"/>
  <c r="BD12" i="26"/>
  <c r="BD14" i="26"/>
  <c r="BD30" i="19" l="1"/>
  <c r="BD29" i="19"/>
  <c r="BD25" i="19"/>
  <c r="BD47" i="19" l="1"/>
  <c r="BD16" i="23"/>
  <c r="BG56" i="19"/>
  <c r="BE27" i="19"/>
  <c r="BD35" i="19"/>
  <c r="BD47" i="20"/>
  <c r="BD18" i="23" l="1"/>
  <c r="BD36" i="19"/>
  <c r="BD30" i="9"/>
  <c r="BD31" i="9" s="1"/>
  <c r="BD32" i="9" s="1"/>
  <c r="BG66" i="19"/>
  <c r="BG65" i="19"/>
  <c r="BG43" i="19"/>
  <c r="BJ57" i="19"/>
  <c r="BG44" i="20"/>
  <c r="BG43" i="20"/>
  <c r="BG45" i="20"/>
  <c r="BG46" i="20"/>
  <c r="BG42" i="20"/>
  <c r="BD48" i="19"/>
  <c r="BD29" i="20" l="1"/>
  <c r="BD35" i="20"/>
  <c r="BD38" i="20"/>
  <c r="BD37" i="20"/>
  <c r="BD36" i="20"/>
  <c r="BD33" i="20"/>
  <c r="BD32" i="20"/>
  <c r="BD34" i="20"/>
  <c r="BD31" i="20"/>
  <c r="BD30" i="20"/>
  <c r="BD28" i="20"/>
  <c r="BD26" i="20"/>
  <c r="BD25" i="20"/>
  <c r="BD27" i="20"/>
  <c r="BD23" i="20"/>
  <c r="BD22" i="20"/>
  <c r="BD24" i="20"/>
  <c r="BG59" i="19"/>
  <c r="BD15" i="20"/>
  <c r="BD10" i="20"/>
  <c r="BD16" i="20"/>
  <c r="BD21" i="20"/>
  <c r="BD14" i="20"/>
  <c r="BD20" i="20"/>
  <c r="BD9" i="20"/>
  <c r="BD17" i="20"/>
  <c r="BD19" i="20"/>
  <c r="BD12" i="20"/>
  <c r="BD13" i="20"/>
  <c r="BD11" i="20"/>
  <c r="BD8" i="20"/>
  <c r="BD18" i="20"/>
  <c r="BD48" i="20" l="1"/>
  <c r="BD38" i="19"/>
  <c r="BD41" i="19" l="1"/>
  <c r="BD40" i="19"/>
  <c r="BD39" i="19"/>
  <c r="BD8" i="26" l="1"/>
  <c r="BD42" i="19"/>
  <c r="BD14" i="23"/>
  <c r="BD33" i="9"/>
  <c r="BD18" i="26" l="1" a="1"/>
  <c r="BD18" i="26" s="1"/>
  <c r="BD10" i="26"/>
  <c r="BD11" i="26" s="1"/>
  <c r="BD16" i="26" a="1"/>
  <c r="BD16" i="26" s="1"/>
  <c r="BD17" i="26" s="1"/>
  <c r="BD35" i="9"/>
  <c r="BD36" i="9" s="1"/>
  <c r="BD39" i="9" s="1"/>
  <c r="BD19" i="26" l="1"/>
  <c r="BD17" i="17"/>
  <c r="BD22" i="16"/>
  <c r="BD45" i="19"/>
  <c r="BD13" i="26"/>
  <c r="BD17" i="23"/>
  <c r="BD16" i="17"/>
  <c r="BD21" i="16"/>
  <c r="BD44" i="19"/>
  <c r="BD40" i="9"/>
  <c r="BD41" i="9"/>
  <c r="BD12" i="22" s="1"/>
  <c r="BD38" i="9"/>
  <c r="BD20" i="16" s="1"/>
  <c r="BD19" i="23"/>
  <c r="BD37" i="9"/>
  <c r="BD46" i="19" l="1"/>
  <c r="BD18" i="17"/>
  <c r="BD24" i="17" s="1"/>
  <c r="BD25" i="17" s="1"/>
  <c r="BD26" i="17" s="1"/>
  <c r="BD23" i="16"/>
  <c r="BD30" i="16" s="1"/>
  <c r="BD31" i="16" s="1"/>
  <c r="BD32" i="16" s="1"/>
  <c r="BD15" i="26"/>
  <c r="BD17" i="22"/>
  <c r="BD18" i="22" s="1"/>
  <c r="BD19" i="22" s="1"/>
  <c r="BD15" i="23" l="1"/>
  <c r="BD49" i="19"/>
  <c r="BD50" i="19" s="1"/>
  <c r="BD51" i="19" s="1"/>
  <c r="BD13" i="19"/>
  <c r="BD14" i="19" s="1"/>
  <c r="BD7" i="19"/>
  <c r="BD33" i="16"/>
  <c r="BD8" i="19"/>
  <c r="BD27" i="17"/>
  <c r="BD20" i="22"/>
  <c r="BD9" i="19"/>
  <c r="BD55" i="19" l="1"/>
  <c r="BD8" i="23" s="1"/>
  <c r="BD10" i="19"/>
  <c r="BD11" i="19" s="1"/>
  <c r="BD53" i="19" s="1"/>
  <c r="BE16" i="19" s="1"/>
  <c r="BD9" i="23"/>
  <c r="BD22" i="22"/>
  <c r="BD23" i="22" s="1"/>
  <c r="BD21" i="22"/>
  <c r="BD6" i="23"/>
  <c r="BD35" i="16"/>
  <c r="BD36" i="16" s="1"/>
  <c r="BD34" i="16"/>
  <c r="BD7" i="23"/>
  <c r="BD29" i="17"/>
  <c r="BD30" i="17" s="1"/>
  <c r="BD28" i="17"/>
  <c r="BE17" i="19" l="1"/>
  <c r="BD10" i="23"/>
  <c r="BE20" i="19" l="1"/>
  <c r="BE19" i="19"/>
  <c r="BE21" i="19"/>
  <c r="BD12" i="23"/>
  <c r="BD13" i="23" s="1"/>
  <c r="BD11" i="23"/>
  <c r="BE22" i="19" l="1"/>
  <c r="BE24" i="19" s="1"/>
  <c r="BE12" i="26"/>
  <c r="BE14" i="26"/>
  <c r="BE30" i="19" l="1"/>
  <c r="BE29" i="19"/>
  <c r="BE25" i="19"/>
  <c r="BH56" i="19" l="1"/>
  <c r="BF27" i="19"/>
  <c r="BE35" i="19"/>
  <c r="BE47" i="20"/>
  <c r="BE47" i="19"/>
  <c r="BE16" i="23"/>
  <c r="BH66" i="19" l="1"/>
  <c r="BH43" i="19"/>
  <c r="BK57" i="19"/>
  <c r="BH65" i="19"/>
  <c r="BH43" i="20"/>
  <c r="BH46" i="20"/>
  <c r="BH45" i="20"/>
  <c r="BH44" i="20"/>
  <c r="BE48" i="19"/>
  <c r="BE18" i="23"/>
  <c r="BE36" i="19"/>
  <c r="BE30" i="9"/>
  <c r="BE31" i="9" s="1"/>
  <c r="BE32" i="9" s="1"/>
  <c r="BE32" i="20" l="1"/>
  <c r="BE30" i="20"/>
  <c r="BE31" i="20"/>
  <c r="BE36" i="20"/>
  <c r="BE38" i="20"/>
  <c r="BE34" i="20"/>
  <c r="BE33" i="20"/>
  <c r="BE35" i="20"/>
  <c r="BE39" i="20"/>
  <c r="BE37" i="20"/>
  <c r="BE26" i="20"/>
  <c r="BE29" i="20"/>
  <c r="BE28" i="20"/>
  <c r="BE27" i="20"/>
  <c r="BE22" i="20"/>
  <c r="BE24" i="20"/>
  <c r="BE23" i="20"/>
  <c r="BE25" i="20"/>
  <c r="BE20" i="20"/>
  <c r="BE9" i="20"/>
  <c r="BE8" i="20"/>
  <c r="BE18" i="20"/>
  <c r="BE10" i="20"/>
  <c r="BE19" i="20"/>
  <c r="BE17" i="20"/>
  <c r="BE14" i="20"/>
  <c r="BE16" i="20"/>
  <c r="BE13" i="20"/>
  <c r="BE11" i="20"/>
  <c r="BE21" i="20"/>
  <c r="BE15" i="20"/>
  <c r="BE12" i="20"/>
  <c r="BH59" i="19"/>
  <c r="BE48" i="20" l="1"/>
  <c r="BE38" i="19"/>
  <c r="BE41" i="19" l="1"/>
  <c r="BE39" i="19"/>
  <c r="BE40" i="19"/>
  <c r="BE8" i="26" l="1"/>
  <c r="BE42" i="19"/>
  <c r="BE33" i="9"/>
  <c r="BE14" i="23"/>
  <c r="BE18" i="26" l="1" a="1"/>
  <c r="BE18" i="26" s="1"/>
  <c r="BE10" i="26"/>
  <c r="BE11" i="26" s="1"/>
  <c r="BE16" i="26" a="1"/>
  <c r="BE16" i="26" s="1"/>
  <c r="BE35" i="9"/>
  <c r="BE36" i="9" s="1"/>
  <c r="BE40" i="9" s="1"/>
  <c r="BE19" i="26" l="1"/>
  <c r="BE17" i="17"/>
  <c r="BE22" i="16"/>
  <c r="BE45" i="19"/>
  <c r="BE16" i="17"/>
  <c r="BE21" i="16"/>
  <c r="BE44" i="19"/>
  <c r="BE13" i="26"/>
  <c r="BE17" i="23"/>
  <c r="BE17" i="26"/>
  <c r="BE38" i="9"/>
  <c r="BE20" i="16" s="1"/>
  <c r="BE39" i="9"/>
  <c r="BE41" i="9"/>
  <c r="BE12" i="22" s="1"/>
  <c r="BE19" i="23"/>
  <c r="BE37" i="9"/>
  <c r="BE18" i="17" l="1"/>
  <c r="BE24" i="17" s="1"/>
  <c r="BE25" i="17" s="1"/>
  <c r="BE26" i="17" s="1"/>
  <c r="BE23" i="16"/>
  <c r="BE30" i="16" s="1"/>
  <c r="BE31" i="16" s="1"/>
  <c r="BE32" i="16" s="1"/>
  <c r="BE46" i="19"/>
  <c r="BE49" i="19" s="1"/>
  <c r="BE50" i="19" s="1"/>
  <c r="BE51" i="19" s="1"/>
  <c r="BE15" i="26"/>
  <c r="BE17" i="22"/>
  <c r="BE18" i="22" s="1"/>
  <c r="BE19" i="22" s="1"/>
  <c r="BE10" i="19" l="1"/>
  <c r="BE55" i="19"/>
  <c r="BE8" i="23" s="1"/>
  <c r="BE15" i="23"/>
  <c r="BE33" i="16"/>
  <c r="BE6" i="23" s="1"/>
  <c r="BE7" i="19"/>
  <c r="BE13" i="19"/>
  <c r="BE14" i="19" s="1"/>
  <c r="BE27" i="17"/>
  <c r="BE8" i="19"/>
  <c r="BE20" i="22"/>
  <c r="BE9" i="19"/>
  <c r="BE34" i="16" l="1"/>
  <c r="BE35" i="16"/>
  <c r="BE36" i="16" s="1"/>
  <c r="BE11" i="19"/>
  <c r="BE53" i="19" s="1"/>
  <c r="BE9" i="23"/>
  <c r="BE22" i="22"/>
  <c r="BE23" i="22" s="1"/>
  <c r="BE21" i="22"/>
  <c r="BE7" i="23"/>
  <c r="BE29" i="17"/>
  <c r="BE30" i="17" s="1"/>
  <c r="BE28" i="17"/>
  <c r="BF16" i="19" l="1"/>
  <c r="BF17" i="19" s="1"/>
  <c r="BE10" i="23"/>
  <c r="BE11" i="23" s="1"/>
  <c r="BF21" i="19" l="1"/>
  <c r="BF19" i="19"/>
  <c r="BF20" i="19"/>
  <c r="BE12" i="23"/>
  <c r="BE13" i="23" s="1"/>
  <c r="BF22" i="19" l="1"/>
  <c r="BF24" i="19" s="1"/>
  <c r="BF30" i="19" s="1"/>
  <c r="BF12" i="26"/>
  <c r="BF14" i="26"/>
  <c r="BF29" i="19" l="1"/>
  <c r="BF47" i="19" s="1"/>
  <c r="BF25" i="19"/>
  <c r="BI56" i="19" s="1"/>
  <c r="BF47" i="20"/>
  <c r="BF35" i="19" l="1"/>
  <c r="BF36" i="19" s="1"/>
  <c r="BG27" i="19"/>
  <c r="BF16" i="23"/>
  <c r="BF48" i="19"/>
  <c r="BI65" i="19"/>
  <c r="BL57" i="19"/>
  <c r="BI66" i="19"/>
  <c r="BI43" i="19"/>
  <c r="BI44" i="20"/>
  <c r="BI45" i="20"/>
  <c r="BI46" i="20"/>
  <c r="BF30" i="9" l="1"/>
  <c r="BF31" i="9" s="1"/>
  <c r="BF32" i="9" s="1"/>
  <c r="BF18" i="23"/>
  <c r="BF36" i="20"/>
  <c r="BF31" i="20"/>
  <c r="BF38" i="20"/>
  <c r="BF39" i="20"/>
  <c r="BF32" i="20"/>
  <c r="BF40" i="20"/>
  <c r="BF33" i="20"/>
  <c r="BF35" i="20"/>
  <c r="BF34" i="20"/>
  <c r="BF37" i="20"/>
  <c r="BF30" i="20"/>
  <c r="BF27" i="20"/>
  <c r="BF28" i="20"/>
  <c r="BF29" i="20"/>
  <c r="BF25" i="20"/>
  <c r="BF24" i="20"/>
  <c r="BF26" i="20"/>
  <c r="BF22" i="20"/>
  <c r="BF23" i="20"/>
  <c r="BI59" i="19"/>
  <c r="BF16" i="20"/>
  <c r="BF21" i="20"/>
  <c r="BF9" i="20"/>
  <c r="BF17" i="20"/>
  <c r="BF11" i="20"/>
  <c r="BF15" i="20"/>
  <c r="BF18" i="20"/>
  <c r="BF20" i="20"/>
  <c r="BF10" i="20"/>
  <c r="BF13" i="20"/>
  <c r="BF19" i="20"/>
  <c r="BF14" i="20"/>
  <c r="BF8" i="20"/>
  <c r="BF12" i="20"/>
  <c r="BF48" i="20" l="1"/>
  <c r="BF38" i="19"/>
  <c r="BF40" i="19" l="1"/>
  <c r="BF41" i="19"/>
  <c r="BF39" i="19"/>
  <c r="BF8" i="26" l="1"/>
  <c r="BF42" i="19"/>
  <c r="BF33" i="9"/>
  <c r="BF14" i="23"/>
  <c r="BF18" i="26" l="1" a="1"/>
  <c r="BF18" i="26" s="1"/>
  <c r="BF10" i="26"/>
  <c r="BF11" i="26" s="1"/>
  <c r="BF16" i="26" a="1"/>
  <c r="BF16" i="26" s="1"/>
  <c r="BF35" i="9"/>
  <c r="BF36" i="9" s="1"/>
  <c r="BF19" i="26" l="1"/>
  <c r="BF17" i="17"/>
  <c r="BF22" i="16"/>
  <c r="BF45" i="19"/>
  <c r="BF16" i="17"/>
  <c r="BF21" i="16"/>
  <c r="BF44" i="19"/>
  <c r="BF17" i="23"/>
  <c r="BF13" i="26"/>
  <c r="BF17" i="26"/>
  <c r="BF19" i="23"/>
  <c r="BF37" i="9"/>
  <c r="BF38" i="9"/>
  <c r="BF20" i="16" s="1"/>
  <c r="BF39" i="9"/>
  <c r="BF40" i="9"/>
  <c r="BF41" i="9"/>
  <c r="BF12" i="22" s="1"/>
  <c r="BF18" i="17" l="1"/>
  <c r="BF24" i="17" s="1"/>
  <c r="BF25" i="17" s="1"/>
  <c r="BF26" i="17" s="1"/>
  <c r="BF23" i="16"/>
  <c r="BF30" i="16" s="1"/>
  <c r="BF31" i="16" s="1"/>
  <c r="BF32" i="16" s="1"/>
  <c r="BF46" i="19"/>
  <c r="BF49" i="19" s="1"/>
  <c r="BF50" i="19" s="1"/>
  <c r="BF51" i="19" s="1"/>
  <c r="BF15" i="26"/>
  <c r="BF17" i="22"/>
  <c r="BF18" i="22" s="1"/>
  <c r="BF19" i="22" s="1"/>
  <c r="BF13" i="19" l="1"/>
  <c r="BF14" i="19" s="1"/>
  <c r="BF15" i="23"/>
  <c r="BF55" i="19"/>
  <c r="BF8" i="23" s="1"/>
  <c r="BF10" i="19"/>
  <c r="BF27" i="17"/>
  <c r="BF8" i="19"/>
  <c r="BF20" i="22"/>
  <c r="BF9" i="19"/>
  <c r="BF7" i="19"/>
  <c r="BF33" i="16"/>
  <c r="BF11" i="19" l="1"/>
  <c r="BF53" i="19" s="1"/>
  <c r="BF6" i="23"/>
  <c r="BF35" i="16"/>
  <c r="BF36" i="16" s="1"/>
  <c r="BF34" i="16"/>
  <c r="BF9" i="23"/>
  <c r="BF22" i="22"/>
  <c r="BF23" i="22" s="1"/>
  <c r="BF21" i="22"/>
  <c r="BF7" i="23"/>
  <c r="BF29" i="17"/>
  <c r="BF30" i="17" s="1"/>
  <c r="BF28" i="17"/>
  <c r="BG16" i="19" l="1"/>
  <c r="BG17" i="19" s="1"/>
  <c r="BF10" i="23"/>
  <c r="BG21" i="19" l="1"/>
  <c r="BG20" i="19"/>
  <c r="BG19" i="19"/>
  <c r="BF12" i="23"/>
  <c r="BF13" i="23" s="1"/>
  <c r="BF11" i="23"/>
  <c r="BG14" i="26" l="1"/>
  <c r="BG12" i="26"/>
  <c r="BG22" i="19"/>
  <c r="BG24" i="19" s="1"/>
  <c r="BG25" i="19" s="1"/>
  <c r="BG30" i="19" l="1"/>
  <c r="BG29" i="19"/>
  <c r="BG47" i="19" s="1"/>
  <c r="BH27" i="19"/>
  <c r="BJ56" i="19"/>
  <c r="BG35" i="19"/>
  <c r="BG47" i="20"/>
  <c r="BG16" i="23" l="1"/>
  <c r="BG48" i="19"/>
  <c r="BG18" i="23"/>
  <c r="BG36" i="19"/>
  <c r="BG30" i="9"/>
  <c r="BG31" i="9" s="1"/>
  <c r="BG32" i="9" s="1"/>
  <c r="BJ65" i="19"/>
  <c r="BM57" i="19"/>
  <c r="BJ66" i="19"/>
  <c r="BJ43" i="19"/>
  <c r="BJ46" i="20"/>
  <c r="BJ45" i="20"/>
  <c r="BG36" i="20" l="1"/>
  <c r="BG37" i="20"/>
  <c r="BG33" i="20"/>
  <c r="BG34" i="20"/>
  <c r="BG38" i="20"/>
  <c r="BG39" i="20"/>
  <c r="BG35" i="20"/>
  <c r="BG32" i="20"/>
  <c r="BG40" i="20"/>
  <c r="BG41" i="20"/>
  <c r="BG28" i="20"/>
  <c r="BG30" i="20"/>
  <c r="BG29" i="20"/>
  <c r="BG31" i="20"/>
  <c r="BG26" i="20"/>
  <c r="BG27" i="20"/>
  <c r="BG25" i="20"/>
  <c r="BG23" i="20"/>
  <c r="BG24" i="20"/>
  <c r="BJ59" i="19"/>
  <c r="BG18" i="20"/>
  <c r="BG13" i="20"/>
  <c r="BG9" i="20"/>
  <c r="BG10" i="20"/>
  <c r="BG11" i="20"/>
  <c r="BG14" i="20"/>
  <c r="BG22" i="20"/>
  <c r="BG19" i="20"/>
  <c r="BG12" i="20"/>
  <c r="BG8" i="20"/>
  <c r="BG21" i="20"/>
  <c r="BG20" i="20"/>
  <c r="BG17" i="20"/>
  <c r="BG15" i="20"/>
  <c r="BG16" i="20"/>
  <c r="BG48" i="20" l="1"/>
  <c r="BG38" i="19"/>
  <c r="BG40" i="19" l="1"/>
  <c r="BG41" i="19"/>
  <c r="BG39" i="19"/>
  <c r="BG8" i="26" l="1"/>
  <c r="BG42" i="19"/>
  <c r="BG33" i="9"/>
  <c r="BG14" i="23"/>
  <c r="BG18" i="26" l="1" a="1"/>
  <c r="BG18" i="26" s="1"/>
  <c r="BG10" i="26"/>
  <c r="BG11" i="26" s="1"/>
  <c r="BG16" i="26" a="1"/>
  <c r="BG16" i="26" s="1"/>
  <c r="BG17" i="26" s="1"/>
  <c r="BG35" i="9"/>
  <c r="BG36" i="9" s="1"/>
  <c r="BG19" i="26" l="1"/>
  <c r="BG17" i="17"/>
  <c r="BG22" i="16"/>
  <c r="BG45" i="19"/>
  <c r="BG13" i="26"/>
  <c r="BG17" i="23"/>
  <c r="BG16" i="17"/>
  <c r="BG21" i="16"/>
  <c r="BG44" i="19"/>
  <c r="BG19" i="23"/>
  <c r="BG37" i="9"/>
  <c r="BG40" i="9"/>
  <c r="BG38" i="9"/>
  <c r="BG20" i="16" s="1"/>
  <c r="BG41" i="9"/>
  <c r="BG12" i="22" s="1"/>
  <c r="BG39" i="9"/>
  <c r="BG46" i="19" l="1"/>
  <c r="BG49" i="19" s="1"/>
  <c r="BG50" i="19" s="1"/>
  <c r="BG51" i="19" s="1"/>
  <c r="BG23" i="16"/>
  <c r="BG30" i="16" s="1"/>
  <c r="BG31" i="16" s="1"/>
  <c r="BG32" i="16" s="1"/>
  <c r="BG18" i="17"/>
  <c r="BG24" i="17" s="1"/>
  <c r="BG25" i="17" s="1"/>
  <c r="BG26" i="17" s="1"/>
  <c r="BG15" i="26"/>
  <c r="BG17" i="22"/>
  <c r="BG18" i="22" s="1"/>
  <c r="BG19" i="22" s="1"/>
  <c r="BG13" i="19" l="1"/>
  <c r="BG14" i="19" s="1"/>
  <c r="BG15" i="23"/>
  <c r="BG20" i="22"/>
  <c r="BG9" i="19"/>
  <c r="BG8" i="19"/>
  <c r="BG27" i="17"/>
  <c r="BG55" i="19"/>
  <c r="BG8" i="23" s="1"/>
  <c r="BG10" i="19"/>
  <c r="BG7" i="19"/>
  <c r="BG33" i="16"/>
  <c r="BG6" i="23" l="1"/>
  <c r="BG35" i="16"/>
  <c r="BG36" i="16" s="1"/>
  <c r="BG34" i="16"/>
  <c r="BG11" i="19"/>
  <c r="BG53" i="19" s="1"/>
  <c r="BH16" i="19" s="1"/>
  <c r="BG7" i="23"/>
  <c r="BG29" i="17"/>
  <c r="BG30" i="17" s="1"/>
  <c r="BG28" i="17"/>
  <c r="BG9" i="23"/>
  <c r="BG22" i="22"/>
  <c r="BG23" i="22" s="1"/>
  <c r="BG21" i="22"/>
  <c r="BH17" i="19" l="1"/>
  <c r="BG10" i="23"/>
  <c r="BH20" i="19" l="1"/>
  <c r="BH19" i="19"/>
  <c r="BH21" i="19"/>
  <c r="BG12" i="23"/>
  <c r="BG13" i="23" s="1"/>
  <c r="BG11" i="23"/>
  <c r="BH22" i="19" l="1"/>
  <c r="BH24" i="19" s="1"/>
  <c r="BH12" i="26"/>
  <c r="BH14" i="26"/>
  <c r="BH29" i="19" l="1"/>
  <c r="BH30" i="19"/>
  <c r="BH25" i="19"/>
  <c r="BK56" i="19" l="1"/>
  <c r="BI27" i="19"/>
  <c r="BH35" i="19"/>
  <c r="BH47" i="20"/>
  <c r="BH47" i="19"/>
  <c r="BH16" i="23"/>
  <c r="BH48" i="19" l="1"/>
  <c r="BH18" i="23"/>
  <c r="BH36" i="19"/>
  <c r="BH30" i="9"/>
  <c r="BH31" i="9" s="1"/>
  <c r="BH32" i="9" s="1"/>
  <c r="BK65" i="19"/>
  <c r="BN57" i="19"/>
  <c r="BK66" i="19"/>
  <c r="BK43" i="19"/>
  <c r="BK46" i="20"/>
  <c r="BH42" i="20" l="1"/>
  <c r="BH37" i="20"/>
  <c r="BH38" i="20"/>
  <c r="BH34" i="20"/>
  <c r="BH40" i="20"/>
  <c r="BH41" i="20"/>
  <c r="BH33" i="20"/>
  <c r="BH35" i="20"/>
  <c r="BH39" i="20"/>
  <c r="BH36" i="20"/>
  <c r="BH31" i="20"/>
  <c r="BH32" i="20"/>
  <c r="BH30" i="20"/>
  <c r="BH29" i="20"/>
  <c r="BH28" i="20"/>
  <c r="BH26" i="20"/>
  <c r="BH27" i="20"/>
  <c r="BH24" i="20"/>
  <c r="BH25" i="20"/>
  <c r="BK59" i="19"/>
  <c r="H91" i="20"/>
  <c r="H136" i="20"/>
  <c r="H181" i="20"/>
  <c r="BH13" i="20"/>
  <c r="BH20" i="20"/>
  <c r="BH14" i="20"/>
  <c r="BH12" i="20"/>
  <c r="BH16" i="20"/>
  <c r="BH9" i="20"/>
  <c r="BH19" i="20"/>
  <c r="BH17" i="20"/>
  <c r="BH23" i="20"/>
  <c r="BH15" i="20"/>
  <c r="BH11" i="20"/>
  <c r="BH18" i="20"/>
  <c r="BH8" i="20"/>
  <c r="BH21" i="20"/>
  <c r="BH22" i="20"/>
  <c r="BH10" i="20"/>
  <c r="BH48" i="20" l="1"/>
  <c r="BH38" i="19"/>
  <c r="BH41" i="19" l="1"/>
  <c r="BH40" i="19"/>
  <c r="BH39" i="19"/>
  <c r="BH8" i="26" l="1"/>
  <c r="BH42" i="19"/>
  <c r="BH14" i="23"/>
  <c r="BH33" i="9"/>
  <c r="BH18" i="26" l="1" a="1"/>
  <c r="BH18" i="26" s="1"/>
  <c r="BH10" i="26"/>
  <c r="BH11" i="26" s="1"/>
  <c r="BH16" i="26" a="1"/>
  <c r="BH16" i="26" s="1"/>
  <c r="BH35" i="9"/>
  <c r="BH36" i="9" s="1"/>
  <c r="BH19" i="26" l="1"/>
  <c r="BH17" i="17"/>
  <c r="BH22" i="16"/>
  <c r="BH45" i="19"/>
  <c r="BH16" i="17"/>
  <c r="BH21" i="16"/>
  <c r="BH44" i="19"/>
  <c r="BH17" i="26"/>
  <c r="BH13" i="26"/>
  <c r="BH17" i="23"/>
  <c r="BH19" i="23"/>
  <c r="BH37" i="9"/>
  <c r="BH38" i="9"/>
  <c r="BH20" i="16" s="1"/>
  <c r="BH39" i="9"/>
  <c r="BH40" i="9"/>
  <c r="BH41" i="9"/>
  <c r="BH12" i="22" s="1"/>
  <c r="BH23" i="16" l="1"/>
  <c r="BH30" i="16" s="1"/>
  <c r="BH31" i="16" s="1"/>
  <c r="BH32" i="16" s="1"/>
  <c r="BH18" i="17"/>
  <c r="BH24" i="17" s="1"/>
  <c r="BH25" i="17" s="1"/>
  <c r="BH26" i="17" s="1"/>
  <c r="BH46" i="19"/>
  <c r="BH49" i="19" s="1"/>
  <c r="BH50" i="19" s="1"/>
  <c r="BH51" i="19" s="1"/>
  <c r="BH15" i="26"/>
  <c r="BH17" i="22"/>
  <c r="BH18" i="22" s="1"/>
  <c r="BH19" i="22" s="1"/>
  <c r="BH13" i="19" l="1"/>
  <c r="BH14" i="19" s="1"/>
  <c r="BH15" i="23"/>
  <c r="BH20" i="22"/>
  <c r="BH9" i="19"/>
  <c r="BH8" i="19"/>
  <c r="BH27" i="17"/>
  <c r="BH7" i="19"/>
  <c r="BH33" i="16"/>
  <c r="BH55" i="19"/>
  <c r="BH8" i="23" s="1"/>
  <c r="BH10" i="19"/>
  <c r="BH6" i="23" l="1"/>
  <c r="BH35" i="16"/>
  <c r="BH36" i="16" s="1"/>
  <c r="BH34" i="16"/>
  <c r="BH11" i="19"/>
  <c r="BH53" i="19" s="1"/>
  <c r="BI16" i="19" s="1"/>
  <c r="BH7" i="23"/>
  <c r="BH29" i="17"/>
  <c r="BH30" i="17" s="1"/>
  <c r="BH28" i="17"/>
  <c r="BH22" i="22"/>
  <c r="BH23" i="22" s="1"/>
  <c r="BH9" i="23"/>
  <c r="BH21" i="22"/>
  <c r="BI17" i="19" l="1"/>
  <c r="BH10" i="23"/>
  <c r="BI21" i="19" l="1"/>
  <c r="BI20" i="19"/>
  <c r="BI19" i="19"/>
  <c r="BH12" i="23"/>
  <c r="BH13" i="23" s="1"/>
  <c r="BH11" i="23"/>
  <c r="BI22" i="19" l="1"/>
  <c r="BI24" i="19" s="1"/>
  <c r="BI12" i="26"/>
  <c r="BI14" i="26"/>
  <c r="BI29" i="19" l="1"/>
  <c r="BI30" i="19"/>
  <c r="BI25" i="19"/>
  <c r="BL56" i="19" l="1"/>
  <c r="BJ27" i="19"/>
  <c r="BI35" i="19"/>
  <c r="BI47" i="20"/>
  <c r="BI47" i="19"/>
  <c r="BI16" i="23"/>
  <c r="BI48" i="19" l="1"/>
  <c r="BI18" i="23"/>
  <c r="BI36" i="19"/>
  <c r="BI30" i="9"/>
  <c r="BI31" i="9" s="1"/>
  <c r="BI32" i="9" s="1"/>
  <c r="BL66" i="19"/>
  <c r="BL43" i="19"/>
  <c r="BL65" i="19"/>
  <c r="BO57" i="19"/>
  <c r="BI38" i="20" l="1"/>
  <c r="BI43" i="20"/>
  <c r="BI37" i="20"/>
  <c r="BI40" i="20"/>
  <c r="BI36" i="20"/>
  <c r="BI35" i="20"/>
  <c r="BI39" i="20"/>
  <c r="BI42" i="20"/>
  <c r="BI34" i="20"/>
  <c r="BI41" i="20"/>
  <c r="BI31" i="20"/>
  <c r="BI33" i="20"/>
  <c r="BI32" i="20"/>
  <c r="BI30" i="20"/>
  <c r="BI27" i="20"/>
  <c r="BI28" i="20"/>
  <c r="BI29" i="20"/>
  <c r="BI25" i="20"/>
  <c r="BI26" i="20"/>
  <c r="BL59" i="19"/>
  <c r="BI12" i="20"/>
  <c r="BI15" i="20"/>
  <c r="BI14" i="20"/>
  <c r="BI20" i="20"/>
  <c r="BI22" i="20"/>
  <c r="BI8" i="20"/>
  <c r="BI17" i="20"/>
  <c r="BI9" i="20"/>
  <c r="BI16" i="20"/>
  <c r="BI24" i="20"/>
  <c r="BI19" i="20"/>
  <c r="BI23" i="20"/>
  <c r="BI18" i="20"/>
  <c r="BI10" i="20"/>
  <c r="BI21" i="20"/>
  <c r="BI11" i="20"/>
  <c r="BI13" i="20"/>
  <c r="BI48" i="20" l="1"/>
  <c r="BI38" i="19"/>
  <c r="BI39" i="19" l="1"/>
  <c r="BI40" i="19"/>
  <c r="BI41" i="19"/>
  <c r="BI8" i="26" l="1"/>
  <c r="BI42" i="19"/>
  <c r="BI33" i="9"/>
  <c r="BI14" i="23"/>
  <c r="BI18" i="26" l="1" a="1"/>
  <c r="BI18" i="26" s="1"/>
  <c r="BI10" i="26"/>
  <c r="BI11" i="26" s="1"/>
  <c r="BI16" i="26" a="1"/>
  <c r="BI16" i="26" s="1"/>
  <c r="BI35" i="9"/>
  <c r="BI36" i="9" s="1"/>
  <c r="BI19" i="26" l="1"/>
  <c r="BI17" i="17"/>
  <c r="BI22" i="16"/>
  <c r="BI45" i="19"/>
  <c r="BI16" i="17"/>
  <c r="BI21" i="16"/>
  <c r="BI44" i="19"/>
  <c r="BI17" i="26"/>
  <c r="BI13" i="26"/>
  <c r="BI17" i="23"/>
  <c r="BI19" i="23"/>
  <c r="BI37" i="9"/>
  <c r="BI40" i="9"/>
  <c r="BI38" i="9"/>
  <c r="BI20" i="16" s="1"/>
  <c r="BI41" i="9"/>
  <c r="BI12" i="22" s="1"/>
  <c r="BI39" i="9"/>
  <c r="BI18" i="17" l="1"/>
  <c r="BI24" i="17" s="1"/>
  <c r="BI25" i="17" s="1"/>
  <c r="BI26" i="17" s="1"/>
  <c r="BI46" i="19"/>
  <c r="BI49" i="19" s="1"/>
  <c r="BI50" i="19" s="1"/>
  <c r="BI51" i="19" s="1"/>
  <c r="BI23" i="16"/>
  <c r="BI15" i="26"/>
  <c r="BI17" i="22"/>
  <c r="BI18" i="22" s="1"/>
  <c r="BI19" i="22" s="1"/>
  <c r="BI15" i="23" l="1"/>
  <c r="BI13" i="19"/>
  <c r="BI14" i="19" s="1"/>
  <c r="BI30" i="16"/>
  <c r="BI31" i="16" s="1"/>
  <c r="BI32" i="16" s="1"/>
  <c r="BI7" i="19" s="1"/>
  <c r="BI55" i="19"/>
  <c r="BI8" i="23" s="1"/>
  <c r="BI10" i="19"/>
  <c r="BI8" i="19"/>
  <c r="BI27" i="17"/>
  <c r="BI20" i="22"/>
  <c r="BI9" i="19"/>
  <c r="BI33" i="16" l="1"/>
  <c r="BI35" i="16" s="1"/>
  <c r="BI36" i="16" s="1"/>
  <c r="BI11" i="19"/>
  <c r="BI53" i="19" s="1"/>
  <c r="BI7" i="23"/>
  <c r="BI29" i="17"/>
  <c r="BI30" i="17" s="1"/>
  <c r="BI28" i="17"/>
  <c r="BI9" i="23"/>
  <c r="BI22" i="22"/>
  <c r="BI23" i="22" s="1"/>
  <c r="BI21" i="22"/>
  <c r="BJ16" i="19" l="1"/>
  <c r="BJ17" i="19" s="1"/>
  <c r="BI6" i="23"/>
  <c r="BI10" i="23" s="1"/>
  <c r="BI34" i="16"/>
  <c r="BJ20" i="19" l="1"/>
  <c r="BJ21" i="19"/>
  <c r="BJ19" i="19"/>
  <c r="BI12" i="23"/>
  <c r="BI13" i="23" s="1"/>
  <c r="BI11" i="23"/>
  <c r="BJ12" i="26" l="1"/>
  <c r="BJ14" i="26"/>
  <c r="BJ22" i="19"/>
  <c r="BJ24" i="19" s="1"/>
  <c r="BJ30" i="19" s="1"/>
  <c r="BJ29" i="19" l="1"/>
  <c r="BJ47" i="19" s="1"/>
  <c r="BJ25" i="19"/>
  <c r="BJ35" i="19" s="1"/>
  <c r="BK27" i="19" l="1"/>
  <c r="BJ16" i="23"/>
  <c r="BM56" i="19"/>
  <c r="BM65" i="19" s="1"/>
  <c r="BJ47" i="20"/>
  <c r="BJ48" i="19"/>
  <c r="BJ18" i="23"/>
  <c r="BJ36" i="19"/>
  <c r="BJ30" i="9"/>
  <c r="BJ31" i="9" s="1"/>
  <c r="BJ32" i="9" s="1"/>
  <c r="BM66" i="19" l="1"/>
  <c r="BM59" i="19" s="1"/>
  <c r="BM43" i="19"/>
  <c r="BP57" i="19"/>
  <c r="BJ41" i="20"/>
  <c r="BJ37" i="20"/>
  <c r="BJ39" i="20"/>
  <c r="BJ42" i="20"/>
  <c r="BJ38" i="20"/>
  <c r="BJ40" i="20"/>
  <c r="BJ35" i="20"/>
  <c r="BJ43" i="20"/>
  <c r="BJ36" i="20"/>
  <c r="BJ44" i="20"/>
  <c r="BJ33" i="20"/>
  <c r="BJ34" i="20"/>
  <c r="BJ31" i="20"/>
  <c r="BJ32" i="20"/>
  <c r="BJ30" i="20"/>
  <c r="BJ29" i="20"/>
  <c r="BJ28" i="20"/>
  <c r="BJ26" i="20"/>
  <c r="BJ27" i="20"/>
  <c r="BJ9" i="20"/>
  <c r="BJ13" i="20"/>
  <c r="BJ11" i="20"/>
  <c r="BJ20" i="20"/>
  <c r="BJ15" i="20"/>
  <c r="BJ14" i="20"/>
  <c r="BJ8" i="20"/>
  <c r="BJ10" i="20"/>
  <c r="BJ24" i="20"/>
  <c r="BJ12" i="20"/>
  <c r="BJ21" i="20"/>
  <c r="BJ23" i="20"/>
  <c r="BJ16" i="20"/>
  <c r="BJ17" i="20"/>
  <c r="BJ18" i="20"/>
  <c r="BJ19" i="20"/>
  <c r="BJ25" i="20"/>
  <c r="BJ22" i="20"/>
  <c r="BJ48" i="20" l="1"/>
  <c r="BJ38" i="19"/>
  <c r="BJ39" i="19" l="1"/>
  <c r="BJ41" i="19"/>
  <c r="BJ40" i="19"/>
  <c r="BJ8" i="26" l="1"/>
  <c r="BJ42" i="19"/>
  <c r="BJ14" i="23"/>
  <c r="BJ33" i="9"/>
  <c r="BJ18" i="26" l="1" a="1"/>
  <c r="BJ18" i="26" s="1"/>
  <c r="BJ10" i="26"/>
  <c r="BJ11" i="26" s="1"/>
  <c r="BJ16" i="26" a="1"/>
  <c r="BJ16" i="26" s="1"/>
  <c r="BJ17" i="26" s="1"/>
  <c r="BJ35" i="9"/>
  <c r="BJ36" i="9" s="1"/>
  <c r="BJ40" i="9" s="1"/>
  <c r="BJ19" i="26" l="1"/>
  <c r="BJ17" i="17"/>
  <c r="BJ22" i="16"/>
  <c r="BJ45" i="19"/>
  <c r="BJ13" i="26"/>
  <c r="BJ17" i="23"/>
  <c r="BJ16" i="17"/>
  <c r="BJ21" i="16"/>
  <c r="BJ44" i="19"/>
  <c r="BJ19" i="23"/>
  <c r="BJ37" i="9"/>
  <c r="BJ38" i="9"/>
  <c r="BJ20" i="16" s="1"/>
  <c r="BJ41" i="9"/>
  <c r="BJ12" i="22" s="1"/>
  <c r="BJ39" i="9"/>
  <c r="BJ46" i="19" l="1"/>
  <c r="BJ49" i="19" s="1"/>
  <c r="BJ50" i="19" s="1"/>
  <c r="BJ51" i="19" s="1"/>
  <c r="BJ55" i="19" s="1"/>
  <c r="BJ8" i="23" s="1"/>
  <c r="BJ23" i="16"/>
  <c r="BJ30" i="16" s="1"/>
  <c r="BJ31" i="16" s="1"/>
  <c r="BJ32" i="16" s="1"/>
  <c r="BJ18" i="17"/>
  <c r="BJ15" i="26"/>
  <c r="BJ17" i="22"/>
  <c r="BJ18" i="22" s="1"/>
  <c r="BJ19" i="22" s="1"/>
  <c r="BJ10" i="19" l="1"/>
  <c r="BJ13" i="19"/>
  <c r="BJ14" i="19" s="1"/>
  <c r="BJ15" i="23"/>
  <c r="BJ24" i="17"/>
  <c r="BJ25" i="17" s="1"/>
  <c r="BJ26" i="17" s="1"/>
  <c r="BJ8" i="19" s="1"/>
  <c r="BJ7" i="19"/>
  <c r="BJ33" i="16"/>
  <c r="BJ20" i="22"/>
  <c r="BJ9" i="19"/>
  <c r="BJ27" i="17" l="1"/>
  <c r="BJ29" i="17" s="1"/>
  <c r="BJ30" i="17" s="1"/>
  <c r="BJ22" i="22"/>
  <c r="BJ23" i="22" s="1"/>
  <c r="BJ9" i="23"/>
  <c r="BJ21" i="22"/>
  <c r="BJ6" i="23"/>
  <c r="BJ35" i="16"/>
  <c r="BJ36" i="16" s="1"/>
  <c r="BJ34" i="16"/>
  <c r="BJ11" i="19"/>
  <c r="BJ53" i="19" s="1"/>
  <c r="BK16" i="19" s="1"/>
  <c r="BJ7" i="23" l="1"/>
  <c r="BJ10" i="23" s="1"/>
  <c r="BJ28" i="17"/>
  <c r="BK17" i="19"/>
  <c r="BK21" i="19" l="1"/>
  <c r="BK19" i="19"/>
  <c r="BK20" i="19"/>
  <c r="BJ12" i="23"/>
  <c r="BJ13" i="23" s="1"/>
  <c r="BJ11" i="23"/>
  <c r="BK22" i="19" l="1"/>
  <c r="BK24" i="19" s="1"/>
  <c r="BK12" i="26"/>
  <c r="BK14" i="26"/>
  <c r="H23" i="26" l="1"/>
  <c r="BK29" i="19"/>
  <c r="BK30" i="19"/>
  <c r="BK25" i="19"/>
  <c r="BN56" i="19" l="1"/>
  <c r="BL27" i="19"/>
  <c r="BK35" i="19"/>
  <c r="BK47" i="20"/>
  <c r="BK47" i="19"/>
  <c r="BK16" i="23"/>
  <c r="H43" i="23" s="1"/>
  <c r="G21" i="25" s="1"/>
  <c r="BK18" i="23" l="1"/>
  <c r="H45" i="23" s="1"/>
  <c r="G17" i="25" s="1"/>
  <c r="BK36" i="19"/>
  <c r="BK30" i="9"/>
  <c r="BK31" i="9" s="1"/>
  <c r="BK32" i="9" s="1"/>
  <c r="H137" i="20"/>
  <c r="H182" i="20"/>
  <c r="H92" i="20"/>
  <c r="BK48" i="19"/>
  <c r="R145" i="24" s="1"/>
  <c r="R147" i="24" s="1"/>
  <c r="BN65" i="19"/>
  <c r="BN43" i="19"/>
  <c r="BN66" i="19"/>
  <c r="BQ57" i="19"/>
  <c r="BK37" i="20" l="1"/>
  <c r="BK42" i="20"/>
  <c r="BK39" i="20"/>
  <c r="BK43" i="20"/>
  <c r="BK36" i="20"/>
  <c r="BK41" i="20"/>
  <c r="BK40" i="20"/>
  <c r="BK44" i="20"/>
  <c r="BK45" i="20"/>
  <c r="BK38" i="20"/>
  <c r="BK33" i="20"/>
  <c r="BK32" i="20"/>
  <c r="BK34" i="20"/>
  <c r="BK35" i="20"/>
  <c r="BK29" i="20"/>
  <c r="BK31" i="20"/>
  <c r="BK30" i="20"/>
  <c r="BK27" i="20"/>
  <c r="H72" i="20" s="1"/>
  <c r="BK28" i="20"/>
  <c r="BN59" i="19"/>
  <c r="BK20" i="20"/>
  <c r="BK17" i="20"/>
  <c r="BK16" i="20"/>
  <c r="BK18" i="20"/>
  <c r="BK25" i="20"/>
  <c r="BK23" i="20"/>
  <c r="BK8" i="20"/>
  <c r="BK11" i="20"/>
  <c r="BK9" i="20"/>
  <c r="BK24" i="20"/>
  <c r="BK19" i="20"/>
  <c r="BK10" i="20"/>
  <c r="BK13" i="20"/>
  <c r="BK14" i="20"/>
  <c r="BK26" i="20"/>
  <c r="BK22" i="20"/>
  <c r="BK12" i="20"/>
  <c r="BK21" i="20"/>
  <c r="BK15" i="20"/>
  <c r="H89" i="20" l="1"/>
  <c r="H134" i="20"/>
  <c r="H179" i="20"/>
  <c r="H83" i="20"/>
  <c r="H128" i="20"/>
  <c r="H173" i="20"/>
  <c r="H130" i="20"/>
  <c r="H175" i="20"/>
  <c r="H85" i="20"/>
  <c r="H86" i="20"/>
  <c r="H131" i="20"/>
  <c r="H176" i="20"/>
  <c r="H90" i="20"/>
  <c r="H135" i="20"/>
  <c r="H180" i="20"/>
  <c r="H126" i="20"/>
  <c r="H81" i="20"/>
  <c r="H171" i="20"/>
  <c r="H178" i="20"/>
  <c r="H133" i="20"/>
  <c r="H88" i="20"/>
  <c r="H174" i="20"/>
  <c r="H84" i="20"/>
  <c r="H129" i="20"/>
  <c r="H132" i="20"/>
  <c r="H87" i="20"/>
  <c r="H177" i="20"/>
  <c r="H172" i="20"/>
  <c r="H127" i="20"/>
  <c r="H82" i="20"/>
  <c r="H170" i="20"/>
  <c r="H125" i="20"/>
  <c r="H80" i="20"/>
  <c r="H169" i="20"/>
  <c r="H124" i="20"/>
  <c r="H79" i="20"/>
  <c r="H122" i="20"/>
  <c r="H167" i="20"/>
  <c r="H77" i="20"/>
  <c r="H168" i="20"/>
  <c r="H78" i="20"/>
  <c r="H123" i="20"/>
  <c r="H165" i="20"/>
  <c r="H75" i="20"/>
  <c r="H120" i="20"/>
  <c r="H121" i="20"/>
  <c r="H166" i="20"/>
  <c r="H76" i="20"/>
  <c r="H164" i="20"/>
  <c r="H74" i="20"/>
  <c r="H119" i="20"/>
  <c r="H162" i="20"/>
  <c r="H117" i="20"/>
  <c r="H73" i="20"/>
  <c r="H118" i="20"/>
  <c r="H163" i="20"/>
  <c r="H57" i="20"/>
  <c r="H147" i="20"/>
  <c r="H102" i="20"/>
  <c r="BK48" i="20"/>
  <c r="BK38" i="19"/>
  <c r="H53" i="20"/>
  <c r="H98" i="20"/>
  <c r="H143" i="20"/>
  <c r="H113" i="20"/>
  <c r="H158" i="20"/>
  <c r="H68" i="20"/>
  <c r="H111" i="20"/>
  <c r="H66" i="20"/>
  <c r="H156" i="20"/>
  <c r="H161" i="20"/>
  <c r="H71" i="20"/>
  <c r="H116" i="20"/>
  <c r="H160" i="20"/>
  <c r="H115" i="20"/>
  <c r="H70" i="20"/>
  <c r="H101" i="20"/>
  <c r="H146" i="20"/>
  <c r="H56" i="20"/>
  <c r="H149" i="20"/>
  <c r="H104" i="20"/>
  <c r="H59" i="20"/>
  <c r="H153" i="20"/>
  <c r="H108" i="20"/>
  <c r="H63" i="20"/>
  <c r="H157" i="20"/>
  <c r="H67" i="20"/>
  <c r="H112" i="20"/>
  <c r="H103" i="20"/>
  <c r="H148" i="20"/>
  <c r="H58" i="20"/>
  <c r="H61" i="20"/>
  <c r="H151" i="20"/>
  <c r="H106" i="20"/>
  <c r="H55" i="20"/>
  <c r="H100" i="20"/>
  <c r="H145" i="20"/>
  <c r="H107" i="20"/>
  <c r="H152" i="20"/>
  <c r="H62" i="20"/>
  <c r="H109" i="20"/>
  <c r="H64" i="20"/>
  <c r="H154" i="20"/>
  <c r="H155" i="20"/>
  <c r="H65" i="20"/>
  <c r="H110" i="20"/>
  <c r="H114" i="20"/>
  <c r="H159" i="20"/>
  <c r="H69" i="20"/>
  <c r="H60" i="20"/>
  <c r="H150" i="20"/>
  <c r="H105" i="20"/>
  <c r="H99" i="20"/>
  <c r="H54" i="20"/>
  <c r="H144" i="20"/>
  <c r="H138" i="20" l="1"/>
  <c r="H183" i="20"/>
  <c r="H93" i="20"/>
  <c r="BK39" i="19"/>
  <c r="BK40" i="19"/>
  <c r="BK41" i="19"/>
  <c r="BK8" i="26" l="1"/>
  <c r="BK42" i="19"/>
  <c r="R125" i="24" s="1"/>
  <c r="BK14" i="23"/>
  <c r="BK33" i="9"/>
  <c r="R72" i="24"/>
  <c r="R75" i="24" s="1"/>
  <c r="R110" i="24"/>
  <c r="BK18" i="26" l="1" a="1"/>
  <c r="BK18" i="26" s="1"/>
  <c r="BK10" i="26"/>
  <c r="BK11" i="26" s="1"/>
  <c r="BK16" i="26" a="1"/>
  <c r="BK16" i="26" s="1"/>
  <c r="BK17" i="26" s="1"/>
  <c r="BK35" i="9"/>
  <c r="BK36" i="9" s="1"/>
  <c r="R171" i="24"/>
  <c r="R172" i="24"/>
  <c r="H40" i="23"/>
  <c r="G18" i="25" s="1"/>
  <c r="G50" i="31" l="1"/>
  <c r="D26" i="31"/>
  <c r="C26" i="31"/>
  <c r="G49" i="31"/>
  <c r="G51" i="31"/>
  <c r="E26" i="31"/>
  <c r="BK19" i="26"/>
  <c r="BK17" i="17"/>
  <c r="BK22" i="16"/>
  <c r="BK45" i="19"/>
  <c r="BK16" i="17"/>
  <c r="BK21" i="16"/>
  <c r="BK44" i="19"/>
  <c r="BK13" i="26"/>
  <c r="BK17" i="23"/>
  <c r="H44" i="23" s="1"/>
  <c r="G22" i="25" s="1"/>
  <c r="G40" i="31" s="1"/>
  <c r="H21" i="26"/>
  <c r="R173" i="24"/>
  <c r="BK19" i="23"/>
  <c r="BK37" i="9"/>
  <c r="BK38" i="9"/>
  <c r="BK41" i="9"/>
  <c r="BK40" i="9"/>
  <c r="BK39" i="9"/>
  <c r="G41" i="31" l="1"/>
  <c r="G45" i="31" s="1"/>
  <c r="G39" i="31"/>
  <c r="G43" i="31" s="1"/>
  <c r="BK46" i="19"/>
  <c r="R126" i="24" s="1"/>
  <c r="BK18" i="17"/>
  <c r="R113" i="24"/>
  <c r="R114" i="24" s="1"/>
  <c r="R116" i="24" s="1"/>
  <c r="R117" i="24" s="1"/>
  <c r="R128" i="24"/>
  <c r="G44" i="31"/>
  <c r="BK15" i="26"/>
  <c r="H22" i="26"/>
  <c r="R137" i="24"/>
  <c r="R138" i="24"/>
  <c r="BK12" i="22"/>
  <c r="R139" i="24"/>
  <c r="BK20" i="16"/>
  <c r="BK23" i="16" s="1"/>
  <c r="R136" i="24"/>
  <c r="R129" i="24" l="1"/>
  <c r="R131" i="24" s="1"/>
  <c r="R132" i="24" s="1"/>
  <c r="R140" i="24"/>
  <c r="BK17" i="22"/>
  <c r="BK18" i="22" s="1"/>
  <c r="R156" i="24" s="1"/>
  <c r="BK24" i="17"/>
  <c r="BK25" i="17" s="1"/>
  <c r="R154" i="24" s="1"/>
  <c r="BK15" i="23"/>
  <c r="H41" i="23" s="1"/>
  <c r="G19" i="25" s="1"/>
  <c r="G53" i="31" s="1"/>
  <c r="BK30" i="16"/>
  <c r="BK31" i="16" s="1"/>
  <c r="R153" i="24" s="1"/>
  <c r="BK13" i="19"/>
  <c r="BK14" i="19" s="1"/>
  <c r="BK49" i="19"/>
  <c r="BK50" i="19" s="1"/>
  <c r="R155" i="24" s="1"/>
  <c r="G54" i="31" l="1"/>
  <c r="G52" i="31"/>
  <c r="R149" i="24"/>
  <c r="R150" i="24" s="1"/>
  <c r="R157" i="24"/>
  <c r="BK19" i="22"/>
  <c r="BK20" i="22" s="1"/>
  <c r="BK51" i="19"/>
  <c r="BK55" i="19" s="1"/>
  <c r="BK8" i="23" s="1"/>
  <c r="BK32" i="16"/>
  <c r="BK26" i="17"/>
  <c r="R176" i="24"/>
  <c r="R162" i="24" l="1"/>
  <c r="R163" i="24" s="1"/>
  <c r="BK9" i="19"/>
  <c r="R159" i="24"/>
  <c r="BK10" i="19"/>
  <c r="BK9" i="23"/>
  <c r="BK22" i="22"/>
  <c r="BK23" i="22" s="1"/>
  <c r="BK21" i="22"/>
  <c r="BK8" i="19"/>
  <c r="BK27" i="17"/>
  <c r="BK33" i="16"/>
  <c r="BK7" i="19"/>
  <c r="R175" i="24" l="1"/>
  <c r="R177" i="24" s="1"/>
  <c r="BK11" i="19"/>
  <c r="BK53" i="19" s="1"/>
  <c r="BK7" i="23"/>
  <c r="BK29" i="17"/>
  <c r="BK30" i="17" s="1"/>
  <c r="BK28" i="17"/>
  <c r="BK6" i="23"/>
  <c r="BK35" i="16"/>
  <c r="BK36" i="16" s="1"/>
  <c r="BK34" i="16"/>
  <c r="BL16" i="19" l="1"/>
  <c r="BL17" i="19" s="1"/>
  <c r="BK10" i="23"/>
  <c r="BK11" i="23" s="1"/>
  <c r="BL21" i="19" l="1"/>
  <c r="BL19" i="19"/>
  <c r="BL20" i="19"/>
  <c r="BK12" i="23"/>
  <c r="BK13" i="23" s="1"/>
  <c r="H42" i="23"/>
  <c r="G20" i="25" s="1"/>
  <c r="G56" i="31" s="1"/>
  <c r="BL22" i="19" l="1"/>
  <c r="BL24" i="19" s="1"/>
  <c r="BL29" i="19" s="1"/>
  <c r="BL12" i="26"/>
  <c r="BL14" i="26"/>
  <c r="G57" i="31"/>
  <c r="G55" i="31"/>
  <c r="BL25" i="19" l="1"/>
  <c r="BO56" i="19" s="1"/>
  <c r="BL30" i="19"/>
  <c r="BL16" i="23" s="1"/>
  <c r="BL47" i="19"/>
  <c r="BM27" i="19" l="1"/>
  <c r="BL35" i="19"/>
  <c r="BL18" i="23" s="1"/>
  <c r="BO66" i="19"/>
  <c r="BR57" i="19"/>
  <c r="BO65" i="19"/>
  <c r="BO43" i="19"/>
  <c r="BL48" i="19"/>
  <c r="BL36" i="19" l="1"/>
  <c r="BL47" i="20" s="1"/>
  <c r="BL30" i="9"/>
  <c r="BL31" i="9" s="1"/>
  <c r="BL32" i="9" s="1"/>
  <c r="BL37" i="20"/>
  <c r="BL43" i="20"/>
  <c r="BL44" i="20"/>
  <c r="BL42" i="20"/>
  <c r="BL45" i="20"/>
  <c r="BL39" i="20"/>
  <c r="BL46" i="20"/>
  <c r="BL33" i="20"/>
  <c r="BL34" i="20"/>
  <c r="BL36" i="20"/>
  <c r="BL32" i="20"/>
  <c r="BL31" i="20"/>
  <c r="BL28" i="20"/>
  <c r="BL29" i="20"/>
  <c r="BO59" i="19"/>
  <c r="BL16" i="20"/>
  <c r="BL27" i="20"/>
  <c r="BL14" i="20"/>
  <c r="BL26" i="20"/>
  <c r="BL17" i="20"/>
  <c r="BL19" i="20"/>
  <c r="BL11" i="20"/>
  <c r="BL25" i="20"/>
  <c r="BL23" i="20"/>
  <c r="BL20" i="20"/>
  <c r="BL15" i="20"/>
  <c r="BL10" i="20"/>
  <c r="BL22" i="20"/>
  <c r="BL12" i="20"/>
  <c r="BL24" i="20"/>
  <c r="BL8" i="20"/>
  <c r="BL18" i="20"/>
  <c r="BL9" i="20"/>
  <c r="BL21" i="20"/>
  <c r="BL41" i="20" l="1"/>
  <c r="BL40" i="20"/>
  <c r="BL35" i="20"/>
  <c r="BL38" i="20"/>
  <c r="BL30" i="20"/>
  <c r="BL13" i="20"/>
  <c r="BL48" i="20" l="1"/>
  <c r="BL38" i="19"/>
  <c r="BL39" i="19" s="1"/>
  <c r="BL41" i="19"/>
  <c r="BL40" i="19" l="1"/>
  <c r="BL8" i="26"/>
  <c r="BL42" i="19"/>
  <c r="BL14" i="23"/>
  <c r="BL33" i="9"/>
  <c r="BL18" i="26" l="1" a="1"/>
  <c r="BL18" i="26" s="1"/>
  <c r="BL10" i="26"/>
  <c r="BL11" i="26" s="1"/>
  <c r="BL16" i="26" a="1"/>
  <c r="BL16" i="26" s="1"/>
  <c r="BL17" i="26" s="1"/>
  <c r="BL35" i="9"/>
  <c r="BL36" i="9" s="1"/>
  <c r="BL39" i="9" s="1"/>
  <c r="BL19" i="26" l="1"/>
  <c r="BL17" i="17"/>
  <c r="BL22" i="16"/>
  <c r="BL45" i="19"/>
  <c r="BL13" i="26"/>
  <c r="BL17" i="23"/>
  <c r="BL16" i="17"/>
  <c r="BL21" i="16"/>
  <c r="BL44" i="19"/>
  <c r="BL19" i="23"/>
  <c r="BL37" i="9"/>
  <c r="BL40" i="9"/>
  <c r="BL38" i="9"/>
  <c r="BL41" i="9"/>
  <c r="BL46" i="19" l="1"/>
  <c r="BL18" i="17"/>
  <c r="BL24" i="17" s="1"/>
  <c r="BL25" i="17" s="1"/>
  <c r="BL26" i="17" s="1"/>
  <c r="BL15" i="26"/>
  <c r="BL12" i="22"/>
  <c r="BL20" i="16"/>
  <c r="BL23" i="16" s="1"/>
  <c r="BL49" i="19" l="1"/>
  <c r="BL50" i="19" s="1"/>
  <c r="BL17" i="22"/>
  <c r="BL18" i="22" s="1"/>
  <c r="BL15" i="23"/>
  <c r="BL30" i="16"/>
  <c r="BL31" i="16" s="1"/>
  <c r="BL13" i="19"/>
  <c r="BL14" i="19" s="1"/>
  <c r="BL8" i="19"/>
  <c r="BL27" i="17"/>
  <c r="BL32" i="16" l="1"/>
  <c r="BL19" i="22"/>
  <c r="BL7" i="23"/>
  <c r="BL29" i="17"/>
  <c r="BL30" i="17" s="1"/>
  <c r="BL28" i="17"/>
  <c r="BL51" i="19"/>
  <c r="BL7" i="19" l="1"/>
  <c r="BL33" i="16"/>
  <c r="BL55" i="19"/>
  <c r="BL8" i="23" s="1"/>
  <c r="BL10" i="19"/>
  <c r="BL20" i="22"/>
  <c r="BL9" i="19"/>
  <c r="BL22" i="22" l="1"/>
  <c r="BL23" i="22" s="1"/>
  <c r="BL9" i="23"/>
  <c r="BL21" i="22"/>
  <c r="BL6" i="23"/>
  <c r="BL35" i="16"/>
  <c r="BL36" i="16" s="1"/>
  <c r="BL34" i="16"/>
  <c r="BL11" i="19"/>
  <c r="BL53" i="19" s="1"/>
  <c r="BM16" i="19" s="1"/>
  <c r="BL10" i="23" l="1"/>
  <c r="BL12" i="23" s="1"/>
  <c r="BL13" i="23" s="1"/>
  <c r="BM17" i="19"/>
  <c r="BM21" i="19" l="1"/>
  <c r="BM19" i="19"/>
  <c r="BM20" i="19"/>
  <c r="BL11" i="23"/>
  <c r="BM22" i="19" l="1"/>
  <c r="BM24" i="19" s="1"/>
  <c r="BM12" i="26"/>
  <c r="BM14" i="26"/>
  <c r="BM29" i="19" l="1"/>
  <c r="BM30" i="19"/>
  <c r="BM25" i="19"/>
  <c r="BP56" i="19" l="1"/>
  <c r="BN27" i="19"/>
  <c r="BM35" i="19"/>
  <c r="BM47" i="19"/>
  <c r="BM16" i="23"/>
  <c r="BS57" i="19" l="1"/>
  <c r="BP65" i="19"/>
  <c r="BP43" i="19"/>
  <c r="BP66" i="19"/>
  <c r="BM48" i="19"/>
  <c r="BM18" i="23"/>
  <c r="BM36" i="19"/>
  <c r="BM47" i="20" s="1"/>
  <c r="BM30" i="9"/>
  <c r="BM31" i="9" s="1"/>
  <c r="BM32" i="9" s="1"/>
  <c r="BM40" i="20" l="1"/>
  <c r="BM44" i="20"/>
  <c r="BM42" i="20"/>
  <c r="BM39" i="20"/>
  <c r="BM43" i="20"/>
  <c r="BM41" i="20"/>
  <c r="BM45" i="20"/>
  <c r="BM38" i="20"/>
  <c r="BM46" i="20"/>
  <c r="BM35" i="20"/>
  <c r="BM36" i="20"/>
  <c r="BM34" i="20"/>
  <c r="BM37" i="20"/>
  <c r="BM32" i="20"/>
  <c r="BM31" i="20"/>
  <c r="BM33" i="20"/>
  <c r="BM29" i="20"/>
  <c r="BM30" i="20"/>
  <c r="BP59" i="19"/>
  <c r="BM25" i="20"/>
  <c r="BM27" i="20"/>
  <c r="BM13" i="20"/>
  <c r="BM20" i="20"/>
  <c r="BM22" i="20"/>
  <c r="BM21" i="20"/>
  <c r="BM10" i="20"/>
  <c r="BM17" i="20"/>
  <c r="BM14" i="20"/>
  <c r="BM19" i="20"/>
  <c r="BM24" i="20"/>
  <c r="BM9" i="20"/>
  <c r="BM23" i="20"/>
  <c r="BM18" i="20"/>
  <c r="BM15" i="20"/>
  <c r="BM26" i="20"/>
  <c r="BM12" i="20"/>
  <c r="BM11" i="20"/>
  <c r="BM8" i="20"/>
  <c r="BM28" i="20"/>
  <c r="BM16" i="20"/>
  <c r="BM48" i="20" l="1"/>
  <c r="BM38" i="19"/>
  <c r="BM40" i="19" l="1"/>
  <c r="BM41" i="19"/>
  <c r="BM39" i="19"/>
  <c r="BM8" i="26" l="1"/>
  <c r="BM42" i="19"/>
  <c r="BM14" i="23"/>
  <c r="BM33" i="9"/>
  <c r="BM18" i="26" l="1" a="1"/>
  <c r="BM18" i="26" s="1"/>
  <c r="BM10" i="26"/>
  <c r="BM11" i="26" s="1"/>
  <c r="BM16" i="26" a="1"/>
  <c r="BM16" i="26" s="1"/>
  <c r="BM35" i="9"/>
  <c r="BM36" i="9" s="1"/>
  <c r="BM38" i="9" s="1"/>
  <c r="BM19" i="26" l="1"/>
  <c r="BM17" i="17"/>
  <c r="BM22" i="16"/>
  <c r="BM45" i="19"/>
  <c r="BM16" i="17"/>
  <c r="BM21" i="16"/>
  <c r="BM44" i="19"/>
  <c r="BM17" i="26"/>
  <c r="BM13" i="26"/>
  <c r="BM17" i="23"/>
  <c r="BM20" i="16"/>
  <c r="BM39" i="9"/>
  <c r="BM19" i="23"/>
  <c r="BM37" i="9"/>
  <c r="BM40" i="9"/>
  <c r="BM41" i="9"/>
  <c r="BM18" i="17" l="1"/>
  <c r="BM23" i="16"/>
  <c r="BM30" i="16" s="1"/>
  <c r="BM31" i="16" s="1"/>
  <c r="BM32" i="16" s="1"/>
  <c r="BM46" i="19"/>
  <c r="BM15" i="26"/>
  <c r="BM12" i="22"/>
  <c r="BM13" i="19" l="1"/>
  <c r="BM14" i="19" s="1"/>
  <c r="BM15" i="23"/>
  <c r="BM7" i="19"/>
  <c r="BM33" i="16"/>
  <c r="BM24" i="17"/>
  <c r="BM25" i="17" s="1"/>
  <c r="BM49" i="19"/>
  <c r="BM50" i="19" s="1"/>
  <c r="BM17" i="22"/>
  <c r="BM18" i="22" s="1"/>
  <c r="BM19" i="22" l="1"/>
  <c r="BM51" i="19"/>
  <c r="BM26" i="17"/>
  <c r="BM6" i="23"/>
  <c r="BM35" i="16"/>
  <c r="BM36" i="16" s="1"/>
  <c r="BM34" i="16"/>
  <c r="BM8" i="19" l="1"/>
  <c r="BM27" i="17"/>
  <c r="BM55" i="19"/>
  <c r="BM8" i="23" s="1"/>
  <c r="BM10" i="19"/>
  <c r="BM20" i="22"/>
  <c r="BM9" i="19"/>
  <c r="BM22" i="22" l="1"/>
  <c r="BM23" i="22" s="1"/>
  <c r="BM9" i="23"/>
  <c r="BM21" i="22"/>
  <c r="BM7" i="23"/>
  <c r="BM29" i="17"/>
  <c r="BM30" i="17" s="1"/>
  <c r="BM28" i="17"/>
  <c r="BM11" i="19"/>
  <c r="BM53" i="19" s="1"/>
  <c r="BN16" i="19" s="1"/>
  <c r="BM10" i="23" l="1"/>
  <c r="BM11" i="23" s="1"/>
  <c r="BN17" i="19"/>
  <c r="BN21" i="19" l="1"/>
  <c r="BN20" i="19"/>
  <c r="BN19" i="19"/>
  <c r="BM12" i="23"/>
  <c r="BM13" i="23" s="1"/>
  <c r="BN22" i="19" l="1"/>
  <c r="BN24" i="19" s="1"/>
  <c r="BN12" i="26"/>
  <c r="BN14" i="26"/>
  <c r="BN30" i="19" l="1"/>
  <c r="BN29" i="19"/>
  <c r="BN25" i="19"/>
  <c r="BQ56" i="19" l="1"/>
  <c r="BO27" i="19"/>
  <c r="BN35" i="19"/>
  <c r="BN47" i="19"/>
  <c r="BN16" i="23"/>
  <c r="BN48" i="19" l="1"/>
  <c r="BN18" i="23"/>
  <c r="BN36" i="19"/>
  <c r="BN47" i="20" s="1"/>
  <c r="BN30" i="9"/>
  <c r="BN31" i="9" s="1"/>
  <c r="BN32" i="9" s="1"/>
  <c r="BQ65" i="19"/>
  <c r="BT57" i="19"/>
  <c r="BQ66" i="19"/>
  <c r="BQ43" i="19"/>
  <c r="BN41" i="20" l="1"/>
  <c r="BN40" i="20"/>
  <c r="BN42" i="20"/>
  <c r="BN43" i="20"/>
  <c r="BN39" i="20"/>
  <c r="BN45" i="20"/>
  <c r="BN44" i="20"/>
  <c r="BN46" i="20"/>
  <c r="BN36" i="20"/>
  <c r="BN35" i="20"/>
  <c r="BN37" i="20"/>
  <c r="BN38" i="20"/>
  <c r="BN33" i="20"/>
  <c r="BN32" i="20"/>
  <c r="BN34" i="20"/>
  <c r="BN30" i="20"/>
  <c r="BN31" i="20"/>
  <c r="BQ59" i="19"/>
  <c r="BN8" i="20"/>
  <c r="BN11" i="20"/>
  <c r="BN24" i="20"/>
  <c r="BN9" i="20"/>
  <c r="BN22" i="20"/>
  <c r="BN27" i="20"/>
  <c r="BN21" i="20"/>
  <c r="BN14" i="20"/>
  <c r="BN28" i="20"/>
  <c r="BN17" i="20"/>
  <c r="BN29" i="20"/>
  <c r="BN26" i="20"/>
  <c r="BN13" i="20"/>
  <c r="BN18" i="20"/>
  <c r="BN20" i="20"/>
  <c r="BN19" i="20"/>
  <c r="BN16" i="20"/>
  <c r="BN12" i="20"/>
  <c r="BN10" i="20"/>
  <c r="BN23" i="20"/>
  <c r="BN25" i="20"/>
  <c r="BN15" i="20"/>
  <c r="BN48" i="20" l="1"/>
  <c r="BN38" i="19"/>
  <c r="BN41" i="19" l="1"/>
  <c r="BN40" i="19"/>
  <c r="BN39" i="19"/>
  <c r="BN8" i="26" l="1"/>
  <c r="BN42" i="19"/>
  <c r="BN33" i="9"/>
  <c r="BN14" i="23"/>
  <c r="BN18" i="26" l="1" a="1"/>
  <c r="BN18" i="26" s="1"/>
  <c r="BN10" i="26"/>
  <c r="BN11" i="26" s="1"/>
  <c r="BN16" i="26" a="1"/>
  <c r="BN16" i="26" s="1"/>
  <c r="BN17" i="26" s="1"/>
  <c r="BN35" i="9"/>
  <c r="BN36" i="9" s="1"/>
  <c r="BN40" i="9" s="1"/>
  <c r="BN19" i="26" l="1"/>
  <c r="BN17" i="17"/>
  <c r="BN22" i="16"/>
  <c r="BN45" i="19"/>
  <c r="BN13" i="26"/>
  <c r="BN17" i="23"/>
  <c r="BN16" i="17"/>
  <c r="BN21" i="16"/>
  <c r="BN44" i="19"/>
  <c r="BN19" i="23"/>
  <c r="BN37" i="9"/>
  <c r="BN38" i="9"/>
  <c r="BN39" i="9"/>
  <c r="BN41" i="9"/>
  <c r="BN46" i="19" l="1"/>
  <c r="BN49" i="19" s="1"/>
  <c r="BN50" i="19" s="1"/>
  <c r="BN18" i="17"/>
  <c r="BN15" i="26"/>
  <c r="BN12" i="22"/>
  <c r="BN20" i="16"/>
  <c r="BN23" i="16" s="1"/>
  <c r="BN51" i="19" l="1"/>
  <c r="BN15" i="23"/>
  <c r="BN30" i="16"/>
  <c r="BN31" i="16" s="1"/>
  <c r="BN13" i="19"/>
  <c r="BN14" i="19" s="1"/>
  <c r="BN24" i="17"/>
  <c r="BN25" i="17" s="1"/>
  <c r="BN26" i="17" s="1"/>
  <c r="BN17" i="22"/>
  <c r="BN18" i="22" s="1"/>
  <c r="BN55" i="19" l="1"/>
  <c r="BN8" i="23" s="1"/>
  <c r="BN10" i="19"/>
  <c r="BN8" i="19"/>
  <c r="BN27" i="17"/>
  <c r="BN19" i="22"/>
  <c r="BN32" i="16"/>
  <c r="BN20" i="22" l="1"/>
  <c r="BN9" i="19"/>
  <c r="BN7" i="19"/>
  <c r="BN33" i="16"/>
  <c r="BN7" i="23"/>
  <c r="BN29" i="17"/>
  <c r="BN30" i="17" s="1"/>
  <c r="BN28" i="17"/>
  <c r="BN11" i="19" l="1"/>
  <c r="BN53" i="19" s="1"/>
  <c r="BN9" i="23"/>
  <c r="BN22" i="22"/>
  <c r="BN23" i="22" s="1"/>
  <c r="BN21" i="22"/>
  <c r="BN6" i="23"/>
  <c r="BN35" i="16"/>
  <c r="BN36" i="16" s="1"/>
  <c r="BN34" i="16"/>
  <c r="BO16" i="19" l="1"/>
  <c r="BO17" i="19" s="1"/>
  <c r="BN10" i="23"/>
  <c r="BN12" i="23" s="1"/>
  <c r="BN13" i="23" s="1"/>
  <c r="BO20" i="19" l="1"/>
  <c r="BO19" i="19"/>
  <c r="BO21" i="19"/>
  <c r="BN11" i="23"/>
  <c r="BO12" i="26" l="1"/>
  <c r="BO14" i="26"/>
  <c r="BO22" i="19"/>
  <c r="BO24" i="19" s="1"/>
  <c r="BO30" i="19" s="1"/>
  <c r="BO25" i="19" l="1"/>
  <c r="BR56" i="19" s="1"/>
  <c r="BO29" i="19"/>
  <c r="BO47" i="19" s="1"/>
  <c r="BO16" i="23" l="1"/>
  <c r="BO35" i="19"/>
  <c r="BO18" i="23" s="1"/>
  <c r="BP27" i="19"/>
  <c r="BO48" i="19"/>
  <c r="BR66" i="19"/>
  <c r="BR65" i="19"/>
  <c r="BR43" i="19"/>
  <c r="BU57" i="19"/>
  <c r="BO36" i="19" l="1"/>
  <c r="BO47" i="20" s="1"/>
  <c r="BO30" i="9"/>
  <c r="BO31" i="9" s="1"/>
  <c r="BO32" i="9" s="1"/>
  <c r="BO42" i="20"/>
  <c r="BO46" i="20"/>
  <c r="BO45" i="20"/>
  <c r="BO43" i="20"/>
  <c r="BO40" i="20"/>
  <c r="BO39" i="20"/>
  <c r="BO38" i="20"/>
  <c r="BO37" i="20"/>
  <c r="BO36" i="20"/>
  <c r="BO34" i="20"/>
  <c r="BO35" i="20"/>
  <c r="BO32" i="20"/>
  <c r="BR59" i="19"/>
  <c r="BO18" i="20"/>
  <c r="BO23" i="20"/>
  <c r="BO14" i="20"/>
  <c r="BO16" i="20"/>
  <c r="BO12" i="20"/>
  <c r="BO27" i="20"/>
  <c r="BO24" i="20"/>
  <c r="BO13" i="20"/>
  <c r="BO29" i="20"/>
  <c r="BO17" i="20"/>
  <c r="BO19" i="20"/>
  <c r="BO8" i="20"/>
  <c r="BO10" i="20"/>
  <c r="BO28" i="20"/>
  <c r="BO11" i="20"/>
  <c r="BO15" i="20" l="1"/>
  <c r="BO30" i="20"/>
  <c r="BO26" i="20"/>
  <c r="BO9" i="20"/>
  <c r="BO20" i="20"/>
  <c r="BO41" i="20"/>
  <c r="BO44" i="20"/>
  <c r="BO31" i="20"/>
  <c r="BO22" i="20"/>
  <c r="BO25" i="20"/>
  <c r="BO21" i="20"/>
  <c r="BO33" i="20"/>
  <c r="BO48" i="20" l="1"/>
  <c r="BO38" i="19"/>
  <c r="BO41" i="19" s="1"/>
  <c r="BO40" i="19" l="1"/>
  <c r="BO39" i="19"/>
  <c r="BO33" i="9" s="1"/>
  <c r="BO8" i="26"/>
  <c r="BO14" i="23" l="1"/>
  <c r="BO42" i="19"/>
  <c r="BO18" i="26" a="1"/>
  <c r="BO18" i="26" s="1"/>
  <c r="BO10" i="26"/>
  <c r="BO11" i="26" s="1"/>
  <c r="BO16" i="26" a="1"/>
  <c r="BO16" i="26" s="1"/>
  <c r="BO17" i="26" s="1"/>
  <c r="BO35" i="9"/>
  <c r="BO36" i="9" s="1"/>
  <c r="BO40" i="9" s="1"/>
  <c r="BO19" i="26" l="1"/>
  <c r="BO17" i="17"/>
  <c r="BO22" i="16"/>
  <c r="BO45" i="19"/>
  <c r="BO17" i="23"/>
  <c r="BO13" i="26"/>
  <c r="BO16" i="17"/>
  <c r="BO21" i="16"/>
  <c r="BO44" i="19"/>
  <c r="BO41" i="9"/>
  <c r="BO12" i="22" s="1"/>
  <c r="BO39" i="9"/>
  <c r="BO19" i="23"/>
  <c r="BO37" i="9"/>
  <c r="BO38" i="9"/>
  <c r="BO46" i="19" l="1"/>
  <c r="BO49" i="19" s="1"/>
  <c r="BO50" i="19" s="1"/>
  <c r="BO51" i="19" s="1"/>
  <c r="BO18" i="17"/>
  <c r="BO24" i="17" s="1"/>
  <c r="BO25" i="17" s="1"/>
  <c r="BO26" i="17" s="1"/>
  <c r="BO15" i="26"/>
  <c r="BO20" i="16"/>
  <c r="BO23" i="16" s="1"/>
  <c r="BO17" i="22"/>
  <c r="BO18" i="22" s="1"/>
  <c r="BO19" i="22" s="1"/>
  <c r="BO55" i="19" l="1"/>
  <c r="BO8" i="23" s="1"/>
  <c r="BO10" i="19"/>
  <c r="BO20" i="22"/>
  <c r="BO9" i="19"/>
  <c r="BO27" i="17"/>
  <c r="BO8" i="19"/>
  <c r="BO15" i="23"/>
  <c r="BO30" i="16"/>
  <c r="BO31" i="16" s="1"/>
  <c r="BO32" i="16" s="1"/>
  <c r="BO13" i="19"/>
  <c r="BO14" i="19" s="1"/>
  <c r="BO7" i="19" l="1"/>
  <c r="BO11" i="19" s="1"/>
  <c r="BO53" i="19" s="1"/>
  <c r="BP16" i="19" s="1"/>
  <c r="BO33" i="16"/>
  <c r="BO7" i="23"/>
  <c r="BO29" i="17"/>
  <c r="BO30" i="17" s="1"/>
  <c r="BO28" i="17"/>
  <c r="BO9" i="23"/>
  <c r="BO22" i="22"/>
  <c r="BO23" i="22" s="1"/>
  <c r="BO21" i="22"/>
  <c r="BO6" i="23" l="1"/>
  <c r="BO10" i="23" s="1"/>
  <c r="BO35" i="16"/>
  <c r="BO36" i="16" s="1"/>
  <c r="BO34" i="16"/>
  <c r="BP17" i="19"/>
  <c r="BP20" i="19" l="1"/>
  <c r="BP19" i="19"/>
  <c r="BP21" i="19"/>
  <c r="BO12" i="23"/>
  <c r="BO13" i="23" s="1"/>
  <c r="BO11" i="23"/>
  <c r="BP22" i="19" l="1"/>
  <c r="BP24" i="19" s="1"/>
  <c r="BP12" i="26"/>
  <c r="BP14" i="26"/>
  <c r="BP30" i="19" l="1"/>
  <c r="BP29" i="19"/>
  <c r="BP25" i="19"/>
  <c r="BS56" i="19" l="1"/>
  <c r="BQ27" i="19"/>
  <c r="BP35" i="19"/>
  <c r="BP47" i="19"/>
  <c r="BP16" i="23"/>
  <c r="BP18" i="23" l="1"/>
  <c r="BP36" i="19"/>
  <c r="BP47" i="20" s="1"/>
  <c r="BP30" i="9"/>
  <c r="BP31" i="9" s="1"/>
  <c r="BP32" i="9" s="1"/>
  <c r="BS65" i="19"/>
  <c r="BV57" i="19"/>
  <c r="BS43" i="19"/>
  <c r="BS66" i="19"/>
  <c r="BP48" i="19"/>
  <c r="BP43" i="20" l="1"/>
  <c r="BP41" i="20"/>
  <c r="BP46" i="20"/>
  <c r="BP44" i="20"/>
  <c r="BP45" i="20"/>
  <c r="BP42" i="20"/>
  <c r="BP37" i="20"/>
  <c r="BP39" i="20"/>
  <c r="BP40" i="20"/>
  <c r="BP38" i="20"/>
  <c r="BP35" i="20"/>
  <c r="BP34" i="20"/>
  <c r="BP36" i="20"/>
  <c r="BP32" i="20"/>
  <c r="BP33" i="20"/>
  <c r="BS59" i="19"/>
  <c r="BP26" i="20"/>
  <c r="BP15" i="20"/>
  <c r="BP12" i="20"/>
  <c r="BP13" i="20"/>
  <c r="BP31" i="20"/>
  <c r="BP29" i="20"/>
  <c r="BP20" i="20"/>
  <c r="BP11" i="20"/>
  <c r="BP10" i="20"/>
  <c r="BP9" i="20"/>
  <c r="BP18" i="20"/>
  <c r="BP17" i="20"/>
  <c r="BP22" i="20"/>
  <c r="BP28" i="20"/>
  <c r="BP25" i="20"/>
  <c r="BP19" i="20"/>
  <c r="BP21" i="20"/>
  <c r="BP16" i="20"/>
  <c r="BP14" i="20"/>
  <c r="BP8" i="20"/>
  <c r="BP30" i="20"/>
  <c r="BP27" i="20"/>
  <c r="BP24" i="20"/>
  <c r="BP23" i="20"/>
  <c r="BP48" i="20" l="1"/>
  <c r="BP38" i="19"/>
  <c r="BP41" i="19" l="1"/>
  <c r="BP39" i="19"/>
  <c r="BP40" i="19"/>
  <c r="BP8" i="26" l="1"/>
  <c r="BP42" i="19"/>
  <c r="BP14" i="23"/>
  <c r="BP33" i="9"/>
  <c r="BP18" i="26" l="1" a="1"/>
  <c r="BP18" i="26" s="1"/>
  <c r="BP10" i="26"/>
  <c r="BP11" i="26" s="1"/>
  <c r="BP16" i="26" a="1"/>
  <c r="BP16" i="26" s="1"/>
  <c r="BP17" i="26" s="1"/>
  <c r="BP35" i="9"/>
  <c r="BP36" i="9" s="1"/>
  <c r="BP19" i="26" l="1"/>
  <c r="BP17" i="17"/>
  <c r="BP22" i="16"/>
  <c r="BP45" i="19"/>
  <c r="BP13" i="26"/>
  <c r="BP17" i="23"/>
  <c r="BP16" i="17"/>
  <c r="BP21" i="16"/>
  <c r="BP44" i="19"/>
  <c r="BP19" i="23"/>
  <c r="BP37" i="9"/>
  <c r="BP38" i="9"/>
  <c r="BP39" i="9"/>
  <c r="BP40" i="9"/>
  <c r="BP41" i="9"/>
  <c r="BP46" i="19" l="1"/>
  <c r="BP18" i="17"/>
  <c r="BP15" i="26"/>
  <c r="BP20" i="16"/>
  <c r="BP23" i="16" s="1"/>
  <c r="BP12" i="22"/>
  <c r="BP17" i="22" l="1"/>
  <c r="BP18" i="22" s="1"/>
  <c r="BP19" i="22" s="1"/>
  <c r="BP15" i="23"/>
  <c r="BP30" i="16"/>
  <c r="BP31" i="16" s="1"/>
  <c r="BP32" i="16" s="1"/>
  <c r="BP13" i="19"/>
  <c r="BP14" i="19" s="1"/>
  <c r="BP24" i="17"/>
  <c r="BP25" i="17" s="1"/>
  <c r="BP26" i="17" s="1"/>
  <c r="BP49" i="19"/>
  <c r="BP50" i="19" s="1"/>
  <c r="BP51" i="19" s="1"/>
  <c r="BP20" i="22" l="1"/>
  <c r="BP9" i="19"/>
  <c r="BP27" i="17"/>
  <c r="BP8" i="19"/>
  <c r="BP55" i="19"/>
  <c r="BP8" i="23" s="1"/>
  <c r="BP10" i="19"/>
  <c r="BP7" i="19"/>
  <c r="BP33" i="16"/>
  <c r="BP7" i="23" l="1"/>
  <c r="BP29" i="17"/>
  <c r="BP30" i="17" s="1"/>
  <c r="BP28" i="17"/>
  <c r="BP22" i="22"/>
  <c r="BP23" i="22" s="1"/>
  <c r="BP9" i="23"/>
  <c r="BP21" i="22"/>
  <c r="BP6" i="23"/>
  <c r="BP35" i="16"/>
  <c r="BP36" i="16" s="1"/>
  <c r="BP34" i="16"/>
  <c r="BP11" i="19"/>
  <c r="BP53" i="19" s="1"/>
  <c r="BQ16" i="19" s="1"/>
  <c r="BP10" i="23" l="1"/>
  <c r="BQ17" i="19"/>
  <c r="BQ19" i="19" l="1"/>
  <c r="BQ20" i="19"/>
  <c r="BQ21" i="19"/>
  <c r="BP12" i="23"/>
  <c r="BP13" i="23" s="1"/>
  <c r="BP11" i="23"/>
  <c r="BQ22" i="19" l="1"/>
  <c r="BQ24" i="19" s="1"/>
  <c r="BQ12" i="26"/>
  <c r="BQ14" i="26"/>
  <c r="BQ30" i="19" l="1"/>
  <c r="BQ29" i="19"/>
  <c r="BQ25" i="19"/>
  <c r="BT56" i="19" l="1"/>
  <c r="BR27" i="19"/>
  <c r="BQ35" i="19"/>
  <c r="BQ47" i="19"/>
  <c r="BQ16" i="23"/>
  <c r="BQ48" i="19" l="1"/>
  <c r="BQ18" i="23"/>
  <c r="BQ36" i="19"/>
  <c r="BQ47" i="20" s="1"/>
  <c r="BQ30" i="9"/>
  <c r="BQ31" i="9" s="1"/>
  <c r="BQ32" i="9" s="1"/>
  <c r="BT65" i="19"/>
  <c r="BW57" i="19"/>
  <c r="BT43" i="19"/>
  <c r="BT66" i="19"/>
  <c r="BQ42" i="20" l="1"/>
  <c r="BQ43" i="20"/>
  <c r="BQ44" i="20"/>
  <c r="BQ45" i="20"/>
  <c r="BQ46" i="20"/>
  <c r="BQ39" i="20"/>
  <c r="BQ41" i="20"/>
  <c r="BQ40" i="20"/>
  <c r="BQ37" i="20"/>
  <c r="BQ38" i="20"/>
  <c r="BQ36" i="20"/>
  <c r="BQ35" i="20"/>
  <c r="BQ33" i="20"/>
  <c r="BQ34" i="20"/>
  <c r="BT59" i="19"/>
  <c r="BQ18" i="20"/>
  <c r="BQ15" i="20"/>
  <c r="BQ23" i="20"/>
  <c r="BQ11" i="20"/>
  <c r="BQ12" i="20"/>
  <c r="BQ24" i="20"/>
  <c r="BQ13" i="20"/>
  <c r="BQ27" i="20"/>
  <c r="BQ20" i="20"/>
  <c r="BQ28" i="20"/>
  <c r="BQ30" i="20"/>
  <c r="BQ8" i="20"/>
  <c r="BQ16" i="20"/>
  <c r="BQ32" i="20"/>
  <c r="BQ26" i="20"/>
  <c r="BQ31" i="20"/>
  <c r="BQ25" i="20"/>
  <c r="BQ21" i="20"/>
  <c r="BQ22" i="20"/>
  <c r="BQ10" i="20"/>
  <c r="BQ29" i="20"/>
  <c r="BQ14" i="20"/>
  <c r="BQ17" i="20"/>
  <c r="BQ9" i="20"/>
  <c r="BQ19" i="20"/>
  <c r="BQ48" i="20" l="1"/>
  <c r="BQ38" i="19"/>
  <c r="BQ41" i="19" l="1"/>
  <c r="BQ39" i="19"/>
  <c r="BQ40" i="19"/>
  <c r="BQ8" i="26" l="1"/>
  <c r="BQ42" i="19"/>
  <c r="BQ14" i="23"/>
  <c r="BQ33" i="9"/>
  <c r="BQ18" i="26" l="1" a="1"/>
  <c r="BQ18" i="26" s="1"/>
  <c r="BQ10" i="26"/>
  <c r="BQ11" i="26" s="1"/>
  <c r="BQ16" i="26" a="1"/>
  <c r="BQ16" i="26" s="1"/>
  <c r="BQ35" i="9"/>
  <c r="BQ36" i="9" s="1"/>
  <c r="BQ38" i="9" s="1"/>
  <c r="BQ20" i="16" s="1"/>
  <c r="BQ19" i="26" l="1"/>
  <c r="BQ17" i="17"/>
  <c r="BQ22" i="16"/>
  <c r="BQ45" i="19"/>
  <c r="BQ16" i="17"/>
  <c r="BQ21" i="16"/>
  <c r="BQ44" i="19"/>
  <c r="BQ17" i="26"/>
  <c r="BQ13" i="26"/>
  <c r="BQ17" i="23"/>
  <c r="BQ41" i="9"/>
  <c r="BQ12" i="22" s="1"/>
  <c r="BQ17" i="22" s="1"/>
  <c r="BQ18" i="22" s="1"/>
  <c r="BQ19" i="22" s="1"/>
  <c r="BQ39" i="9"/>
  <c r="BQ40" i="9"/>
  <c r="BQ19" i="23"/>
  <c r="BQ37" i="9"/>
  <c r="BQ18" i="17" l="1"/>
  <c r="BQ24" i="17" s="1"/>
  <c r="BQ25" i="17" s="1"/>
  <c r="BQ26" i="17" s="1"/>
  <c r="BQ46" i="19"/>
  <c r="BQ49" i="19" s="1"/>
  <c r="BQ50" i="19" s="1"/>
  <c r="BQ51" i="19" s="1"/>
  <c r="BQ23" i="16"/>
  <c r="BQ30" i="16" s="1"/>
  <c r="BQ31" i="16" s="1"/>
  <c r="BQ32" i="16" s="1"/>
  <c r="BQ33" i="16" s="1"/>
  <c r="BQ15" i="26"/>
  <c r="BQ20" i="22"/>
  <c r="BQ9" i="19"/>
  <c r="BQ7" i="19" l="1"/>
  <c r="BQ27" i="17"/>
  <c r="BQ29" i="17" s="1"/>
  <c r="BQ30" i="17" s="1"/>
  <c r="BQ8" i="19"/>
  <c r="BQ13" i="19"/>
  <c r="BQ14" i="19" s="1"/>
  <c r="BQ15" i="23"/>
  <c r="BQ55" i="19"/>
  <c r="BQ8" i="23" s="1"/>
  <c r="BQ10" i="19"/>
  <c r="BQ6" i="23"/>
  <c r="BQ35" i="16"/>
  <c r="BQ36" i="16" s="1"/>
  <c r="BQ34" i="16"/>
  <c r="BQ9" i="23"/>
  <c r="BQ22" i="22"/>
  <c r="BQ23" i="22" s="1"/>
  <c r="BQ21" i="22"/>
  <c r="BQ7" i="23" l="1"/>
  <c r="BQ10" i="23" s="1"/>
  <c r="BQ11" i="23" s="1"/>
  <c r="BQ11" i="19"/>
  <c r="BQ53" i="19" s="1"/>
  <c r="BQ28" i="17"/>
  <c r="BR16" i="19" l="1"/>
  <c r="BR17" i="19" s="1"/>
  <c r="BQ12" i="23"/>
  <c r="BQ13" i="23" s="1"/>
  <c r="BR21" i="19" l="1"/>
  <c r="BR20" i="19"/>
  <c r="BR19" i="19"/>
  <c r="BR12" i="26" l="1"/>
  <c r="BR14" i="26"/>
  <c r="BR22" i="19"/>
  <c r="BR24" i="19" s="1"/>
  <c r="BR29" i="19" s="1"/>
  <c r="BR25" i="19" l="1"/>
  <c r="BS27" i="19" s="1"/>
  <c r="BR30" i="19"/>
  <c r="BR16" i="23" s="1"/>
  <c r="BR47" i="19"/>
  <c r="BR35" i="19" l="1"/>
  <c r="BR30" i="9" s="1"/>
  <c r="BR31" i="9" s="1"/>
  <c r="BR32" i="9" s="1"/>
  <c r="BU56" i="19"/>
  <c r="BU65" i="19" s="1"/>
  <c r="BR18" i="23"/>
  <c r="BR48" i="19"/>
  <c r="BR36" i="19" l="1"/>
  <c r="BR47" i="20" s="1"/>
  <c r="BU43" i="19"/>
  <c r="BU66" i="19"/>
  <c r="BU59" i="19" s="1"/>
  <c r="BX57" i="19"/>
  <c r="BR44" i="20"/>
  <c r="BR46" i="20"/>
  <c r="BR43" i="20"/>
  <c r="BR45" i="20"/>
  <c r="BR42" i="20"/>
  <c r="BR39" i="20"/>
  <c r="BR38" i="20"/>
  <c r="BR41" i="20"/>
  <c r="BR40" i="20"/>
  <c r="BR36" i="20"/>
  <c r="BR37" i="20"/>
  <c r="BR34" i="20"/>
  <c r="BR35" i="20"/>
  <c r="BR14" i="20"/>
  <c r="BR32" i="20"/>
  <c r="BR17" i="20"/>
  <c r="BR16" i="20"/>
  <c r="BR33" i="20"/>
  <c r="BR22" i="20"/>
  <c r="BR9" i="20"/>
  <c r="BR8" i="20"/>
  <c r="BR18" i="20"/>
  <c r="BR13" i="20"/>
  <c r="BR20" i="20"/>
  <c r="BR27" i="20"/>
  <c r="BR26" i="20"/>
  <c r="BR10" i="20"/>
  <c r="BR15" i="20"/>
  <c r="BR30" i="20"/>
  <c r="BR28" i="20"/>
  <c r="BR12" i="20"/>
  <c r="BR31" i="20"/>
  <c r="BR29" i="20"/>
  <c r="BR19" i="20"/>
  <c r="BR11" i="20"/>
  <c r="BR24" i="20"/>
  <c r="BR25" i="20"/>
  <c r="BR21" i="20"/>
  <c r="BR23" i="20"/>
  <c r="BR48" i="20" l="1"/>
  <c r="BR38" i="19"/>
  <c r="BR40" i="19" l="1"/>
  <c r="BR39" i="19"/>
  <c r="BR41" i="19"/>
  <c r="BR8" i="26" l="1"/>
  <c r="BR42" i="19"/>
  <c r="BR33" i="9"/>
  <c r="BR14" i="23"/>
  <c r="BR18" i="26" l="1" a="1"/>
  <c r="BR18" i="26" s="1"/>
  <c r="BR10" i="26"/>
  <c r="BR11" i="26" s="1"/>
  <c r="BR16" i="26" a="1"/>
  <c r="BR16" i="26" s="1"/>
  <c r="BR35" i="9"/>
  <c r="BR36" i="9" s="1"/>
  <c r="BR40" i="9" s="1"/>
  <c r="BR19" i="26" l="1"/>
  <c r="BR17" i="17"/>
  <c r="BR22" i="16"/>
  <c r="BR45" i="19"/>
  <c r="BR16" i="17"/>
  <c r="BR21" i="16"/>
  <c r="BR44" i="19"/>
  <c r="BR17" i="26"/>
  <c r="BR13" i="26"/>
  <c r="BR17" i="23"/>
  <c r="BR39" i="9"/>
  <c r="BR19" i="23"/>
  <c r="BR37" i="9"/>
  <c r="BR38" i="9"/>
  <c r="BR20" i="16" s="1"/>
  <c r="BR41" i="9"/>
  <c r="BR12" i="22" s="1"/>
  <c r="BR23" i="16" l="1"/>
  <c r="BR30" i="16" s="1"/>
  <c r="BR31" i="16" s="1"/>
  <c r="BR32" i="16" s="1"/>
  <c r="BR18" i="17"/>
  <c r="BR46" i="19"/>
  <c r="BR49" i="19" s="1"/>
  <c r="BR50" i="19" s="1"/>
  <c r="BR51" i="19" s="1"/>
  <c r="BR15" i="26"/>
  <c r="BR17" i="22"/>
  <c r="BR18" i="22" s="1"/>
  <c r="BR19" i="22" s="1"/>
  <c r="BR55" i="19" l="1"/>
  <c r="BR8" i="23" s="1"/>
  <c r="BR10" i="19"/>
  <c r="BR13" i="19"/>
  <c r="BR14" i="19" s="1"/>
  <c r="BR15" i="23"/>
  <c r="BR24" i="17"/>
  <c r="BR25" i="17" s="1"/>
  <c r="BR26" i="17" s="1"/>
  <c r="BR8" i="19" s="1"/>
  <c r="BR7" i="19"/>
  <c r="BR33" i="16"/>
  <c r="BR20" i="22"/>
  <c r="BR9" i="19"/>
  <c r="BR27" i="17" l="1"/>
  <c r="BR28" i="17" s="1"/>
  <c r="BR9" i="23"/>
  <c r="BR22" i="22"/>
  <c r="BR23" i="22" s="1"/>
  <c r="BR21" i="22"/>
  <c r="BR6" i="23"/>
  <c r="BR35" i="16"/>
  <c r="BR36" i="16" s="1"/>
  <c r="BR34" i="16"/>
  <c r="BR11" i="19"/>
  <c r="BR53" i="19" s="1"/>
  <c r="BS16" i="19" s="1"/>
  <c r="BR7" i="23" l="1"/>
  <c r="BR10" i="23" s="1"/>
  <c r="BR12" i="23" s="1"/>
  <c r="BR13" i="23" s="1"/>
  <c r="BR29" i="17"/>
  <c r="BR30" i="17" s="1"/>
  <c r="BS17" i="19"/>
  <c r="BS20" i="19" l="1"/>
  <c r="BS21" i="19"/>
  <c r="BS19" i="19"/>
  <c r="BR11" i="23"/>
  <c r="BS22" i="19" l="1"/>
  <c r="BS24" i="19" s="1"/>
  <c r="BS12" i="26"/>
  <c r="BS14" i="26"/>
  <c r="BS30" i="19" l="1"/>
  <c r="BS29" i="19"/>
  <c r="BS25" i="19"/>
  <c r="BV56" i="19" l="1"/>
  <c r="BT27" i="19"/>
  <c r="BS35" i="19"/>
  <c r="BS47" i="19"/>
  <c r="BS16" i="23"/>
  <c r="BS48" i="19" l="1"/>
  <c r="BS18" i="23"/>
  <c r="BS36" i="19"/>
  <c r="BS47" i="20" s="1"/>
  <c r="BS30" i="9"/>
  <c r="BS31" i="9" s="1"/>
  <c r="BS32" i="9" s="1"/>
  <c r="BV65" i="19"/>
  <c r="BY57" i="19"/>
  <c r="BV66" i="19"/>
  <c r="BV43" i="19"/>
  <c r="BS46" i="20" l="1"/>
  <c r="BS44" i="20"/>
  <c r="BS45" i="20"/>
  <c r="BS39" i="20"/>
  <c r="BS41" i="20"/>
  <c r="BS40" i="20"/>
  <c r="BS42" i="20"/>
  <c r="BS43" i="20"/>
  <c r="BS37" i="20"/>
  <c r="BS38" i="20"/>
  <c r="BS35" i="20"/>
  <c r="BS36" i="20"/>
  <c r="BV59" i="19"/>
  <c r="BS33" i="20"/>
  <c r="BS16" i="20"/>
  <c r="BS10" i="20"/>
  <c r="BS11" i="20"/>
  <c r="BS18" i="20"/>
  <c r="BS29" i="20"/>
  <c r="BS20" i="20"/>
  <c r="BS23" i="20"/>
  <c r="BS9" i="20"/>
  <c r="BS30" i="20"/>
  <c r="BS17" i="20"/>
  <c r="BS22" i="20"/>
  <c r="BS24" i="20"/>
  <c r="BS13" i="20"/>
  <c r="BS34" i="20"/>
  <c r="BS27" i="20"/>
  <c r="BS31" i="20"/>
  <c r="BS26" i="20"/>
  <c r="BS19" i="20"/>
  <c r="BS8" i="20"/>
  <c r="BS28" i="20"/>
  <c r="BS21" i="20"/>
  <c r="BS32" i="20"/>
  <c r="BS15" i="20"/>
  <c r="BS12" i="20"/>
  <c r="BS25" i="20"/>
  <c r="BS14" i="20"/>
  <c r="BS48" i="20" l="1"/>
  <c r="BS38" i="19"/>
  <c r="BS41" i="19" l="1"/>
  <c r="BS39" i="19"/>
  <c r="BS40" i="19"/>
  <c r="BS8" i="26" l="1"/>
  <c r="BS42" i="19"/>
  <c r="BS14" i="23"/>
  <c r="BS33" i="9"/>
  <c r="BS18" i="26" l="1" a="1"/>
  <c r="BS18" i="26" s="1"/>
  <c r="BS10" i="26"/>
  <c r="BS11" i="26" s="1"/>
  <c r="BS16" i="26" a="1"/>
  <c r="BS16" i="26" s="1"/>
  <c r="BS35" i="9"/>
  <c r="BS36" i="9" s="1"/>
  <c r="BS39" i="9" s="1"/>
  <c r="BS19" i="26" l="1"/>
  <c r="BS17" i="17"/>
  <c r="BS22" i="16"/>
  <c r="BS45" i="19"/>
  <c r="BS16" i="17"/>
  <c r="BS21" i="16"/>
  <c r="BS44" i="19"/>
  <c r="BS17" i="26"/>
  <c r="BS13" i="26"/>
  <c r="BS17" i="23"/>
  <c r="BS38" i="9"/>
  <c r="BS20" i="16" s="1"/>
  <c r="BS41" i="9"/>
  <c r="BS12" i="22" s="1"/>
  <c r="BS17" i="22" s="1"/>
  <c r="BS18" i="22" s="1"/>
  <c r="BS19" i="22" s="1"/>
  <c r="BS19" i="23"/>
  <c r="BS37" i="9"/>
  <c r="BS40" i="9"/>
  <c r="BS46" i="19" l="1"/>
  <c r="BS49" i="19" s="1"/>
  <c r="BS50" i="19" s="1"/>
  <c r="BS51" i="19" s="1"/>
  <c r="BS23" i="16"/>
  <c r="BS18" i="17"/>
  <c r="BS24" i="17" s="1"/>
  <c r="BS25" i="17" s="1"/>
  <c r="BS26" i="17" s="1"/>
  <c r="BS15" i="26"/>
  <c r="BS20" i="22"/>
  <c r="BS9" i="19"/>
  <c r="BS8" i="19" l="1"/>
  <c r="BS27" i="17"/>
  <c r="BS7" i="23" s="1"/>
  <c r="BS15" i="23"/>
  <c r="BS30" i="16"/>
  <c r="BS31" i="16" s="1"/>
  <c r="BS32" i="16" s="1"/>
  <c r="BS33" i="16" s="1"/>
  <c r="BS6" i="23" s="1"/>
  <c r="BS13" i="19"/>
  <c r="BS14" i="19" s="1"/>
  <c r="BS55" i="19"/>
  <c r="BS8" i="23" s="1"/>
  <c r="BS10" i="19"/>
  <c r="BS22" i="22"/>
  <c r="BS23" i="22" s="1"/>
  <c r="BS9" i="23"/>
  <c r="BS21" i="22"/>
  <c r="BS28" i="17" l="1"/>
  <c r="BS29" i="17"/>
  <c r="BS30" i="17" s="1"/>
  <c r="BS34" i="16"/>
  <c r="BS35" i="16"/>
  <c r="BS36" i="16" s="1"/>
  <c r="BS7" i="19"/>
  <c r="BS11" i="19" s="1"/>
  <c r="BS53" i="19" s="1"/>
  <c r="BS10" i="23"/>
  <c r="BT16" i="19" l="1"/>
  <c r="BT17" i="19" s="1"/>
  <c r="BS12" i="23"/>
  <c r="BS13" i="23" s="1"/>
  <c r="BS11" i="23"/>
  <c r="BT21" i="19" l="1"/>
  <c r="BT19" i="19"/>
  <c r="BT20" i="19"/>
  <c r="BT12" i="26" l="1"/>
  <c r="BT14" i="26"/>
  <c r="BT22" i="19"/>
  <c r="BT24" i="19" s="1"/>
  <c r="BT30" i="19" s="1"/>
  <c r="BT25" i="19" l="1"/>
  <c r="BU27" i="19" s="1"/>
  <c r="BT29" i="19"/>
  <c r="BT47" i="19" s="1"/>
  <c r="BT16" i="23" l="1"/>
  <c r="BT35" i="19"/>
  <c r="BT18" i="23" s="1"/>
  <c r="BW56" i="19"/>
  <c r="BW66" i="19" s="1"/>
  <c r="BT48" i="19"/>
  <c r="BW43" i="19" l="1"/>
  <c r="BZ57" i="19"/>
  <c r="BW65" i="19"/>
  <c r="BW59" i="19" s="1"/>
  <c r="BT30" i="9"/>
  <c r="BT31" i="9" s="1"/>
  <c r="BT32" i="9" s="1"/>
  <c r="BT36" i="19"/>
  <c r="BT47" i="20" s="1"/>
  <c r="BT46" i="20"/>
  <c r="BT39" i="20"/>
  <c r="BT42" i="20"/>
  <c r="BT40" i="20"/>
  <c r="BT41" i="20"/>
  <c r="BT15" i="20"/>
  <c r="BT14" i="20"/>
  <c r="BT12" i="20" l="1"/>
  <c r="BT22" i="20"/>
  <c r="BT18" i="20"/>
  <c r="BT17" i="20"/>
  <c r="BT32" i="20"/>
  <c r="BT19" i="20"/>
  <c r="BT13" i="20"/>
  <c r="BT37" i="20"/>
  <c r="BT23" i="20"/>
  <c r="BT36" i="20"/>
  <c r="BT45" i="20"/>
  <c r="BT11" i="20"/>
  <c r="BT43" i="20"/>
  <c r="BT16" i="20"/>
  <c r="BT44" i="20"/>
  <c r="BT29" i="20"/>
  <c r="BT28" i="20"/>
  <c r="BT25" i="20"/>
  <c r="BT24" i="20"/>
  <c r="BT10" i="20"/>
  <c r="BT35" i="20"/>
  <c r="BT27" i="20"/>
  <c r="BT21" i="20"/>
  <c r="BT20" i="20"/>
  <c r="BT30" i="20"/>
  <c r="BT31" i="20"/>
  <c r="BT8" i="20"/>
  <c r="BT9" i="20"/>
  <c r="BT34" i="20"/>
  <c r="BT33" i="20"/>
  <c r="BT38" i="20"/>
  <c r="BT26" i="20"/>
  <c r="BT48" i="20" l="1"/>
  <c r="BT38" i="19"/>
  <c r="BT41" i="19" s="1"/>
  <c r="BT40" i="19" l="1"/>
  <c r="BT39" i="19"/>
  <c r="BT14" i="23" s="1"/>
  <c r="BT8" i="26"/>
  <c r="BT42" i="19" l="1"/>
  <c r="BT33" i="9"/>
  <c r="BT35" i="9" s="1"/>
  <c r="BT36" i="9" s="1"/>
  <c r="BT41" i="9" s="1"/>
  <c r="BT12" i="22" s="1"/>
  <c r="BT18" i="26" a="1"/>
  <c r="BT18" i="26" s="1"/>
  <c r="BT10" i="26"/>
  <c r="BT11" i="26" s="1"/>
  <c r="BT16" i="26" a="1"/>
  <c r="BT16" i="26" s="1"/>
  <c r="BT19" i="26" l="1"/>
  <c r="BT17" i="17"/>
  <c r="BT22" i="16"/>
  <c r="BT45" i="19"/>
  <c r="BT16" i="17"/>
  <c r="BT21" i="16"/>
  <c r="BT44" i="19"/>
  <c r="BT17" i="26"/>
  <c r="BT17" i="23"/>
  <c r="BT13" i="26"/>
  <c r="BT17" i="22"/>
  <c r="BT18" i="22" s="1"/>
  <c r="BT19" i="22" s="1"/>
  <c r="BT19" i="23"/>
  <c r="BT37" i="9"/>
  <c r="BT40" i="9"/>
  <c r="BT38" i="9"/>
  <c r="BT20" i="16" s="1"/>
  <c r="BT39" i="9"/>
  <c r="BT18" i="17" l="1"/>
  <c r="BT24" i="17" s="1"/>
  <c r="BT25" i="17" s="1"/>
  <c r="BT26" i="17" s="1"/>
  <c r="BT23" i="16"/>
  <c r="BT46" i="19"/>
  <c r="BT49" i="19" s="1"/>
  <c r="BT50" i="19" s="1"/>
  <c r="BT51" i="19" s="1"/>
  <c r="BT15" i="26"/>
  <c r="BT20" i="22"/>
  <c r="BT9" i="19"/>
  <c r="BT15" i="23" l="1"/>
  <c r="BT13" i="19"/>
  <c r="BT14" i="19" s="1"/>
  <c r="BT30" i="16"/>
  <c r="BT31" i="16" s="1"/>
  <c r="BT32" i="16" s="1"/>
  <c r="BT7" i="19" s="1"/>
  <c r="BT55" i="19"/>
  <c r="BT8" i="23" s="1"/>
  <c r="BT10" i="19"/>
  <c r="BT9" i="23"/>
  <c r="BT22" i="22"/>
  <c r="BT23" i="22" s="1"/>
  <c r="BT21" i="22"/>
  <c r="BT8" i="19"/>
  <c r="BT27" i="17"/>
  <c r="BT33" i="16" l="1"/>
  <c r="BT6" i="23" s="1"/>
  <c r="BT11" i="19"/>
  <c r="BT53" i="19" s="1"/>
  <c r="BT7" i="23"/>
  <c r="BT29" i="17"/>
  <c r="BT30" i="17" s="1"/>
  <c r="BT28" i="17"/>
  <c r="BU16" i="19" l="1"/>
  <c r="BU17" i="19" s="1"/>
  <c r="BT34" i="16"/>
  <c r="BT35" i="16"/>
  <c r="BT36" i="16" s="1"/>
  <c r="BT10" i="23"/>
  <c r="BT11" i="23" s="1"/>
  <c r="BU21" i="19" l="1"/>
  <c r="BU19" i="19"/>
  <c r="BU20" i="19"/>
  <c r="BT12" i="23"/>
  <c r="BT13" i="23" s="1"/>
  <c r="BU22" i="19" l="1"/>
  <c r="BU24" i="19" s="1"/>
  <c r="BU29" i="19" s="1"/>
  <c r="BU12" i="26"/>
  <c r="BU14" i="26"/>
  <c r="BU25" i="19" l="1"/>
  <c r="BV27" i="19" s="1"/>
  <c r="BU30" i="19"/>
  <c r="BU16" i="23" s="1"/>
  <c r="BU47" i="19"/>
  <c r="BU35" i="19" l="1"/>
  <c r="BU18" i="23" s="1"/>
  <c r="BX56" i="19"/>
  <c r="BX43" i="19" s="1"/>
  <c r="BU48" i="19"/>
  <c r="CA57" i="19" l="1"/>
  <c r="BX65" i="19"/>
  <c r="BX66" i="19"/>
  <c r="BU36" i="19"/>
  <c r="BU11" i="20" s="1"/>
  <c r="BU30" i="9"/>
  <c r="BU31" i="9" s="1"/>
  <c r="BU32" i="9" s="1"/>
  <c r="BU45" i="20"/>
  <c r="BU12" i="20"/>
  <c r="BU10" i="20"/>
  <c r="BU16" i="20"/>
  <c r="BU24" i="20"/>
  <c r="BU8" i="20" l="1"/>
  <c r="BU30" i="20"/>
  <c r="BU44" i="20"/>
  <c r="BU41" i="20"/>
  <c r="BU26" i="20"/>
  <c r="BU22" i="20"/>
  <c r="BU15" i="20"/>
  <c r="BU34" i="20"/>
  <c r="BU27" i="20"/>
  <c r="BU21" i="20"/>
  <c r="BU42" i="20"/>
  <c r="BU43" i="20"/>
  <c r="BU18" i="20"/>
  <c r="BU32" i="20"/>
  <c r="BU36" i="20"/>
  <c r="BU38" i="20"/>
  <c r="BU13" i="20"/>
  <c r="BU39" i="20"/>
  <c r="BU40" i="20"/>
  <c r="BU47" i="20"/>
  <c r="BU46" i="20"/>
  <c r="BU9" i="20"/>
  <c r="BU37" i="20"/>
  <c r="BX59" i="19"/>
  <c r="BU23" i="20"/>
  <c r="BU33" i="20"/>
  <c r="BU28" i="20"/>
  <c r="BU20" i="20"/>
  <c r="BU25" i="20"/>
  <c r="BU29" i="20"/>
  <c r="BU17" i="20"/>
  <c r="BU14" i="20"/>
  <c r="BU35" i="20"/>
  <c r="BU19" i="20"/>
  <c r="BU31" i="20"/>
  <c r="BU48" i="20" l="1"/>
  <c r="BU38" i="19"/>
  <c r="BU40" i="19" s="1"/>
  <c r="BU41" i="19" l="1"/>
  <c r="BU8" i="26" s="1"/>
  <c r="BU39" i="19"/>
  <c r="BU42" i="19" s="1"/>
  <c r="BU14" i="23" l="1"/>
  <c r="BU33" i="9"/>
  <c r="BU35" i="9" s="1"/>
  <c r="BU36" i="9" s="1"/>
  <c r="BU39" i="9" s="1"/>
  <c r="BU18" i="26" a="1"/>
  <c r="BU18" i="26" s="1"/>
  <c r="BU10" i="26"/>
  <c r="BU11" i="26" s="1"/>
  <c r="BU16" i="26" a="1"/>
  <c r="BU16" i="26" s="1"/>
  <c r="BU17" i="26" s="1"/>
  <c r="BU19" i="26" l="1"/>
  <c r="BU17" i="17"/>
  <c r="BU22" i="16"/>
  <c r="BU45" i="19"/>
  <c r="BU13" i="26"/>
  <c r="BU17" i="23"/>
  <c r="BU16" i="17"/>
  <c r="BU21" i="16"/>
  <c r="BU44" i="19"/>
  <c r="BU19" i="23"/>
  <c r="BU37" i="9"/>
  <c r="BU40" i="9"/>
  <c r="BU38" i="9"/>
  <c r="BU20" i="16" s="1"/>
  <c r="BU41" i="9"/>
  <c r="BU12" i="22" s="1"/>
  <c r="BU46" i="19" l="1"/>
  <c r="BU49" i="19" s="1"/>
  <c r="BU50" i="19" s="1"/>
  <c r="BU51" i="19" s="1"/>
  <c r="BU23" i="16"/>
  <c r="BU30" i="16" s="1"/>
  <c r="BU31" i="16" s="1"/>
  <c r="BU32" i="16" s="1"/>
  <c r="BU18" i="17"/>
  <c r="BU24" i="17" s="1"/>
  <c r="BU25" i="17" s="1"/>
  <c r="BU26" i="17" s="1"/>
  <c r="BU15" i="26"/>
  <c r="BU17" i="22"/>
  <c r="BU18" i="22" s="1"/>
  <c r="BU19" i="22" s="1"/>
  <c r="BU8" i="19" l="1"/>
  <c r="BU27" i="17"/>
  <c r="BU7" i="23" s="1"/>
  <c r="BU13" i="19"/>
  <c r="BU14" i="19" s="1"/>
  <c r="BU15" i="23"/>
  <c r="BU55" i="19"/>
  <c r="BU8" i="23" s="1"/>
  <c r="BU10" i="19"/>
  <c r="BU20" i="22"/>
  <c r="BU9" i="19"/>
  <c r="BU7" i="19"/>
  <c r="BU33" i="16"/>
  <c r="BU28" i="17" l="1"/>
  <c r="BU29" i="17"/>
  <c r="BU30" i="17" s="1"/>
  <c r="BU11" i="19"/>
  <c r="BU53" i="19" s="1"/>
  <c r="BV16" i="19" s="1"/>
  <c r="BU9" i="23"/>
  <c r="BU22" i="22"/>
  <c r="BU23" i="22" s="1"/>
  <c r="BU21" i="22"/>
  <c r="BU6" i="23"/>
  <c r="BU35" i="16"/>
  <c r="BU36" i="16" s="1"/>
  <c r="BU34" i="16"/>
  <c r="BV17" i="19" l="1"/>
  <c r="BU10" i="23"/>
  <c r="BV21" i="19" l="1"/>
  <c r="BV19" i="19"/>
  <c r="BV20" i="19"/>
  <c r="BU12" i="23"/>
  <c r="BU13" i="23" s="1"/>
  <c r="BU11" i="23"/>
  <c r="BV22" i="19" l="1"/>
  <c r="BV24" i="19" s="1"/>
  <c r="BV12" i="26"/>
  <c r="BV14" i="26"/>
  <c r="BV29" i="19" l="1"/>
  <c r="BV30" i="19"/>
  <c r="BV25" i="19"/>
  <c r="BY56" i="19" l="1"/>
  <c r="BW27" i="19"/>
  <c r="BV35" i="19"/>
  <c r="BV47" i="19"/>
  <c r="BV16" i="23"/>
  <c r="BV48" i="19" l="1"/>
  <c r="BV18" i="23"/>
  <c r="BV36" i="19"/>
  <c r="BV47" i="20" s="1"/>
  <c r="BV30" i="9"/>
  <c r="BV31" i="9" s="1"/>
  <c r="BV32" i="9" s="1"/>
  <c r="BY65" i="19"/>
  <c r="BY43" i="19"/>
  <c r="CB57" i="19"/>
  <c r="BY66" i="19"/>
  <c r="BV41" i="20" l="1"/>
  <c r="BV45" i="20"/>
  <c r="BV42" i="20"/>
  <c r="BV43" i="20"/>
  <c r="BV46" i="20"/>
  <c r="BV44" i="20"/>
  <c r="BV37" i="20"/>
  <c r="BV39" i="20"/>
  <c r="BV38" i="20"/>
  <c r="BV40" i="20"/>
  <c r="BY59" i="19"/>
  <c r="BV35" i="20"/>
  <c r="BV32" i="20"/>
  <c r="BV30" i="20"/>
  <c r="BV29" i="20"/>
  <c r="BV22" i="20"/>
  <c r="BV9" i="20"/>
  <c r="BV33" i="20"/>
  <c r="BV16" i="20"/>
  <c r="BV28" i="20"/>
  <c r="BV21" i="20"/>
  <c r="BV23" i="20"/>
  <c r="BV26" i="20"/>
  <c r="BV31" i="20"/>
  <c r="BV8" i="20"/>
  <c r="BV27" i="20"/>
  <c r="BV19" i="20"/>
  <c r="BV13" i="20"/>
  <c r="BV36" i="20"/>
  <c r="BV15" i="20"/>
  <c r="BV14" i="20"/>
  <c r="BV25" i="20"/>
  <c r="BV17" i="20"/>
  <c r="BV12" i="20"/>
  <c r="BV18" i="20"/>
  <c r="BV10" i="20"/>
  <c r="BV24" i="20"/>
  <c r="BV34" i="20"/>
  <c r="BV20" i="20"/>
  <c r="BV11" i="20"/>
  <c r="BV48" i="20" l="1"/>
  <c r="BV38" i="19"/>
  <c r="BV39" i="19" l="1"/>
  <c r="BV40" i="19"/>
  <c r="BV41" i="19"/>
  <c r="BV8" i="26" l="1"/>
  <c r="BV42" i="19"/>
  <c r="BV14" i="23"/>
  <c r="BV33" i="9"/>
  <c r="BV18" i="26" l="1" a="1"/>
  <c r="BV18" i="26" s="1"/>
  <c r="BV19" i="26" s="1"/>
  <c r="BV10" i="26"/>
  <c r="BV11" i="26" s="1"/>
  <c r="BV16" i="26" a="1"/>
  <c r="BV16" i="26" s="1"/>
  <c r="BV35" i="9"/>
  <c r="BV36" i="9" s="1"/>
  <c r="BV41" i="9" s="1"/>
  <c r="BV12" i="22" s="1"/>
  <c r="BV17" i="17" l="1"/>
  <c r="BV22" i="16"/>
  <c r="BV45" i="19"/>
  <c r="BV16" i="17"/>
  <c r="BV21" i="16"/>
  <c r="BV44" i="19"/>
  <c r="BV17" i="26"/>
  <c r="BV17" i="23"/>
  <c r="BV13" i="26"/>
  <c r="BV17" i="22"/>
  <c r="BV18" i="22" s="1"/>
  <c r="BV19" i="22" s="1"/>
  <c r="BV19" i="23"/>
  <c r="BV37" i="9"/>
  <c r="BV40" i="9"/>
  <c r="BV39" i="9"/>
  <c r="BV38" i="9"/>
  <c r="BV20" i="16" s="1"/>
  <c r="BV23" i="16" l="1"/>
  <c r="BV30" i="16" s="1"/>
  <c r="BV31" i="16" s="1"/>
  <c r="BV32" i="16" s="1"/>
  <c r="BV18" i="17"/>
  <c r="BV24" i="17" s="1"/>
  <c r="BV25" i="17" s="1"/>
  <c r="BV26" i="17" s="1"/>
  <c r="BV46" i="19"/>
  <c r="BV49" i="19" s="1"/>
  <c r="BV50" i="19" s="1"/>
  <c r="BV51" i="19" s="1"/>
  <c r="BV15" i="26"/>
  <c r="BV20" i="22"/>
  <c r="BV9" i="19"/>
  <c r="BV13" i="19" l="1"/>
  <c r="BV14" i="19" s="1"/>
  <c r="BV15" i="23"/>
  <c r="BV55" i="19"/>
  <c r="BV8" i="23" s="1"/>
  <c r="BV10" i="19"/>
  <c r="BV7" i="19"/>
  <c r="BV33" i="16"/>
  <c r="BV8" i="19"/>
  <c r="BV27" i="17"/>
  <c r="BV22" i="22"/>
  <c r="BV23" i="22" s="1"/>
  <c r="BV9" i="23"/>
  <c r="BV21" i="22"/>
  <c r="BV6" i="23" l="1"/>
  <c r="BV35" i="16"/>
  <c r="BV36" i="16" s="1"/>
  <c r="BV34" i="16"/>
  <c r="BV11" i="19"/>
  <c r="BV53" i="19" s="1"/>
  <c r="BW16" i="19" s="1"/>
  <c r="BV7" i="23"/>
  <c r="BV29" i="17"/>
  <c r="BV30" i="17" s="1"/>
  <c r="BV28" i="17"/>
  <c r="BW17" i="19" l="1"/>
  <c r="BV10" i="23"/>
  <c r="BW21" i="19" l="1"/>
  <c r="BW19" i="19"/>
  <c r="BW20" i="19"/>
  <c r="BV12" i="23"/>
  <c r="BV13" i="23" s="1"/>
  <c r="BV11" i="23"/>
  <c r="BW22" i="19" l="1"/>
  <c r="BW24" i="19" s="1"/>
  <c r="BW12" i="26"/>
  <c r="BW14" i="26"/>
  <c r="I23" i="26" l="1"/>
  <c r="BW29" i="19"/>
  <c r="BW30" i="19"/>
  <c r="BW25" i="19"/>
  <c r="BZ56" i="19" l="1"/>
  <c r="BX27" i="19"/>
  <c r="BW35" i="19"/>
  <c r="BW47" i="19"/>
  <c r="BW16" i="23"/>
  <c r="I43" i="23" s="1"/>
  <c r="H21" i="25" s="1"/>
  <c r="BW48" i="19" l="1"/>
  <c r="S145" i="24" s="1"/>
  <c r="S147" i="24" s="1"/>
  <c r="BW18" i="23"/>
  <c r="I45" i="23" s="1"/>
  <c r="H17" i="25" s="1"/>
  <c r="BW36" i="19"/>
  <c r="BW47" i="20" s="1"/>
  <c r="I182" i="20" s="1"/>
  <c r="BW30" i="9"/>
  <c r="BW31" i="9" s="1"/>
  <c r="BW32" i="9" s="1"/>
  <c r="CC57" i="19"/>
  <c r="BZ66" i="19"/>
  <c r="BZ65" i="19"/>
  <c r="BZ43" i="19"/>
  <c r="I92" i="20" l="1"/>
  <c r="I137" i="20"/>
  <c r="BW42" i="20"/>
  <c r="I177" i="20" s="1"/>
  <c r="BW44" i="20"/>
  <c r="BW45" i="20"/>
  <c r="BW46" i="20"/>
  <c r="BW43" i="20"/>
  <c r="BW40" i="20"/>
  <c r="BW39" i="20"/>
  <c r="BW41" i="20"/>
  <c r="BW37" i="20"/>
  <c r="I172" i="20" s="1"/>
  <c r="BW38" i="20"/>
  <c r="BZ59" i="19"/>
  <c r="BW14" i="20"/>
  <c r="BW15" i="20"/>
  <c r="BW31" i="20"/>
  <c r="BW12" i="20"/>
  <c r="BW32" i="20"/>
  <c r="BW20" i="20"/>
  <c r="BW13" i="20"/>
  <c r="BW19" i="20"/>
  <c r="BW35" i="20"/>
  <c r="BW25" i="20"/>
  <c r="BW33" i="20"/>
  <c r="BW21" i="20"/>
  <c r="BW22" i="20"/>
  <c r="BW9" i="20"/>
  <c r="BW26" i="20"/>
  <c r="BW30" i="20"/>
  <c r="BW11" i="20"/>
  <c r="BW10" i="20"/>
  <c r="BW24" i="20"/>
  <c r="BW28" i="20"/>
  <c r="BW16" i="20"/>
  <c r="BW27" i="20"/>
  <c r="BW36" i="20"/>
  <c r="BW18" i="20"/>
  <c r="BW23" i="20"/>
  <c r="BW17" i="20"/>
  <c r="BW34" i="20"/>
  <c r="BW29" i="20"/>
  <c r="BW8" i="20"/>
  <c r="I132" i="20" l="1"/>
  <c r="I87" i="20"/>
  <c r="I88" i="20"/>
  <c r="I133" i="20"/>
  <c r="I178" i="20"/>
  <c r="I91" i="20"/>
  <c r="I136" i="20"/>
  <c r="I181" i="20"/>
  <c r="I135" i="20"/>
  <c r="I90" i="20"/>
  <c r="I180" i="20"/>
  <c r="I179" i="20"/>
  <c r="I134" i="20"/>
  <c r="I89" i="20"/>
  <c r="I86" i="20"/>
  <c r="I176" i="20"/>
  <c r="I131" i="20"/>
  <c r="I174" i="20"/>
  <c r="I84" i="20"/>
  <c r="I129" i="20"/>
  <c r="I85" i="20"/>
  <c r="I130" i="20"/>
  <c r="I175" i="20"/>
  <c r="I82" i="20"/>
  <c r="I127" i="20"/>
  <c r="I173" i="20"/>
  <c r="I128" i="20"/>
  <c r="I83" i="20"/>
  <c r="I81" i="20"/>
  <c r="I171" i="20"/>
  <c r="I126" i="20"/>
  <c r="I78" i="20"/>
  <c r="I168" i="20"/>
  <c r="I123" i="20"/>
  <c r="I149" i="20"/>
  <c r="I104" i="20"/>
  <c r="I59" i="20"/>
  <c r="I60" i="20"/>
  <c r="I105" i="20"/>
  <c r="I150" i="20"/>
  <c r="BW48" i="20"/>
  <c r="BW38" i="19"/>
  <c r="I53" i="20"/>
  <c r="I143" i="20"/>
  <c r="I98" i="20"/>
  <c r="I159" i="20"/>
  <c r="I69" i="20"/>
  <c r="I114" i="20"/>
  <c r="I80" i="20"/>
  <c r="I125" i="20"/>
  <c r="I170" i="20"/>
  <c r="I151" i="20"/>
  <c r="I61" i="20"/>
  <c r="I106" i="20"/>
  <c r="I74" i="20"/>
  <c r="I164" i="20"/>
  <c r="I119" i="20"/>
  <c r="I145" i="20"/>
  <c r="I100" i="20"/>
  <c r="I55" i="20"/>
  <c r="I154" i="20"/>
  <c r="I64" i="20"/>
  <c r="I109" i="20"/>
  <c r="I121" i="20"/>
  <c r="I166" i="20"/>
  <c r="I76" i="20"/>
  <c r="I115" i="20"/>
  <c r="I70" i="20"/>
  <c r="I160" i="20"/>
  <c r="I79" i="20"/>
  <c r="I124" i="20"/>
  <c r="I169" i="20"/>
  <c r="I146" i="20"/>
  <c r="I101" i="20"/>
  <c r="I56" i="20"/>
  <c r="I148" i="20"/>
  <c r="I103" i="20"/>
  <c r="I58" i="20"/>
  <c r="I157" i="20"/>
  <c r="I112" i="20"/>
  <c r="I67" i="20"/>
  <c r="I118" i="20"/>
  <c r="I163" i="20"/>
  <c r="I73" i="20"/>
  <c r="I152" i="20"/>
  <c r="I62" i="20"/>
  <c r="I107" i="20"/>
  <c r="I120" i="20"/>
  <c r="I165" i="20"/>
  <c r="I75" i="20"/>
  <c r="I110" i="20"/>
  <c r="I155" i="20"/>
  <c r="I65" i="20"/>
  <c r="I66" i="20"/>
  <c r="I156" i="20"/>
  <c r="I111" i="20"/>
  <c r="I158" i="20"/>
  <c r="I68" i="20"/>
  <c r="I113" i="20"/>
  <c r="I116" i="20"/>
  <c r="I71" i="20"/>
  <c r="I161" i="20"/>
  <c r="I77" i="20"/>
  <c r="I167" i="20"/>
  <c r="I122" i="20"/>
  <c r="I72" i="20"/>
  <c r="I117" i="20"/>
  <c r="I162" i="20"/>
  <c r="I153" i="20"/>
  <c r="I108" i="20"/>
  <c r="I63" i="20"/>
  <c r="I54" i="20"/>
  <c r="I144" i="20"/>
  <c r="I99" i="20"/>
  <c r="I147" i="20"/>
  <c r="I102" i="20"/>
  <c r="I57" i="20"/>
  <c r="I138" i="20" l="1"/>
  <c r="I93" i="20"/>
  <c r="I183" i="20"/>
  <c r="BW40" i="19"/>
  <c r="BW41" i="19"/>
  <c r="BW39" i="19"/>
  <c r="BW8" i="26" l="1"/>
  <c r="BW42" i="19"/>
  <c r="S125" i="24" s="1"/>
  <c r="BW14" i="23"/>
  <c r="BW33" i="9"/>
  <c r="S110" i="24"/>
  <c r="S72" i="24"/>
  <c r="S75" i="24" s="1"/>
  <c r="BW18" i="26" l="1" a="1"/>
  <c r="BW18" i="26" s="1"/>
  <c r="BW10" i="26"/>
  <c r="BW11" i="26" s="1"/>
  <c r="BW16" i="26" a="1"/>
  <c r="BW16" i="26" s="1"/>
  <c r="BW35" i="9"/>
  <c r="BW36" i="9" s="1"/>
  <c r="BW39" i="9" s="1"/>
  <c r="I40" i="23"/>
  <c r="H18" i="25" s="1"/>
  <c r="H50" i="31" s="1"/>
  <c r="S172" i="24"/>
  <c r="S171" i="24"/>
  <c r="H51" i="31" l="1"/>
  <c r="H49" i="31"/>
  <c r="BW19" i="26"/>
  <c r="BW17" i="17"/>
  <c r="BW22" i="16"/>
  <c r="BW45" i="19"/>
  <c r="BW16" i="17"/>
  <c r="BW21" i="16"/>
  <c r="BW44" i="19"/>
  <c r="BW17" i="26"/>
  <c r="I21" i="26"/>
  <c r="BW13" i="26"/>
  <c r="BW17" i="23"/>
  <c r="I44" i="23" s="1"/>
  <c r="H22" i="25" s="1"/>
  <c r="H40" i="31" s="1"/>
  <c r="BW41" i="9"/>
  <c r="BW12" i="22" s="1"/>
  <c r="BW38" i="9"/>
  <c r="S136" i="24" s="1"/>
  <c r="S137" i="24"/>
  <c r="S173" i="24"/>
  <c r="BW19" i="23"/>
  <c r="BW37" i="9"/>
  <c r="BW40" i="9"/>
  <c r="H41" i="31" l="1"/>
  <c r="H45" i="31" s="1"/>
  <c r="H39" i="31"/>
  <c r="H43" i="31" s="1"/>
  <c r="BW18" i="17"/>
  <c r="BW24" i="17" s="1"/>
  <c r="BW25" i="17" s="1"/>
  <c r="S154" i="24" s="1"/>
  <c r="S113" i="24"/>
  <c r="S114" i="24" s="1"/>
  <c r="S116" i="24" s="1"/>
  <c r="S117" i="24" s="1"/>
  <c r="BW46" i="19"/>
  <c r="S126" i="24" s="1"/>
  <c r="S128" i="24"/>
  <c r="H44" i="31"/>
  <c r="I22" i="26"/>
  <c r="BW15" i="26"/>
  <c r="S139" i="24"/>
  <c r="BW20" i="16"/>
  <c r="BW23" i="16" s="1"/>
  <c r="S138" i="24"/>
  <c r="BW17" i="22"/>
  <c r="BW18" i="22" s="1"/>
  <c r="S156" i="24" s="1"/>
  <c r="BW30" i="16" l="1"/>
  <c r="BW31" i="16" s="1"/>
  <c r="S140" i="24"/>
  <c r="BW49" i="19"/>
  <c r="BW50" i="19" s="1"/>
  <c r="S155" i="24" s="1"/>
  <c r="BW19" i="22"/>
  <c r="BW26" i="17"/>
  <c r="S129" i="24" l="1"/>
  <c r="S131" i="24" s="1"/>
  <c r="BW15" i="23"/>
  <c r="I41" i="23" s="1"/>
  <c r="H19" i="25" s="1"/>
  <c r="H53" i="31" s="1"/>
  <c r="BW13" i="19"/>
  <c r="BW14" i="19" s="1"/>
  <c r="S153" i="24"/>
  <c r="S157" i="24" s="1"/>
  <c r="S159" i="24" s="1"/>
  <c r="BW32" i="16"/>
  <c r="BW7" i="19" s="1"/>
  <c r="S176" i="24"/>
  <c r="BW8" i="19"/>
  <c r="BW27" i="17"/>
  <c r="BW20" i="22"/>
  <c r="BW9" i="19"/>
  <c r="BW51" i="19"/>
  <c r="H54" i="31" l="1"/>
  <c r="H52" i="31"/>
  <c r="S149" i="24"/>
  <c r="S162" i="24" s="1"/>
  <c r="S132" i="24"/>
  <c r="BW33" i="16"/>
  <c r="BW6" i="23" s="1"/>
  <c r="BW55" i="19"/>
  <c r="BW8" i="23" s="1"/>
  <c r="BW10" i="19"/>
  <c r="BW11" i="19" s="1"/>
  <c r="BW53" i="19" s="1"/>
  <c r="BX16" i="19" s="1"/>
  <c r="BW22" i="22"/>
  <c r="BW23" i="22" s="1"/>
  <c r="BW9" i="23"/>
  <c r="BW21" i="22"/>
  <c r="BW7" i="23"/>
  <c r="BW29" i="17"/>
  <c r="BW30" i="17" s="1"/>
  <c r="BW28" i="17"/>
  <c r="BW34" i="16" l="1"/>
  <c r="BW35" i="16"/>
  <c r="BW36" i="16" s="1"/>
  <c r="S150" i="24"/>
  <c r="BX17" i="19"/>
  <c r="S175" i="24"/>
  <c r="S177" i="24" s="1"/>
  <c r="S163" i="24"/>
  <c r="BW10" i="23"/>
  <c r="BX21" i="19" l="1"/>
  <c r="BX19" i="19"/>
  <c r="BX20" i="19"/>
  <c r="BW12" i="23"/>
  <c r="BW13" i="23" s="1"/>
  <c r="I42" i="23"/>
  <c r="H20" i="25" s="1"/>
  <c r="H56" i="31" s="1"/>
  <c r="BW11" i="23"/>
  <c r="H57" i="31" l="1"/>
  <c r="H55" i="31"/>
  <c r="BX22" i="19"/>
  <c r="BX24" i="19" s="1"/>
  <c r="BX12" i="26"/>
  <c r="BX14" i="26"/>
  <c r="BX30" i="19" l="1"/>
  <c r="BX29" i="19"/>
  <c r="BX25" i="19"/>
  <c r="CA56" i="19" l="1"/>
  <c r="BY27" i="19"/>
  <c r="BX35" i="19"/>
  <c r="BX47" i="19"/>
  <c r="BX16" i="23"/>
  <c r="BX48" i="19" l="1"/>
  <c r="BX18" i="23"/>
  <c r="BX36" i="19"/>
  <c r="BX47" i="20" s="1"/>
  <c r="BX30" i="9"/>
  <c r="BX31" i="9" s="1"/>
  <c r="BX32" i="9" s="1"/>
  <c r="CD57" i="19"/>
  <c r="CA66" i="19"/>
  <c r="CA65" i="19"/>
  <c r="CA43" i="19"/>
  <c r="BX43" i="20" l="1"/>
  <c r="BX46" i="20"/>
  <c r="BX45" i="20"/>
  <c r="BX44" i="20"/>
  <c r="BX39" i="20"/>
  <c r="BX41" i="20"/>
  <c r="BX42" i="20"/>
  <c r="BX40" i="20"/>
  <c r="BX37" i="20"/>
  <c r="BX38" i="20"/>
  <c r="BX21" i="20"/>
  <c r="BX27" i="20"/>
  <c r="BX34" i="20"/>
  <c r="BX36" i="20"/>
  <c r="BX13" i="20"/>
  <c r="BX9" i="20"/>
  <c r="BX15" i="20"/>
  <c r="BX8" i="20"/>
  <c r="BX12" i="20"/>
  <c r="BX30" i="20"/>
  <c r="BX31" i="20"/>
  <c r="BX26" i="20"/>
  <c r="BX24" i="20"/>
  <c r="BX18" i="20"/>
  <c r="BX29" i="20"/>
  <c r="BX33" i="20"/>
  <c r="BX22" i="20"/>
  <c r="BX11" i="20"/>
  <c r="BX14" i="20"/>
  <c r="BX17" i="20"/>
  <c r="BX25" i="20"/>
  <c r="BX19" i="20"/>
  <c r="BX23" i="20"/>
  <c r="BX16" i="20"/>
  <c r="BX35" i="20"/>
  <c r="BX20" i="20"/>
  <c r="BX10" i="20"/>
  <c r="BX28" i="20"/>
  <c r="BX32" i="20"/>
  <c r="CA59" i="19"/>
  <c r="BX48" i="20" l="1"/>
  <c r="BX38" i="19"/>
  <c r="BX41" i="19" l="1"/>
  <c r="BX40" i="19"/>
  <c r="BX39" i="19"/>
  <c r="BX8" i="26" l="1"/>
  <c r="BX42" i="19"/>
  <c r="BX33" i="9"/>
  <c r="BX14" i="23"/>
  <c r="BX18" i="26" l="1" a="1"/>
  <c r="BX18" i="26" s="1"/>
  <c r="BX10" i="26"/>
  <c r="BX11" i="26" s="1"/>
  <c r="BX16" i="26" a="1"/>
  <c r="BX16" i="26" s="1"/>
  <c r="BX35" i="9"/>
  <c r="BX36" i="9" s="1"/>
  <c r="BX19" i="26" l="1"/>
  <c r="BX17" i="17"/>
  <c r="BX22" i="16"/>
  <c r="BX45" i="19"/>
  <c r="BX16" i="17"/>
  <c r="BX21" i="16"/>
  <c r="BX44" i="19"/>
  <c r="BX17" i="26"/>
  <c r="BX17" i="23"/>
  <c r="BX13" i="26"/>
  <c r="BX19" i="23"/>
  <c r="BX37" i="9"/>
  <c r="BX38" i="9"/>
  <c r="BX39" i="9"/>
  <c r="BX40" i="9"/>
  <c r="BX41" i="9"/>
  <c r="BX46" i="19" l="1"/>
  <c r="BX18" i="17"/>
  <c r="BX15" i="26"/>
  <c r="BX12" i="22"/>
  <c r="BX20" i="16"/>
  <c r="BX23" i="16" s="1"/>
  <c r="BX15" i="23" l="1"/>
  <c r="BX30" i="16"/>
  <c r="BX31" i="16" s="1"/>
  <c r="BX13" i="19"/>
  <c r="BX14" i="19" s="1"/>
  <c r="BX24" i="17"/>
  <c r="BX25" i="17" s="1"/>
  <c r="BX26" i="17" s="1"/>
  <c r="BX49" i="19"/>
  <c r="BX50" i="19" s="1"/>
  <c r="BX51" i="19" s="1"/>
  <c r="BX17" i="22"/>
  <c r="BX18" i="22" s="1"/>
  <c r="BX55" i="19" l="1"/>
  <c r="BX8" i="23" s="1"/>
  <c r="BX10" i="19"/>
  <c r="BX8" i="19"/>
  <c r="BX27" i="17"/>
  <c r="BX32" i="16"/>
  <c r="BX19" i="22"/>
  <c r="BX7" i="19" l="1"/>
  <c r="BX33" i="16"/>
  <c r="BX7" i="23"/>
  <c r="BX29" i="17"/>
  <c r="BX30" i="17" s="1"/>
  <c r="BX28" i="17"/>
  <c r="BX20" i="22"/>
  <c r="BX9" i="19"/>
  <c r="BX11" i="19" l="1"/>
  <c r="BX53" i="19" s="1"/>
  <c r="BX6" i="23"/>
  <c r="BX35" i="16"/>
  <c r="BX36" i="16" s="1"/>
  <c r="BX34" i="16"/>
  <c r="BX9" i="23"/>
  <c r="BX22" i="22"/>
  <c r="BX23" i="22" s="1"/>
  <c r="BX21" i="22"/>
  <c r="BY16" i="19" l="1"/>
  <c r="BY17" i="19" s="1"/>
  <c r="BX10" i="23"/>
  <c r="BY20" i="19" l="1"/>
  <c r="BY21" i="19"/>
  <c r="BY19" i="19"/>
  <c r="BX12" i="23"/>
  <c r="BX13" i="23" s="1"/>
  <c r="BX11" i="23"/>
  <c r="BY12" i="26" l="1"/>
  <c r="BY22" i="19"/>
  <c r="BY24" i="19" s="1"/>
  <c r="BY25" i="19" s="1"/>
  <c r="BY14" i="26"/>
  <c r="BY29" i="19" l="1"/>
  <c r="BY47" i="19" s="1"/>
  <c r="BY30" i="19"/>
  <c r="CB56" i="19"/>
  <c r="BZ27" i="19"/>
  <c r="BY35" i="19"/>
  <c r="BY16" i="23" l="1"/>
  <c r="BY18" i="23"/>
  <c r="BY36" i="19"/>
  <c r="BY47" i="20" s="1"/>
  <c r="BY30" i="9"/>
  <c r="BY31" i="9" s="1"/>
  <c r="BY32" i="9" s="1"/>
  <c r="BY48" i="19"/>
  <c r="CB65" i="19"/>
  <c r="CE57" i="19"/>
  <c r="CB66" i="19"/>
  <c r="CB43" i="19"/>
  <c r="BY44" i="20" l="1"/>
  <c r="BY46" i="20"/>
  <c r="BY45" i="20"/>
  <c r="BY40" i="20"/>
  <c r="BY41" i="20"/>
  <c r="BY42" i="20"/>
  <c r="BY43" i="20"/>
  <c r="BY38" i="20"/>
  <c r="BY39" i="20"/>
  <c r="CB59" i="19"/>
  <c r="BY35" i="20"/>
  <c r="BY29" i="20"/>
  <c r="BY20" i="20"/>
  <c r="BY34" i="20"/>
  <c r="BY19" i="20"/>
  <c r="BY9" i="20"/>
  <c r="BY17" i="20"/>
  <c r="BY10" i="20"/>
  <c r="BY28" i="20"/>
  <c r="BY21" i="20"/>
  <c r="BY30" i="20"/>
  <c r="BY36" i="20"/>
  <c r="BY33" i="20"/>
  <c r="BY11" i="20"/>
  <c r="BY16" i="20"/>
  <c r="BY27" i="20"/>
  <c r="BY32" i="20"/>
  <c r="BY26" i="20"/>
  <c r="BY13" i="20"/>
  <c r="BY18" i="20"/>
  <c r="BY25" i="20"/>
  <c r="BY15" i="20"/>
  <c r="BY24" i="20"/>
  <c r="BY22" i="20"/>
  <c r="BY12" i="20"/>
  <c r="BY14" i="20"/>
  <c r="BY31" i="20"/>
  <c r="BY23" i="20"/>
  <c r="BY8" i="20"/>
  <c r="BY37" i="20"/>
  <c r="BY48" i="20" l="1"/>
  <c r="BY38" i="19"/>
  <c r="BY40" i="19" l="1"/>
  <c r="BY41" i="19"/>
  <c r="BY39" i="19"/>
  <c r="BY8" i="26" l="1"/>
  <c r="BY42" i="19"/>
  <c r="BY33" i="9"/>
  <c r="BY14" i="23"/>
  <c r="BY18" i="26" l="1" a="1"/>
  <c r="BY18" i="26" s="1"/>
  <c r="BY10" i="26"/>
  <c r="BY11" i="26" s="1"/>
  <c r="BY16" i="26" a="1"/>
  <c r="BY16" i="26" s="1"/>
  <c r="BY17" i="26" s="1"/>
  <c r="BY35" i="9"/>
  <c r="BY36" i="9" s="1"/>
  <c r="BY41" i="9" s="1"/>
  <c r="BY19" i="26" l="1"/>
  <c r="BY17" i="17"/>
  <c r="BY22" i="16"/>
  <c r="BY45" i="19"/>
  <c r="BY13" i="26"/>
  <c r="BY17" i="23"/>
  <c r="BY16" i="17"/>
  <c r="BY21" i="16"/>
  <c r="BY44" i="19"/>
  <c r="BY39" i="9"/>
  <c r="BY40" i="9"/>
  <c r="BY38" i="9"/>
  <c r="BY20" i="16" s="1"/>
  <c r="BY12" i="22"/>
  <c r="BY19" i="23"/>
  <c r="BY37" i="9"/>
  <c r="BY18" i="17" l="1"/>
  <c r="BY24" i="17" s="1"/>
  <c r="BY25" i="17" s="1"/>
  <c r="BY23" i="16"/>
  <c r="BY46" i="19"/>
  <c r="BY49" i="19" s="1"/>
  <c r="BY50" i="19" s="1"/>
  <c r="BY51" i="19" s="1"/>
  <c r="BY15" i="26"/>
  <c r="BY17" i="22"/>
  <c r="BY18" i="22" s="1"/>
  <c r="BY19" i="22" s="1"/>
  <c r="BY15" i="23" l="1"/>
  <c r="BY13" i="19"/>
  <c r="BY14" i="19" s="1"/>
  <c r="BY30" i="16"/>
  <c r="BY31" i="16" s="1"/>
  <c r="BY32" i="16" s="1"/>
  <c r="BY55" i="19"/>
  <c r="BY8" i="23" s="1"/>
  <c r="BY10" i="19"/>
  <c r="BY26" i="17"/>
  <c r="BY20" i="22"/>
  <c r="BY9" i="19"/>
  <c r="BY9" i="23" l="1"/>
  <c r="BY22" i="22"/>
  <c r="BY23" i="22" s="1"/>
  <c r="BY21" i="22"/>
  <c r="BY8" i="19"/>
  <c r="BY27" i="17"/>
  <c r="BY7" i="19"/>
  <c r="BY33" i="16"/>
  <c r="BY11" i="19" l="1"/>
  <c r="BY53" i="19" s="1"/>
  <c r="BZ16" i="19" s="1"/>
  <c r="BY6" i="23"/>
  <c r="BY35" i="16"/>
  <c r="BY36" i="16" s="1"/>
  <c r="BY34" i="16"/>
  <c r="BY7" i="23"/>
  <c r="BY29" i="17"/>
  <c r="BY30" i="17" s="1"/>
  <c r="BY28" i="17"/>
  <c r="BZ17" i="19" l="1"/>
  <c r="BY10" i="23"/>
  <c r="BZ19" i="19" l="1"/>
  <c r="BZ20" i="19"/>
  <c r="BZ21" i="19"/>
  <c r="BY12" i="23"/>
  <c r="BY13" i="23" s="1"/>
  <c r="BY11" i="23"/>
  <c r="BZ22" i="19" l="1"/>
  <c r="BZ24" i="19" s="1"/>
  <c r="BZ12" i="26"/>
  <c r="BZ14" i="26"/>
  <c r="BZ30" i="19" l="1"/>
  <c r="BZ29" i="19"/>
  <c r="BZ25" i="19"/>
  <c r="CC56" i="19" l="1"/>
  <c r="CA27" i="19"/>
  <c r="BZ35" i="19"/>
  <c r="BZ47" i="19"/>
  <c r="BZ16" i="23"/>
  <c r="BZ48" i="19" l="1"/>
  <c r="BZ18" i="23"/>
  <c r="BZ36" i="19"/>
  <c r="BZ47" i="20" s="1"/>
  <c r="BZ30" i="9"/>
  <c r="BZ31" i="9" s="1"/>
  <c r="BZ32" i="9" s="1"/>
  <c r="CC66" i="19"/>
  <c r="CC65" i="19"/>
  <c r="CF57" i="19"/>
  <c r="CC43" i="19"/>
  <c r="BZ45" i="20" l="1"/>
  <c r="BZ46" i="20"/>
  <c r="BZ41" i="20"/>
  <c r="BZ43" i="20"/>
  <c r="BZ44" i="20"/>
  <c r="BZ42" i="20"/>
  <c r="BZ39" i="20"/>
  <c r="BZ40" i="20"/>
  <c r="BZ36" i="20"/>
  <c r="BZ38" i="20"/>
  <c r="BZ17" i="20"/>
  <c r="BZ21" i="20"/>
  <c r="BZ12" i="20"/>
  <c r="BZ33" i="20"/>
  <c r="BZ19" i="20"/>
  <c r="BZ13" i="20"/>
  <c r="BZ29" i="20"/>
  <c r="BZ18" i="20"/>
  <c r="BZ30" i="20"/>
  <c r="BZ35" i="20"/>
  <c r="BZ24" i="20"/>
  <c r="BZ20" i="20"/>
  <c r="BZ37" i="20"/>
  <c r="BZ26" i="20"/>
  <c r="BZ34" i="20"/>
  <c r="BZ16" i="20"/>
  <c r="BZ25" i="20"/>
  <c r="BZ22" i="20"/>
  <c r="BZ15" i="20"/>
  <c r="BZ32" i="20"/>
  <c r="BZ8" i="20"/>
  <c r="BZ11" i="20"/>
  <c r="BZ23" i="20"/>
  <c r="BZ14" i="20"/>
  <c r="BZ31" i="20"/>
  <c r="BZ27" i="20"/>
  <c r="BZ9" i="20"/>
  <c r="BZ10" i="20"/>
  <c r="BZ28" i="20"/>
  <c r="CC59" i="19"/>
  <c r="BZ48" i="20" l="1"/>
  <c r="BZ38" i="19"/>
  <c r="BZ41" i="19" l="1"/>
  <c r="BZ40" i="19"/>
  <c r="BZ39" i="19"/>
  <c r="BZ8" i="26" l="1"/>
  <c r="BZ42" i="19"/>
  <c r="BZ14" i="23"/>
  <c r="BZ33" i="9"/>
  <c r="BZ18" i="26" l="1" a="1"/>
  <c r="BZ18" i="26" s="1"/>
  <c r="BZ10" i="26"/>
  <c r="BZ11" i="26" s="1"/>
  <c r="BZ16" i="26" a="1"/>
  <c r="BZ16" i="26" s="1"/>
  <c r="BZ35" i="9"/>
  <c r="BZ36" i="9" s="1"/>
  <c r="BZ19" i="26" l="1"/>
  <c r="BZ17" i="17"/>
  <c r="BZ22" i="16"/>
  <c r="BZ45" i="19"/>
  <c r="BZ16" i="17"/>
  <c r="BZ21" i="16"/>
  <c r="BZ44" i="19"/>
  <c r="BZ17" i="26"/>
  <c r="BZ13" i="26"/>
  <c r="BZ17" i="23"/>
  <c r="BZ19" i="23"/>
  <c r="BZ37" i="9"/>
  <c r="BZ38" i="9"/>
  <c r="BZ39" i="9"/>
  <c r="BZ40" i="9"/>
  <c r="BZ41" i="9"/>
  <c r="BZ18" i="17" l="1"/>
  <c r="BZ46" i="19"/>
  <c r="BZ15" i="26"/>
  <c r="BZ12" i="22"/>
  <c r="BZ20" i="16"/>
  <c r="BZ23" i="16" s="1"/>
  <c r="BZ24" i="17" l="1"/>
  <c r="BZ25" i="17" s="1"/>
  <c r="BZ49" i="19"/>
  <c r="BZ50" i="19" s="1"/>
  <c r="BZ15" i="23"/>
  <c r="BZ30" i="16"/>
  <c r="BZ31" i="16" s="1"/>
  <c r="BZ13" i="19"/>
  <c r="BZ14" i="19" s="1"/>
  <c r="BZ17" i="22"/>
  <c r="BZ18" i="22" s="1"/>
  <c r="BZ19" i="22" s="1"/>
  <c r="BZ20" i="22" l="1"/>
  <c r="BZ9" i="19"/>
  <c r="BZ26" i="17"/>
  <c r="BZ32" i="16"/>
  <c r="BZ51" i="19"/>
  <c r="BZ55" i="19" l="1"/>
  <c r="BZ8" i="23" s="1"/>
  <c r="BZ10" i="19"/>
  <c r="BZ7" i="19"/>
  <c r="BZ33" i="16"/>
  <c r="BZ8" i="19"/>
  <c r="BZ27" i="17"/>
  <c r="BZ9" i="23"/>
  <c r="BZ22" i="22"/>
  <c r="BZ23" i="22" s="1"/>
  <c r="BZ21" i="22"/>
  <c r="BZ11" i="19" l="1"/>
  <c r="BZ53" i="19" s="1"/>
  <c r="BZ7" i="23"/>
  <c r="BZ29" i="17"/>
  <c r="BZ30" i="17" s="1"/>
  <c r="BZ28" i="17"/>
  <c r="BZ6" i="23"/>
  <c r="BZ35" i="16"/>
  <c r="BZ36" i="16" s="1"/>
  <c r="BZ34" i="16"/>
  <c r="CA16" i="19" l="1"/>
  <c r="CA17" i="19" s="1"/>
  <c r="BZ10" i="23"/>
  <c r="BZ11" i="23" s="1"/>
  <c r="CA19" i="19" l="1"/>
  <c r="CA21" i="19"/>
  <c r="CA20" i="19"/>
  <c r="BZ12" i="23"/>
  <c r="BZ13" i="23" s="1"/>
  <c r="CA14" i="26" l="1"/>
  <c r="CA12" i="26"/>
  <c r="CA22" i="19"/>
  <c r="CA24" i="19" s="1"/>
  <c r="CA30" i="19" s="1"/>
  <c r="CA29" i="19" l="1"/>
  <c r="CA47" i="19" s="1"/>
  <c r="CA25" i="19"/>
  <c r="CB27" i="19" s="1"/>
  <c r="CD56" i="19" l="1"/>
  <c r="CD43" i="19" s="1"/>
  <c r="CA16" i="23"/>
  <c r="CA35" i="19"/>
  <c r="CA36" i="19" s="1"/>
  <c r="CA48" i="19"/>
  <c r="CG57" i="19" l="1"/>
  <c r="CA18" i="23"/>
  <c r="CA30" i="9"/>
  <c r="CA31" i="9" s="1"/>
  <c r="CA32" i="9" s="1"/>
  <c r="CD65" i="19"/>
  <c r="CD66" i="19"/>
  <c r="CA46" i="20"/>
  <c r="CA47" i="20"/>
  <c r="CA42" i="20"/>
  <c r="CA43" i="20"/>
  <c r="CA44" i="20"/>
  <c r="CA45" i="20"/>
  <c r="CA40" i="20"/>
  <c r="CA41" i="20"/>
  <c r="CA30" i="20"/>
  <c r="CA12" i="20"/>
  <c r="CA8" i="20"/>
  <c r="CA37" i="20"/>
  <c r="CA28" i="20"/>
  <c r="CA29" i="20"/>
  <c r="CA39" i="20"/>
  <c r="CA25" i="20"/>
  <c r="CA27" i="20"/>
  <c r="CA23" i="20"/>
  <c r="CA26" i="20"/>
  <c r="CA15" i="20"/>
  <c r="CA32" i="20"/>
  <c r="CA35" i="20"/>
  <c r="CA36" i="20"/>
  <c r="CA24" i="20"/>
  <c r="CA11" i="20"/>
  <c r="CA21" i="20"/>
  <c r="CA22" i="20"/>
  <c r="CA19" i="20"/>
  <c r="CA9" i="20"/>
  <c r="CA17" i="20"/>
  <c r="CA14" i="20"/>
  <c r="CA38" i="20"/>
  <c r="CA20" i="20"/>
  <c r="CA13" i="20"/>
  <c r="CA18" i="20"/>
  <c r="CA10" i="20"/>
  <c r="CA34" i="20"/>
  <c r="CA33" i="20"/>
  <c r="CA31" i="20"/>
  <c r="CA16" i="20"/>
  <c r="CD59" i="19" l="1"/>
  <c r="CA48" i="20"/>
  <c r="CA38" i="19"/>
  <c r="CA41" i="19" l="1"/>
  <c r="CA39" i="19"/>
  <c r="CA40" i="19"/>
  <c r="CA8" i="26" l="1"/>
  <c r="CA42" i="19"/>
  <c r="CA14" i="23"/>
  <c r="CA33" i="9"/>
  <c r="CA18" i="26" l="1" a="1"/>
  <c r="CA18" i="26" s="1"/>
  <c r="CA10" i="26"/>
  <c r="CA11" i="26" s="1"/>
  <c r="CA16" i="26" a="1"/>
  <c r="CA16" i="26" s="1"/>
  <c r="CA35" i="9"/>
  <c r="CA36" i="9" s="1"/>
  <c r="CA41" i="9" s="1"/>
  <c r="CA19" i="26" l="1"/>
  <c r="CA17" i="17"/>
  <c r="CA22" i="16"/>
  <c r="CA45" i="19"/>
  <c r="CA16" i="17"/>
  <c r="CA21" i="16"/>
  <c r="CA44" i="19"/>
  <c r="CA17" i="26"/>
  <c r="CA17" i="23"/>
  <c r="CA13" i="26"/>
  <c r="CA39" i="9"/>
  <c r="CA38" i="9"/>
  <c r="CA20" i="16" s="1"/>
  <c r="CA19" i="23"/>
  <c r="CA37" i="9"/>
  <c r="CA40" i="9"/>
  <c r="CA12" i="22"/>
  <c r="CA46" i="19" l="1"/>
  <c r="CA23" i="16"/>
  <c r="CA30" i="16" s="1"/>
  <c r="CA31" i="16" s="1"/>
  <c r="CA32" i="16" s="1"/>
  <c r="CA18" i="17"/>
  <c r="CA24" i="17" s="1"/>
  <c r="CA25" i="17" s="1"/>
  <c r="CA26" i="17" s="1"/>
  <c r="CA15" i="26"/>
  <c r="CA17" i="22"/>
  <c r="CA18" i="22" s="1"/>
  <c r="CA19" i="22" s="1"/>
  <c r="CA20" i="22" l="1"/>
  <c r="CA9" i="19"/>
  <c r="CA49" i="19"/>
  <c r="CA50" i="19" s="1"/>
  <c r="CA51" i="19" s="1"/>
  <c r="CA13" i="19"/>
  <c r="CA14" i="19" s="1"/>
  <c r="CA7" i="19"/>
  <c r="CA33" i="16"/>
  <c r="CA15" i="23"/>
  <c r="CA8" i="19"/>
  <c r="CA27" i="17"/>
  <c r="CA55" i="19" l="1"/>
  <c r="CA8" i="23" s="1"/>
  <c r="CA10" i="19"/>
  <c r="CA11" i="19" s="1"/>
  <c r="CA53" i="19" s="1"/>
  <c r="CB16" i="19" s="1"/>
  <c r="CA7" i="23"/>
  <c r="CA29" i="17"/>
  <c r="CA30" i="17" s="1"/>
  <c r="CA28" i="17"/>
  <c r="CA6" i="23"/>
  <c r="CA35" i="16"/>
  <c r="CA36" i="16" s="1"/>
  <c r="CA34" i="16"/>
  <c r="CA9" i="23"/>
  <c r="CA22" i="22"/>
  <c r="CA23" i="22" s="1"/>
  <c r="CA21" i="22"/>
  <c r="CB17" i="19" l="1"/>
  <c r="CA10" i="23"/>
  <c r="CB20" i="19" l="1"/>
  <c r="CB21" i="19"/>
  <c r="CB19" i="19"/>
  <c r="CA12" i="23"/>
  <c r="CA13" i="23" s="1"/>
  <c r="CA11" i="23"/>
  <c r="CB22" i="19" l="1"/>
  <c r="CB24" i="19" s="1"/>
  <c r="CB12" i="26"/>
  <c r="CB14" i="26"/>
  <c r="CB29" i="19" l="1"/>
  <c r="CB30" i="19"/>
  <c r="CB25" i="19"/>
  <c r="CE56" i="19" l="1"/>
  <c r="CC27" i="19"/>
  <c r="CB35" i="19"/>
  <c r="CB47" i="19"/>
  <c r="CB16" i="23"/>
  <c r="CB48" i="19" l="1"/>
  <c r="CB18" i="23"/>
  <c r="CB36" i="19"/>
  <c r="CB47" i="20" s="1"/>
  <c r="CB30" i="9"/>
  <c r="CB31" i="9" s="1"/>
  <c r="CB32" i="9" s="1"/>
  <c r="CE65" i="19"/>
  <c r="CH57" i="19"/>
  <c r="CE66" i="19"/>
  <c r="CE43" i="19"/>
  <c r="CB43" i="20" l="1"/>
  <c r="CB44" i="20"/>
  <c r="CB46" i="20"/>
  <c r="CB45" i="20"/>
  <c r="CB41" i="20"/>
  <c r="CB42" i="20"/>
  <c r="CE59" i="19"/>
  <c r="CB8" i="20"/>
  <c r="CB31" i="20"/>
  <c r="CB38" i="20"/>
  <c r="CB25" i="20"/>
  <c r="CB39" i="20"/>
  <c r="CB11" i="20"/>
  <c r="CB16" i="20"/>
  <c r="CB29" i="20"/>
  <c r="CB27" i="20"/>
  <c r="CB23" i="20"/>
  <c r="CB14" i="20"/>
  <c r="CB40" i="20"/>
  <c r="CB33" i="20"/>
  <c r="CB37" i="20"/>
  <c r="CB22" i="20"/>
  <c r="CB28" i="20"/>
  <c r="CB9" i="20"/>
  <c r="CB19" i="20"/>
  <c r="CB36" i="20"/>
  <c r="CB35" i="20"/>
  <c r="CB13" i="20"/>
  <c r="CB30" i="20"/>
  <c r="CB32" i="20"/>
  <c r="CB10" i="20"/>
  <c r="CB18" i="20"/>
  <c r="CB21" i="20"/>
  <c r="CB34" i="20"/>
  <c r="CB17" i="20"/>
  <c r="CB24" i="20"/>
  <c r="CB20" i="20"/>
  <c r="CB15" i="20"/>
  <c r="CB12" i="20"/>
  <c r="CB26" i="20"/>
  <c r="CB48" i="20" l="1"/>
  <c r="CB38" i="19"/>
  <c r="CB40" i="19" l="1"/>
  <c r="CB41" i="19"/>
  <c r="CB39" i="19"/>
  <c r="CB8" i="26" l="1"/>
  <c r="CB42" i="19"/>
  <c r="CB33" i="9"/>
  <c r="CB14" i="23"/>
  <c r="CB18" i="26" l="1" a="1"/>
  <c r="CB18" i="26" s="1"/>
  <c r="CB10" i="26"/>
  <c r="CB11" i="26" s="1"/>
  <c r="CB16" i="26" a="1"/>
  <c r="CB16" i="26" s="1"/>
  <c r="CB35" i="9"/>
  <c r="CB36" i="9" s="1"/>
  <c r="CB41" i="9" s="1"/>
  <c r="CB19" i="26" l="1"/>
  <c r="CB17" i="17"/>
  <c r="CB22" i="16"/>
  <c r="CB45" i="19"/>
  <c r="CB16" i="17"/>
  <c r="CB21" i="16"/>
  <c r="CB44" i="19"/>
  <c r="CB17" i="26"/>
  <c r="CB13" i="26"/>
  <c r="CB17" i="23"/>
  <c r="CB39" i="9"/>
  <c r="CB40" i="9"/>
  <c r="CB12" i="22"/>
  <c r="CB19" i="23"/>
  <c r="CB37" i="9"/>
  <c r="CB38" i="9"/>
  <c r="CB46" i="19" l="1"/>
  <c r="CB49" i="19" s="1"/>
  <c r="CB50" i="19" s="1"/>
  <c r="CB51" i="19" s="1"/>
  <c r="CB18" i="17"/>
  <c r="CB24" i="17" s="1"/>
  <c r="CB25" i="17" s="1"/>
  <c r="CB26" i="17" s="1"/>
  <c r="CB15" i="26"/>
  <c r="CB17" i="22"/>
  <c r="CB18" i="22" s="1"/>
  <c r="CB19" i="22" s="1"/>
  <c r="CB20" i="16"/>
  <c r="CB23" i="16" s="1"/>
  <c r="CB55" i="19" l="1"/>
  <c r="CB8" i="23" s="1"/>
  <c r="CB10" i="19"/>
  <c r="CB8" i="19"/>
  <c r="CB27" i="17"/>
  <c r="CB15" i="23"/>
  <c r="CB30" i="16"/>
  <c r="CB31" i="16" s="1"/>
  <c r="CB32" i="16" s="1"/>
  <c r="CB13" i="19"/>
  <c r="CB14" i="19" s="1"/>
  <c r="CB20" i="22"/>
  <c r="CB9" i="19"/>
  <c r="CB7" i="19" l="1"/>
  <c r="CB11" i="19" s="1"/>
  <c r="CB53" i="19" s="1"/>
  <c r="CC16" i="19" s="1"/>
  <c r="CB33" i="16"/>
  <c r="CB9" i="23"/>
  <c r="CB22" i="22"/>
  <c r="CB23" i="22" s="1"/>
  <c r="CB21" i="22"/>
  <c r="CB7" i="23"/>
  <c r="CB29" i="17"/>
  <c r="CB30" i="17" s="1"/>
  <c r="CB28" i="17"/>
  <c r="CB6" i="23" l="1"/>
  <c r="CB10" i="23" s="1"/>
  <c r="CB35" i="16"/>
  <c r="CB36" i="16" s="1"/>
  <c r="CB34" i="16"/>
  <c r="CC17" i="19"/>
  <c r="CC20" i="19" l="1"/>
  <c r="CC21" i="19"/>
  <c r="CC19" i="19"/>
  <c r="CB12" i="23"/>
  <c r="CB13" i="23" s="1"/>
  <c r="CB11" i="23"/>
  <c r="CC22" i="19" l="1"/>
  <c r="CC24" i="19" s="1"/>
  <c r="CC30" i="19" s="1"/>
  <c r="CC12" i="26"/>
  <c r="CC14" i="26"/>
  <c r="CC29" i="19" l="1"/>
  <c r="CC47" i="19" s="1"/>
  <c r="CC25" i="19"/>
  <c r="CF56" i="19" s="1"/>
  <c r="CC16" i="23" l="1"/>
  <c r="CD27" i="19"/>
  <c r="CC35" i="19"/>
  <c r="CC18" i="23" s="1"/>
  <c r="CF65" i="19"/>
  <c r="CI57" i="19"/>
  <c r="CF66" i="19"/>
  <c r="CF43" i="19"/>
  <c r="CC48" i="19"/>
  <c r="CC36" i="19" l="1"/>
  <c r="CC19" i="20" s="1"/>
  <c r="CC30" i="9"/>
  <c r="CC31" i="9" s="1"/>
  <c r="CC32" i="9" s="1"/>
  <c r="CF59" i="19"/>
  <c r="CC28" i="20" l="1"/>
  <c r="CC26" i="20"/>
  <c r="CC36" i="20"/>
  <c r="CC46" i="20"/>
  <c r="CC47" i="20"/>
  <c r="CC39" i="20"/>
  <c r="CC12" i="20"/>
  <c r="CC21" i="20"/>
  <c r="CC40" i="20"/>
  <c r="CC11" i="20"/>
  <c r="CC27" i="20"/>
  <c r="CC8" i="20"/>
  <c r="CC20" i="20"/>
  <c r="CC35" i="20"/>
  <c r="CC31" i="20"/>
  <c r="CC10" i="20"/>
  <c r="CC29" i="20"/>
  <c r="CC22" i="20"/>
  <c r="CC14" i="20"/>
  <c r="CC30" i="20"/>
  <c r="CC24" i="20"/>
  <c r="CC37" i="20"/>
  <c r="CC38" i="20"/>
  <c r="CC33" i="20"/>
  <c r="CC9" i="20"/>
  <c r="CC25" i="20"/>
  <c r="CC23" i="20"/>
  <c r="CC16" i="20"/>
  <c r="CC34" i="20"/>
  <c r="CC44" i="20"/>
  <c r="CC17" i="20"/>
  <c r="CC32" i="20"/>
  <c r="CC45" i="20"/>
  <c r="CC15" i="20"/>
  <c r="CC18" i="20"/>
  <c r="CC13" i="20"/>
  <c r="CC43" i="20"/>
  <c r="CC41" i="20"/>
  <c r="CC42" i="20"/>
  <c r="CC48" i="20" l="1"/>
  <c r="CC38" i="19"/>
  <c r="CC40" i="19" s="1"/>
  <c r="CC41" i="19" l="1"/>
  <c r="CC39" i="19"/>
  <c r="CC42" i="19" s="1"/>
  <c r="CC8" i="26" l="1"/>
  <c r="CC33" i="9"/>
  <c r="CC35" i="9" s="1"/>
  <c r="CC36" i="9" s="1"/>
  <c r="CC14" i="23"/>
  <c r="CC18" i="26" l="1" a="1"/>
  <c r="CC18" i="26" s="1"/>
  <c r="CC10" i="26"/>
  <c r="CC11" i="26" s="1"/>
  <c r="CC16" i="26" a="1"/>
  <c r="CC16" i="26" s="1"/>
  <c r="CC17" i="26" s="1"/>
  <c r="CC19" i="23"/>
  <c r="CC37" i="9"/>
  <c r="CC40" i="9"/>
  <c r="CC39" i="9"/>
  <c r="CC38" i="9"/>
  <c r="CC20" i="16" s="1"/>
  <c r="CC41" i="9"/>
  <c r="CC12" i="22" s="1"/>
  <c r="CC19" i="26" l="1"/>
  <c r="CC17" i="17"/>
  <c r="CC22" i="16"/>
  <c r="CC45" i="19"/>
  <c r="CC16" i="17"/>
  <c r="CC21" i="16"/>
  <c r="CC44" i="19"/>
  <c r="CC17" i="23"/>
  <c r="CC13" i="26"/>
  <c r="CC17" i="22"/>
  <c r="CC18" i="22" s="1"/>
  <c r="CC19" i="22" s="1"/>
  <c r="CC23" i="16" l="1"/>
  <c r="CC18" i="17"/>
  <c r="CC24" i="17" s="1"/>
  <c r="CC25" i="17" s="1"/>
  <c r="CC26" i="17" s="1"/>
  <c r="CC46" i="19"/>
  <c r="CC49" i="19" s="1"/>
  <c r="CC50" i="19" s="1"/>
  <c r="CC51" i="19" s="1"/>
  <c r="CC15" i="26"/>
  <c r="CC20" i="22"/>
  <c r="CC9" i="19"/>
  <c r="CC15" i="23" l="1"/>
  <c r="CC13" i="19"/>
  <c r="CC14" i="19" s="1"/>
  <c r="CC30" i="16"/>
  <c r="CC31" i="16" s="1"/>
  <c r="CC32" i="16" s="1"/>
  <c r="CC7" i="19" s="1"/>
  <c r="CC55" i="19"/>
  <c r="CC8" i="23" s="1"/>
  <c r="CC10" i="19"/>
  <c r="CC8" i="19"/>
  <c r="CC27" i="17"/>
  <c r="CC28" i="17" s="1"/>
  <c r="CC9" i="23"/>
  <c r="CC22" i="22"/>
  <c r="CC23" i="22" s="1"/>
  <c r="CC21" i="22"/>
  <c r="CC29" i="17" l="1"/>
  <c r="CC30" i="17" s="1"/>
  <c r="CC7" i="23"/>
  <c r="CC33" i="16"/>
  <c r="CC6" i="23" s="1"/>
  <c r="CC11" i="19"/>
  <c r="CC53" i="19" s="1"/>
  <c r="CD16" i="19" l="1"/>
  <c r="CD17" i="19" s="1"/>
  <c r="CC35" i="16"/>
  <c r="CC36" i="16" s="1"/>
  <c r="CC34" i="16"/>
  <c r="CC10" i="23"/>
  <c r="CC12" i="23" s="1"/>
  <c r="CC13" i="23" s="1"/>
  <c r="CD19" i="19" l="1"/>
  <c r="CD21" i="19"/>
  <c r="CD12" i="26" s="1"/>
  <c r="CD20" i="19"/>
  <c r="CC11" i="23"/>
  <c r="CD14" i="26" l="1"/>
  <c r="CD22" i="19"/>
  <c r="CD24" i="19" s="1"/>
  <c r="CD30" i="19" s="1"/>
  <c r="CD25" i="19" l="1"/>
  <c r="CG56" i="19" s="1"/>
  <c r="CD29" i="19"/>
  <c r="CD47" i="19" s="1"/>
  <c r="CD16" i="23" l="1"/>
  <c r="CD35" i="19"/>
  <c r="CD30" i="9" s="1"/>
  <c r="CD31" i="9" s="1"/>
  <c r="CD32" i="9" s="1"/>
  <c r="CE27" i="19"/>
  <c r="CD48" i="19"/>
  <c r="CG66" i="19"/>
  <c r="CG65" i="19"/>
  <c r="CJ57" i="19"/>
  <c r="CG43" i="19"/>
  <c r="CD36" i="19" l="1"/>
  <c r="CD47" i="20" s="1"/>
  <c r="CD18" i="23"/>
  <c r="CG59" i="19"/>
  <c r="CD26" i="20"/>
  <c r="CD29" i="20"/>
  <c r="CD39" i="20"/>
  <c r="CD31" i="20"/>
  <c r="CD24" i="20"/>
  <c r="CD34" i="20"/>
  <c r="CD19" i="20"/>
  <c r="CD22" i="20"/>
  <c r="CD20" i="20"/>
  <c r="CD32" i="20"/>
  <c r="CD40" i="20"/>
  <c r="CD41" i="20"/>
  <c r="CD16" i="20"/>
  <c r="CD8" i="20"/>
  <c r="CD11" i="20"/>
  <c r="CD35" i="20"/>
  <c r="CD9" i="20" l="1"/>
  <c r="CD42" i="20"/>
  <c r="CD14" i="20"/>
  <c r="CD10" i="20"/>
  <c r="CD21" i="20"/>
  <c r="CD38" i="20"/>
  <c r="CD28" i="20"/>
  <c r="CD46" i="20"/>
  <c r="CD23" i="20"/>
  <c r="CD17" i="20"/>
  <c r="CD13" i="20"/>
  <c r="CD45" i="20"/>
  <c r="CD36" i="20"/>
  <c r="CD25" i="20"/>
  <c r="CD15" i="20"/>
  <c r="CD33" i="20"/>
  <c r="CD27" i="20"/>
  <c r="CD12" i="20"/>
  <c r="CD30" i="20"/>
  <c r="CD44" i="20"/>
  <c r="CD18" i="20"/>
  <c r="CD37" i="20"/>
  <c r="CD43" i="20"/>
  <c r="CD48" i="20" l="1"/>
  <c r="CD38" i="19"/>
  <c r="CD40" i="19" s="1"/>
  <c r="CD39" i="19" l="1"/>
  <c r="CD42" i="19" s="1"/>
  <c r="CD41" i="19"/>
  <c r="CD8" i="26" s="1"/>
  <c r="CD33" i="9" l="1"/>
  <c r="CD35" i="9" s="1"/>
  <c r="CD36" i="9" s="1"/>
  <c r="CD40" i="9" s="1"/>
  <c r="CD14" i="23"/>
  <c r="CD18" i="26" a="1"/>
  <c r="CD18" i="26" s="1"/>
  <c r="CD10" i="26"/>
  <c r="CD11" i="26" s="1"/>
  <c r="CD16" i="26" a="1"/>
  <c r="CD16" i="26" s="1"/>
  <c r="CD17" i="26" s="1"/>
  <c r="CD19" i="26" l="1"/>
  <c r="CD17" i="17"/>
  <c r="CD22" i="16"/>
  <c r="CD45" i="19"/>
  <c r="CD16" i="17"/>
  <c r="CD21" i="16"/>
  <c r="CD44" i="19"/>
  <c r="CD17" i="23"/>
  <c r="CD13" i="26"/>
  <c r="CD41" i="9"/>
  <c r="CD12" i="22" s="1"/>
  <c r="CD17" i="22" s="1"/>
  <c r="CD18" i="22" s="1"/>
  <c r="CD19" i="22" s="1"/>
  <c r="CD39" i="9"/>
  <c r="CD19" i="23"/>
  <c r="CD37" i="9"/>
  <c r="CD38" i="9"/>
  <c r="CD20" i="16" s="1"/>
  <c r="CD18" i="17" l="1"/>
  <c r="CD46" i="19"/>
  <c r="CD49" i="19" s="1"/>
  <c r="CD50" i="19" s="1"/>
  <c r="CD51" i="19" s="1"/>
  <c r="CD23" i="16"/>
  <c r="CD30" i="16" s="1"/>
  <c r="CD31" i="16" s="1"/>
  <c r="CD32" i="16" s="1"/>
  <c r="CD15" i="26"/>
  <c r="CD20" i="22"/>
  <c r="CD9" i="19"/>
  <c r="CD55" i="19" l="1"/>
  <c r="CD8" i="23" s="1"/>
  <c r="CD10" i="19"/>
  <c r="CD13" i="19"/>
  <c r="CD14" i="19" s="1"/>
  <c r="CD15" i="23"/>
  <c r="CD24" i="17"/>
  <c r="CD25" i="17" s="1"/>
  <c r="CD26" i="17" s="1"/>
  <c r="CD7" i="19"/>
  <c r="CD33" i="16"/>
  <c r="CD22" i="22"/>
  <c r="CD23" i="22" s="1"/>
  <c r="CD9" i="23"/>
  <c r="CD21" i="22"/>
  <c r="CD27" i="17" l="1"/>
  <c r="CD8" i="19"/>
  <c r="CD11" i="19" s="1"/>
  <c r="CD53" i="19" s="1"/>
  <c r="CD6" i="23"/>
  <c r="CD35" i="16"/>
  <c r="CD36" i="16" s="1"/>
  <c r="CD34" i="16"/>
  <c r="CE16" i="19" l="1"/>
  <c r="CE17" i="19" s="1"/>
  <c r="CD7" i="23"/>
  <c r="CD10" i="23" s="1"/>
  <c r="CD28" i="17"/>
  <c r="CD29" i="17"/>
  <c r="CD30" i="17" s="1"/>
  <c r="CE21" i="19" l="1"/>
  <c r="CE12" i="26" s="1"/>
  <c r="CE19" i="19"/>
  <c r="CE20" i="19"/>
  <c r="CD11" i="23"/>
  <c r="CD12" i="23"/>
  <c r="CD13" i="23" s="1"/>
  <c r="CE14" i="26" l="1"/>
  <c r="CE22" i="19"/>
  <c r="CE24" i="19" s="1"/>
  <c r="CE25" i="19" s="1"/>
  <c r="CE30" i="19" l="1"/>
  <c r="CE29" i="19"/>
  <c r="CE47" i="19" s="1"/>
  <c r="CF27" i="19"/>
  <c r="CH56" i="19"/>
  <c r="CE35" i="19"/>
  <c r="CE16" i="23" l="1"/>
  <c r="CE48" i="19"/>
  <c r="CE18" i="23"/>
  <c r="CE36" i="19"/>
  <c r="CE30" i="9"/>
  <c r="CE31" i="9" s="1"/>
  <c r="CE32" i="9" s="1"/>
  <c r="CH43" i="19"/>
  <c r="CH65" i="19"/>
  <c r="CH66" i="19"/>
  <c r="CK57" i="19"/>
  <c r="CE46" i="20" l="1"/>
  <c r="CE47" i="20"/>
  <c r="CE44" i="20"/>
  <c r="CE45" i="20"/>
  <c r="CH59" i="19"/>
  <c r="CE33" i="20"/>
  <c r="CE10" i="20"/>
  <c r="CE13" i="20"/>
  <c r="CE21" i="20"/>
  <c r="CE17" i="20"/>
  <c r="CE16" i="20"/>
  <c r="CE19" i="20"/>
  <c r="CE40" i="20"/>
  <c r="CE43" i="20"/>
  <c r="CE39" i="20"/>
  <c r="CE8" i="20"/>
  <c r="CE24" i="20"/>
  <c r="CE14" i="20"/>
  <c r="CE32" i="20"/>
  <c r="CE31" i="20"/>
  <c r="CE36" i="20"/>
  <c r="CE35" i="20"/>
  <c r="CE38" i="20"/>
  <c r="CE20" i="20"/>
  <c r="CE15" i="20"/>
  <c r="CE11" i="20"/>
  <c r="CE27" i="20"/>
  <c r="CE18" i="20"/>
  <c r="CE28" i="20"/>
  <c r="CE12" i="20"/>
  <c r="CE23" i="20"/>
  <c r="CE29" i="20"/>
  <c r="CE30" i="20"/>
  <c r="CE26" i="20"/>
  <c r="CE22" i="20"/>
  <c r="CE37" i="20"/>
  <c r="CE9" i="20"/>
  <c r="CE42" i="20"/>
  <c r="CE25" i="20"/>
  <c r="CE41" i="20"/>
  <c r="CE34" i="20"/>
  <c r="CE48" i="20" l="1"/>
  <c r="CE38" i="19"/>
  <c r="CE39" i="19" l="1"/>
  <c r="CE40" i="19"/>
  <c r="CE41" i="19"/>
  <c r="CE8" i="26" l="1"/>
  <c r="CE42" i="19"/>
  <c r="CE14" i="23"/>
  <c r="CE33" i="9"/>
  <c r="CE18" i="26" l="1" a="1"/>
  <c r="CE18" i="26" s="1"/>
  <c r="CE10" i="26"/>
  <c r="CE11" i="26" s="1"/>
  <c r="CE16" i="26" a="1"/>
  <c r="CE16" i="26" s="1"/>
  <c r="CE17" i="26" s="1"/>
  <c r="CE35" i="9"/>
  <c r="CE36" i="9" s="1"/>
  <c r="CE39" i="9" s="1"/>
  <c r="CE17" i="17" l="1"/>
  <c r="CE22" i="16"/>
  <c r="CE45" i="19"/>
  <c r="CE19" i="26"/>
  <c r="CE13" i="26"/>
  <c r="CE17" i="23"/>
  <c r="CE16" i="17"/>
  <c r="CE21" i="16"/>
  <c r="CE44" i="19"/>
  <c r="CE41" i="9"/>
  <c r="CE12" i="22" s="1"/>
  <c r="CE17" i="22" s="1"/>
  <c r="CE18" i="22" s="1"/>
  <c r="CE19" i="22" s="1"/>
  <c r="CE19" i="23"/>
  <c r="CE37" i="9"/>
  <c r="CE40" i="9"/>
  <c r="CE38" i="9"/>
  <c r="CE20" i="16" s="1"/>
  <c r="CE23" i="16" l="1"/>
  <c r="CE46" i="19"/>
  <c r="CE49" i="19" s="1"/>
  <c r="CE50" i="19" s="1"/>
  <c r="CE51" i="19" s="1"/>
  <c r="CE18" i="17"/>
  <c r="CE24" i="17" s="1"/>
  <c r="CE25" i="17" s="1"/>
  <c r="CE26" i="17" s="1"/>
  <c r="CE15" i="26"/>
  <c r="CE20" i="22"/>
  <c r="CE9" i="19"/>
  <c r="CE8" i="19" l="1"/>
  <c r="CE27" i="17"/>
  <c r="CE7" i="23" s="1"/>
  <c r="CE15" i="23"/>
  <c r="CE13" i="19"/>
  <c r="CE14" i="19" s="1"/>
  <c r="CE30" i="16"/>
  <c r="CE31" i="16" s="1"/>
  <c r="CE32" i="16" s="1"/>
  <c r="CE7" i="19" s="1"/>
  <c r="CE55" i="19"/>
  <c r="CE8" i="23" s="1"/>
  <c r="CE10" i="19"/>
  <c r="CE9" i="23"/>
  <c r="CE22" i="22"/>
  <c r="CE23" i="22" s="1"/>
  <c r="CE21" i="22"/>
  <c r="CE28" i="17" l="1"/>
  <c r="CE29" i="17"/>
  <c r="CE30" i="17" s="1"/>
  <c r="CE33" i="16"/>
  <c r="CE6" i="23" s="1"/>
  <c r="CE10" i="23" s="1"/>
  <c r="CE11" i="19"/>
  <c r="CE53" i="19" s="1"/>
  <c r="CF16" i="19" l="1"/>
  <c r="CF17" i="19" s="1"/>
  <c r="CE35" i="16"/>
  <c r="CE36" i="16" s="1"/>
  <c r="CE34" i="16"/>
  <c r="CE12" i="23"/>
  <c r="CE13" i="23" s="1"/>
  <c r="CE11" i="23"/>
  <c r="CF20" i="19" l="1"/>
  <c r="CF19" i="19"/>
  <c r="CF21" i="19"/>
  <c r="CF12" i="26" s="1"/>
  <c r="CF22" i="19" l="1"/>
  <c r="CF24" i="19" s="1"/>
  <c r="CF29" i="19" s="1"/>
  <c r="CF14" i="26"/>
  <c r="CF25" i="19" l="1"/>
  <c r="CI56" i="19" s="1"/>
  <c r="CF30" i="19"/>
  <c r="CF16" i="23" s="1"/>
  <c r="CF47" i="19"/>
  <c r="CG27" i="19" l="1"/>
  <c r="CF35" i="19"/>
  <c r="CF18" i="23" s="1"/>
  <c r="CF48" i="19"/>
  <c r="CL57" i="19"/>
  <c r="CI66" i="19"/>
  <c r="CI43" i="19"/>
  <c r="CI65" i="19"/>
  <c r="CF36" i="19" l="1"/>
  <c r="CF47" i="20" s="1"/>
  <c r="CF30" i="9"/>
  <c r="CF31" i="9" s="1"/>
  <c r="CF32" i="9" s="1"/>
  <c r="CF45" i="20"/>
  <c r="CF46" i="20"/>
  <c r="CI59" i="19"/>
  <c r="CF23" i="20"/>
  <c r="CF11" i="20"/>
  <c r="CF9" i="20"/>
  <c r="CF22" i="20"/>
  <c r="CF37" i="20"/>
  <c r="CF13" i="20"/>
  <c r="CF43" i="20"/>
  <c r="CF33" i="20"/>
  <c r="CF39" i="20"/>
  <c r="CF30" i="20"/>
  <c r="CF18" i="20"/>
  <c r="CF25" i="20"/>
  <c r="CF41" i="20"/>
  <c r="CF42" i="20"/>
  <c r="CF15" i="20"/>
  <c r="CF12" i="20"/>
  <c r="CF32" i="20"/>
  <c r="CF10" i="20"/>
  <c r="CF26" i="20"/>
  <c r="CF40" i="20"/>
  <c r="CF34" i="20"/>
  <c r="CF44" i="20"/>
  <c r="CF8" i="20"/>
  <c r="CF14" i="20"/>
  <c r="CF20" i="20"/>
  <c r="CF38" i="20"/>
  <c r="CF17" i="20"/>
  <c r="CF31" i="20"/>
  <c r="CF28" i="20"/>
  <c r="CF36" i="20"/>
  <c r="CF16" i="20"/>
  <c r="CF21" i="20"/>
  <c r="CF24" i="20"/>
  <c r="CF29" i="20"/>
  <c r="CF19" i="20"/>
  <c r="CF27" i="20"/>
  <c r="CF35" i="20"/>
  <c r="CF48" i="20" l="1"/>
  <c r="CF38" i="19"/>
  <c r="CF39" i="19" l="1"/>
  <c r="CF41" i="19"/>
  <c r="CF40" i="19"/>
  <c r="CF8" i="26" l="1"/>
  <c r="CF42" i="19"/>
  <c r="CF14" i="23"/>
  <c r="CF33" i="9"/>
  <c r="CF18" i="26" l="1" a="1"/>
  <c r="CF18" i="26" s="1"/>
  <c r="CF10" i="26"/>
  <c r="CF11" i="26" s="1"/>
  <c r="CF16" i="26" a="1"/>
  <c r="CF16" i="26" s="1"/>
  <c r="CF35" i="9"/>
  <c r="CF36" i="9" s="1"/>
  <c r="CF19" i="26" l="1"/>
  <c r="CF17" i="17"/>
  <c r="CF22" i="16"/>
  <c r="CF45" i="19"/>
  <c r="CF13" i="26"/>
  <c r="CF17" i="23"/>
  <c r="CF16" i="17"/>
  <c r="CF21" i="16"/>
  <c r="CF44" i="19"/>
  <c r="CF17" i="26"/>
  <c r="CF19" i="23"/>
  <c r="CF37" i="9"/>
  <c r="CF38" i="9"/>
  <c r="CF20" i="16" s="1"/>
  <c r="CF41" i="9"/>
  <c r="CF12" i="22" s="1"/>
  <c r="CF40" i="9"/>
  <c r="CF39" i="9"/>
  <c r="CF23" i="16" l="1"/>
  <c r="CF30" i="16" s="1"/>
  <c r="CF31" i="16" s="1"/>
  <c r="CF32" i="16" s="1"/>
  <c r="CF18" i="17"/>
  <c r="CF24" i="17" s="1"/>
  <c r="CF25" i="17" s="1"/>
  <c r="CF26" i="17" s="1"/>
  <c r="CF46" i="19"/>
  <c r="CF49" i="19" s="1"/>
  <c r="CF50" i="19" s="1"/>
  <c r="CF51" i="19" s="1"/>
  <c r="CF15" i="26"/>
  <c r="CF17" i="22"/>
  <c r="CF18" i="22" s="1"/>
  <c r="CF19" i="22" s="1"/>
  <c r="CF13" i="19" l="1"/>
  <c r="CF14" i="19" s="1"/>
  <c r="CF15" i="23"/>
  <c r="CF20" i="22"/>
  <c r="CF9" i="19"/>
  <c r="CF7" i="19"/>
  <c r="CF33" i="16"/>
  <c r="CF8" i="19"/>
  <c r="CF27" i="17"/>
  <c r="CF55" i="19"/>
  <c r="CF8" i="23" s="1"/>
  <c r="CF10" i="19"/>
  <c r="CF7" i="23" l="1"/>
  <c r="CF29" i="17"/>
  <c r="CF30" i="17" s="1"/>
  <c r="CF28" i="17"/>
  <c r="CF6" i="23"/>
  <c r="CF35" i="16"/>
  <c r="CF36" i="16" s="1"/>
  <c r="CF34" i="16"/>
  <c r="CF11" i="19"/>
  <c r="CF53" i="19" s="1"/>
  <c r="CG16" i="19" s="1"/>
  <c r="CF22" i="22"/>
  <c r="CF23" i="22" s="1"/>
  <c r="CF9" i="23"/>
  <c r="CF21" i="22"/>
  <c r="CG17" i="19" l="1"/>
  <c r="CF10" i="23"/>
  <c r="CG19" i="19" l="1"/>
  <c r="CG21" i="19"/>
  <c r="CG20" i="19"/>
  <c r="CF12" i="23"/>
  <c r="CF13" i="23" s="1"/>
  <c r="CF11" i="23"/>
  <c r="CG22" i="19" l="1"/>
  <c r="CG24" i="19" s="1"/>
  <c r="CG12" i="26"/>
  <c r="CG14" i="26"/>
  <c r="CG29" i="19" l="1"/>
  <c r="CG30" i="19"/>
  <c r="CG25" i="19"/>
  <c r="CG47" i="19" l="1"/>
  <c r="CG16" i="23"/>
  <c r="CJ56" i="19"/>
  <c r="CH27" i="19"/>
  <c r="CG35" i="19"/>
  <c r="CG18" i="23" l="1"/>
  <c r="CG36" i="19"/>
  <c r="CG30" i="9"/>
  <c r="CG31" i="9" s="1"/>
  <c r="CG32" i="9" s="1"/>
  <c r="CM57" i="19"/>
  <c r="CJ65" i="19"/>
  <c r="CJ43" i="19"/>
  <c r="CJ66" i="19"/>
  <c r="CG48" i="19"/>
  <c r="CG46" i="20" l="1"/>
  <c r="CG47" i="20"/>
  <c r="CJ59" i="19"/>
  <c r="CG9" i="20"/>
  <c r="CG43" i="20"/>
  <c r="CG20" i="20"/>
  <c r="CG45" i="20"/>
  <c r="CG39" i="20"/>
  <c r="CG15" i="20"/>
  <c r="CG40" i="20"/>
  <c r="CG14" i="20"/>
  <c r="CG8" i="20"/>
  <c r="CG23" i="20"/>
  <c r="CG36" i="20"/>
  <c r="CG22" i="20"/>
  <c r="CG44" i="20"/>
  <c r="CG10" i="20"/>
  <c r="CG34" i="20"/>
  <c r="CG16" i="20"/>
  <c r="CG18" i="20"/>
  <c r="CG27" i="20"/>
  <c r="CG35" i="20"/>
  <c r="CG31" i="20"/>
  <c r="CG37" i="20"/>
  <c r="CG33" i="20"/>
  <c r="CG11" i="20"/>
  <c r="CG24" i="20"/>
  <c r="CG32" i="20"/>
  <c r="CG26" i="20"/>
  <c r="CG30" i="20"/>
  <c r="CG12" i="20"/>
  <c r="CG29" i="20"/>
  <c r="CG28" i="20"/>
  <c r="CG41" i="20"/>
  <c r="CG21" i="20"/>
  <c r="CG25" i="20"/>
  <c r="CG13" i="20"/>
  <c r="CG38" i="20"/>
  <c r="CG17" i="20"/>
  <c r="CG19" i="20"/>
  <c r="CG42" i="20"/>
  <c r="CG48" i="20" l="1"/>
  <c r="CG38" i="19"/>
  <c r="CG39" i="19" l="1"/>
  <c r="CG40" i="19"/>
  <c r="CG41" i="19"/>
  <c r="CG8" i="26" l="1"/>
  <c r="CG42" i="19"/>
  <c r="CG14" i="23"/>
  <c r="CG33" i="9"/>
  <c r="CG18" i="26" l="1" a="1"/>
  <c r="CG18" i="26" s="1"/>
  <c r="CG10" i="26"/>
  <c r="CG11" i="26" s="1"/>
  <c r="CG16" i="26" a="1"/>
  <c r="CG16" i="26" s="1"/>
  <c r="CG35" i="9"/>
  <c r="CG36" i="9" s="1"/>
  <c r="CG19" i="26" l="1"/>
  <c r="CG17" i="17"/>
  <c r="CG22" i="16"/>
  <c r="CG45" i="19"/>
  <c r="CG13" i="26"/>
  <c r="CG17" i="23"/>
  <c r="CG16" i="17"/>
  <c r="CG21" i="16"/>
  <c r="CG44" i="19"/>
  <c r="CG17" i="26"/>
  <c r="CG19" i="23"/>
  <c r="CG37" i="9"/>
  <c r="CG38" i="9"/>
  <c r="CG20" i="16" s="1"/>
  <c r="CG41" i="9"/>
  <c r="CG12" i="22" s="1"/>
  <c r="CG39" i="9"/>
  <c r="CG40" i="9"/>
  <c r="CG46" i="19" l="1"/>
  <c r="CG49" i="19" s="1"/>
  <c r="CG50" i="19" s="1"/>
  <c r="CG51" i="19" s="1"/>
  <c r="CG18" i="17"/>
  <c r="CG23" i="16"/>
  <c r="CG30" i="16" s="1"/>
  <c r="CG31" i="16" s="1"/>
  <c r="CG32" i="16" s="1"/>
  <c r="CG15" i="26"/>
  <c r="CG17" i="22"/>
  <c r="CG18" i="22" s="1"/>
  <c r="CG19" i="22" s="1"/>
  <c r="CG15" i="23" l="1"/>
  <c r="CG24" i="17"/>
  <c r="CG25" i="17" s="1"/>
  <c r="CG26" i="17" s="1"/>
  <c r="CG27" i="17" s="1"/>
  <c r="CG13" i="19"/>
  <c r="CG14" i="19" s="1"/>
  <c r="CG20" i="22"/>
  <c r="CG9" i="19"/>
  <c r="CG7" i="19"/>
  <c r="CG33" i="16"/>
  <c r="CG55" i="19"/>
  <c r="CG8" i="23" s="1"/>
  <c r="CG10" i="19"/>
  <c r="CG8" i="19" l="1"/>
  <c r="CG11" i="19" s="1"/>
  <c r="CG53" i="19" s="1"/>
  <c r="CH16" i="19" s="1"/>
  <c r="CG6" i="23"/>
  <c r="CG35" i="16"/>
  <c r="CG36" i="16" s="1"/>
  <c r="CG34" i="16"/>
  <c r="CG7" i="23"/>
  <c r="CG29" i="17"/>
  <c r="CG30" i="17" s="1"/>
  <c r="CG28" i="17"/>
  <c r="CG22" i="22"/>
  <c r="CG23" i="22" s="1"/>
  <c r="CG9" i="23"/>
  <c r="CG21" i="22"/>
  <c r="CH17" i="19" l="1"/>
  <c r="CG10" i="23"/>
  <c r="CH21" i="19" l="1"/>
  <c r="CH19" i="19"/>
  <c r="CH20" i="19"/>
  <c r="CG12" i="23"/>
  <c r="CG13" i="23" s="1"/>
  <c r="CG11" i="23"/>
  <c r="CH22" i="19" l="1"/>
  <c r="CH24" i="19" s="1"/>
  <c r="CH12" i="26"/>
  <c r="CH14" i="26"/>
  <c r="CH30" i="19" l="1"/>
  <c r="CH29" i="19"/>
  <c r="CH25" i="19"/>
  <c r="CK56" i="19" l="1"/>
  <c r="CI27" i="19"/>
  <c r="CH35" i="19"/>
  <c r="CH47" i="19"/>
  <c r="CH16" i="23"/>
  <c r="CH48" i="19" l="1"/>
  <c r="CH18" i="23"/>
  <c r="CH36" i="19"/>
  <c r="CH47" i="20" s="1"/>
  <c r="CH30" i="9"/>
  <c r="CH31" i="9" s="1"/>
  <c r="CH32" i="9" s="1"/>
  <c r="CK66" i="19"/>
  <c r="CK43" i="19"/>
  <c r="CN57" i="19"/>
  <c r="CK65" i="19"/>
  <c r="CK59" i="19" l="1"/>
  <c r="CH17" i="20"/>
  <c r="CH42" i="20"/>
  <c r="CH19" i="20"/>
  <c r="CH13" i="20"/>
  <c r="CH27" i="20"/>
  <c r="CH41" i="20"/>
  <c r="CH12" i="20"/>
  <c r="CH18" i="20"/>
  <c r="CH24" i="20"/>
  <c r="CH45" i="20"/>
  <c r="CH8" i="20"/>
  <c r="CH43" i="20"/>
  <c r="CH16" i="20"/>
  <c r="CH37" i="20"/>
  <c r="CH10" i="20"/>
  <c r="CH11" i="20"/>
  <c r="CH25" i="20"/>
  <c r="CH34" i="20"/>
  <c r="CH33" i="20"/>
  <c r="CH15" i="20"/>
  <c r="CH9" i="20"/>
  <c r="CH31" i="20"/>
  <c r="CH29" i="20"/>
  <c r="CH14" i="20"/>
  <c r="CH20" i="20"/>
  <c r="CH23" i="20"/>
  <c r="CH28" i="20"/>
  <c r="CH30" i="20"/>
  <c r="CH36" i="20"/>
  <c r="CH22" i="20"/>
  <c r="CH26" i="20"/>
  <c r="CH32" i="20"/>
  <c r="CH38" i="20"/>
  <c r="CH35" i="20"/>
  <c r="CH39" i="20"/>
  <c r="CH46" i="20"/>
  <c r="CH44" i="20"/>
  <c r="CH21" i="20"/>
  <c r="CH40" i="20"/>
  <c r="CH48" i="20" l="1"/>
  <c r="CH38" i="19"/>
  <c r="CH41" i="19" l="1"/>
  <c r="CH40" i="19"/>
  <c r="CH39" i="19"/>
  <c r="CH8" i="26" l="1"/>
  <c r="CH42" i="19"/>
  <c r="CH33" i="9"/>
  <c r="CH14" i="23"/>
  <c r="CH18" i="26" l="1" a="1"/>
  <c r="CH18" i="26" s="1"/>
  <c r="CH10" i="26"/>
  <c r="CH11" i="26" s="1"/>
  <c r="CH16" i="26" a="1"/>
  <c r="CH16" i="26" s="1"/>
  <c r="CH35" i="9"/>
  <c r="CH36" i="9" s="1"/>
  <c r="CH19" i="26" l="1"/>
  <c r="CH17" i="17"/>
  <c r="CH22" i="16"/>
  <c r="CH45" i="19"/>
  <c r="CH16" i="17"/>
  <c r="CH21" i="16"/>
  <c r="CH44" i="19"/>
  <c r="CH17" i="26"/>
  <c r="CH17" i="23"/>
  <c r="CH13" i="26"/>
  <c r="CH19" i="23"/>
  <c r="CH37" i="9"/>
  <c r="CH38" i="9"/>
  <c r="CH20" i="16" s="1"/>
  <c r="CH40" i="9"/>
  <c r="CH41" i="9"/>
  <c r="CH12" i="22" s="1"/>
  <c r="CH39" i="9"/>
  <c r="CH18" i="17" l="1"/>
  <c r="CH24" i="17" s="1"/>
  <c r="CH25" i="17" s="1"/>
  <c r="CH26" i="17" s="1"/>
  <c r="CH46" i="19"/>
  <c r="CH49" i="19" s="1"/>
  <c r="CH50" i="19" s="1"/>
  <c r="CH51" i="19" s="1"/>
  <c r="CH23" i="16"/>
  <c r="CH15" i="26"/>
  <c r="CH17" i="22"/>
  <c r="CH18" i="22" s="1"/>
  <c r="CH19" i="22" s="1"/>
  <c r="CH15" i="23" l="1"/>
  <c r="CH13" i="19"/>
  <c r="CH14" i="19" s="1"/>
  <c r="CH30" i="16"/>
  <c r="CH31" i="16" s="1"/>
  <c r="CH32" i="16" s="1"/>
  <c r="CH7" i="19" s="1"/>
  <c r="CH8" i="19"/>
  <c r="CH27" i="17"/>
  <c r="CH20" i="22"/>
  <c r="CH9" i="19"/>
  <c r="CH55" i="19"/>
  <c r="CH8" i="23" s="1"/>
  <c r="CH10" i="19"/>
  <c r="CH33" i="16" l="1"/>
  <c r="CH6" i="23" s="1"/>
  <c r="CH9" i="23"/>
  <c r="CH22" i="22"/>
  <c r="CH23" i="22" s="1"/>
  <c r="CH21" i="22"/>
  <c r="CH7" i="23"/>
  <c r="CH29" i="17"/>
  <c r="CH30" i="17" s="1"/>
  <c r="CH28" i="17"/>
  <c r="CH11" i="19"/>
  <c r="CH53" i="19" s="1"/>
  <c r="CI16" i="19" s="1"/>
  <c r="CH34" i="16" l="1"/>
  <c r="CH35" i="16"/>
  <c r="CH36" i="16" s="1"/>
  <c r="CH10" i="23"/>
  <c r="CH12" i="23" s="1"/>
  <c r="CH13" i="23" s="1"/>
  <c r="CI17" i="19"/>
  <c r="CI20" i="19" l="1"/>
  <c r="CI21" i="19"/>
  <c r="CI19" i="19"/>
  <c r="CH11" i="23"/>
  <c r="CI22" i="19" l="1"/>
  <c r="CI24" i="19" s="1"/>
  <c r="CI12" i="26"/>
  <c r="CI14" i="26"/>
  <c r="J23" i="26" l="1"/>
  <c r="CI30" i="19"/>
  <c r="CI29" i="19"/>
  <c r="CI25" i="19"/>
  <c r="CL56" i="19" l="1"/>
  <c r="CJ27" i="19"/>
  <c r="CI35" i="19"/>
  <c r="CI47" i="19"/>
  <c r="CI16" i="23"/>
  <c r="J43" i="23" s="1"/>
  <c r="I21" i="25" s="1"/>
  <c r="CI48" i="19" l="1"/>
  <c r="T145" i="24" s="1"/>
  <c r="T147" i="24" s="1"/>
  <c r="CI18" i="23"/>
  <c r="J45" i="23" s="1"/>
  <c r="I17" i="25" s="1"/>
  <c r="CI36" i="19"/>
  <c r="CI47" i="20" s="1"/>
  <c r="J137" i="20" s="1"/>
  <c r="CI30" i="9"/>
  <c r="CI31" i="9" s="1"/>
  <c r="CI32" i="9" s="1"/>
  <c r="CL65" i="19"/>
  <c r="CO57" i="19"/>
  <c r="CL66" i="19"/>
  <c r="CL43" i="19"/>
  <c r="J92" i="20" l="1"/>
  <c r="J182" i="20"/>
  <c r="CL59" i="19"/>
  <c r="CI28" i="20"/>
  <c r="CI37" i="20"/>
  <c r="CI13" i="20"/>
  <c r="CI39" i="20"/>
  <c r="CI32" i="20"/>
  <c r="CI21" i="20"/>
  <c r="CI30" i="20"/>
  <c r="CI26" i="20"/>
  <c r="CI12" i="20"/>
  <c r="CI27" i="20"/>
  <c r="CI11" i="20"/>
  <c r="CI45" i="20"/>
  <c r="CI34" i="20"/>
  <c r="CI31" i="20"/>
  <c r="CI41" i="20"/>
  <c r="CI36" i="20"/>
  <c r="CI46" i="20"/>
  <c r="CI14" i="20"/>
  <c r="CI8" i="20"/>
  <c r="CI9" i="20"/>
  <c r="CI15" i="20"/>
  <c r="CI20" i="20"/>
  <c r="CI24" i="20"/>
  <c r="CI33" i="20"/>
  <c r="CI16" i="20"/>
  <c r="CI42" i="20"/>
  <c r="CI22" i="20"/>
  <c r="CI18" i="20"/>
  <c r="CI44" i="20"/>
  <c r="CI38" i="20"/>
  <c r="CI25" i="20"/>
  <c r="CI29" i="20"/>
  <c r="CI23" i="20"/>
  <c r="CI17" i="20"/>
  <c r="CI10" i="20"/>
  <c r="CI43" i="20"/>
  <c r="CI19" i="20"/>
  <c r="CI35" i="20"/>
  <c r="CI40" i="20"/>
  <c r="J109" i="20" l="1"/>
  <c r="J154" i="20"/>
  <c r="J64" i="20"/>
  <c r="J177" i="20"/>
  <c r="J132" i="20"/>
  <c r="J87" i="20"/>
  <c r="J81" i="20"/>
  <c r="J126" i="20"/>
  <c r="J171" i="20"/>
  <c r="J156" i="20"/>
  <c r="J66" i="20"/>
  <c r="J111" i="20"/>
  <c r="J125" i="20"/>
  <c r="J170" i="20"/>
  <c r="J80" i="20"/>
  <c r="J181" i="20"/>
  <c r="J136" i="20"/>
  <c r="J91" i="20"/>
  <c r="J145" i="20"/>
  <c r="J55" i="20"/>
  <c r="J100" i="20"/>
  <c r="J61" i="20"/>
  <c r="J106" i="20"/>
  <c r="J151" i="20"/>
  <c r="J176" i="20"/>
  <c r="J131" i="20"/>
  <c r="J86" i="20"/>
  <c r="J122" i="20"/>
  <c r="J77" i="20"/>
  <c r="J167" i="20"/>
  <c r="J57" i="20"/>
  <c r="J147" i="20"/>
  <c r="J102" i="20"/>
  <c r="J120" i="20"/>
  <c r="J165" i="20"/>
  <c r="J75" i="20"/>
  <c r="J152" i="20"/>
  <c r="J107" i="20"/>
  <c r="J62" i="20"/>
  <c r="J78" i="20"/>
  <c r="J168" i="20"/>
  <c r="J123" i="20"/>
  <c r="J121" i="20"/>
  <c r="J166" i="20"/>
  <c r="J76" i="20"/>
  <c r="J84" i="20"/>
  <c r="J174" i="20"/>
  <c r="J129" i="20"/>
  <c r="CI48" i="20"/>
  <c r="CI38" i="19"/>
  <c r="J98" i="20"/>
  <c r="J143" i="20"/>
  <c r="J53" i="20"/>
  <c r="J157" i="20"/>
  <c r="J112" i="20"/>
  <c r="J67" i="20"/>
  <c r="J158" i="20"/>
  <c r="J113" i="20"/>
  <c r="J68" i="20"/>
  <c r="J69" i="20"/>
  <c r="J159" i="20"/>
  <c r="J114" i="20"/>
  <c r="J169" i="20"/>
  <c r="J124" i="20"/>
  <c r="J79" i="20"/>
  <c r="J148" i="20"/>
  <c r="J58" i="20"/>
  <c r="J103" i="20"/>
  <c r="J179" i="20"/>
  <c r="J134" i="20"/>
  <c r="J89" i="20"/>
  <c r="J104" i="20"/>
  <c r="J59" i="20"/>
  <c r="J149" i="20"/>
  <c r="J133" i="20"/>
  <c r="J88" i="20"/>
  <c r="J178" i="20"/>
  <c r="J164" i="20"/>
  <c r="J119" i="20"/>
  <c r="J74" i="20"/>
  <c r="J110" i="20"/>
  <c r="J65" i="20"/>
  <c r="J155" i="20"/>
  <c r="J180" i="20"/>
  <c r="J90" i="20"/>
  <c r="J135" i="20"/>
  <c r="J82" i="20"/>
  <c r="J172" i="20"/>
  <c r="J127" i="20"/>
  <c r="J85" i="20"/>
  <c r="J130" i="20"/>
  <c r="J175" i="20"/>
  <c r="J71" i="20"/>
  <c r="J116" i="20"/>
  <c r="J161" i="20"/>
  <c r="J115" i="20"/>
  <c r="J160" i="20"/>
  <c r="J70" i="20"/>
  <c r="J101" i="20"/>
  <c r="J56" i="20"/>
  <c r="J146" i="20"/>
  <c r="J73" i="20"/>
  <c r="J163" i="20"/>
  <c r="J118" i="20"/>
  <c r="J108" i="20"/>
  <c r="J153" i="20"/>
  <c r="J63" i="20"/>
  <c r="J150" i="20"/>
  <c r="J105" i="20"/>
  <c r="J60" i="20"/>
  <c r="J83" i="20"/>
  <c r="J128" i="20"/>
  <c r="J173" i="20"/>
  <c r="J99" i="20"/>
  <c r="J54" i="20"/>
  <c r="J144" i="20"/>
  <c r="J72" i="20"/>
  <c r="J117" i="20"/>
  <c r="J162" i="20"/>
  <c r="CI40" i="19" l="1"/>
  <c r="CI39" i="19"/>
  <c r="CI41" i="19"/>
  <c r="J93" i="20"/>
  <c r="J183" i="20"/>
  <c r="J138" i="20"/>
  <c r="CI8" i="26" l="1"/>
  <c r="CI42" i="19"/>
  <c r="T125" i="24" s="1"/>
  <c r="CI33" i="9"/>
  <c r="CI14" i="23"/>
  <c r="T110" i="24"/>
  <c r="T72" i="24"/>
  <c r="T75" i="24" s="1"/>
  <c r="CI18" i="26" l="1" a="1"/>
  <c r="CI18" i="26" s="1"/>
  <c r="CI10" i="26"/>
  <c r="CI11" i="26" s="1"/>
  <c r="CI16" i="26" a="1"/>
  <c r="CI16" i="26" s="1"/>
  <c r="J40" i="23"/>
  <c r="I18" i="25" s="1"/>
  <c r="I50" i="31" s="1"/>
  <c r="T172" i="24"/>
  <c r="CI35" i="9"/>
  <c r="CI36" i="9" s="1"/>
  <c r="T171" i="24"/>
  <c r="I51" i="31" l="1"/>
  <c r="I49" i="31"/>
  <c r="CI19" i="26"/>
  <c r="CI17" i="17"/>
  <c r="CI22" i="16"/>
  <c r="CI45" i="19"/>
  <c r="CI16" i="17"/>
  <c r="CI21" i="16"/>
  <c r="CI44" i="19"/>
  <c r="CI17" i="26"/>
  <c r="CI13" i="26"/>
  <c r="J21" i="26"/>
  <c r="CI17" i="23"/>
  <c r="J44" i="23" s="1"/>
  <c r="I22" i="25" s="1"/>
  <c r="I40" i="31" s="1"/>
  <c r="T173" i="24"/>
  <c r="CI19" i="23"/>
  <c r="CI37" i="9"/>
  <c r="CI40" i="9"/>
  <c r="CI38" i="9"/>
  <c r="CI41" i="9"/>
  <c r="CI39" i="9"/>
  <c r="I41" i="31" l="1"/>
  <c r="I45" i="31" s="1"/>
  <c r="I39" i="31"/>
  <c r="I43" i="31" s="1"/>
  <c r="T113" i="24"/>
  <c r="T114" i="24" s="1"/>
  <c r="T116" i="24" s="1"/>
  <c r="T117" i="24" s="1"/>
  <c r="CI46" i="19"/>
  <c r="T126" i="24" s="1"/>
  <c r="CI18" i="17"/>
  <c r="T128" i="24"/>
  <c r="I44" i="31"/>
  <c r="CI15" i="26"/>
  <c r="J22" i="26"/>
  <c r="T137" i="24"/>
  <c r="T138" i="24"/>
  <c r="CI12" i="22"/>
  <c r="T139" i="24"/>
  <c r="CI20" i="16"/>
  <c r="CI23" i="16" s="1"/>
  <c r="T136" i="24"/>
  <c r="T140" i="24" l="1"/>
  <c r="CI15" i="23"/>
  <c r="J41" i="23" s="1"/>
  <c r="I19" i="25" s="1"/>
  <c r="I53" i="31" s="1"/>
  <c r="CI30" i="16"/>
  <c r="CI31" i="16" s="1"/>
  <c r="T153" i="24" s="1"/>
  <c r="CI13" i="19"/>
  <c r="CI14" i="19" s="1"/>
  <c r="CI17" i="22"/>
  <c r="CI18" i="22" s="1"/>
  <c r="T156" i="24" s="1"/>
  <c r="CI49" i="19"/>
  <c r="CI50" i="19" s="1"/>
  <c r="T155" i="24" s="1"/>
  <c r="CI24" i="17"/>
  <c r="CI25" i="17" s="1"/>
  <c r="T154" i="24" s="1"/>
  <c r="I54" i="31" l="1"/>
  <c r="I52" i="31"/>
  <c r="T129" i="24"/>
  <c r="T131" i="24" s="1"/>
  <c r="CI51" i="19"/>
  <c r="CI55" i="19" s="1"/>
  <c r="CI8" i="23" s="1"/>
  <c r="T176" i="24"/>
  <c r="CI19" i="22"/>
  <c r="T157" i="24"/>
  <c r="T159" i="24" s="1"/>
  <c r="CI32" i="16"/>
  <c r="CI26" i="17"/>
  <c r="T149" i="24" l="1"/>
  <c r="T150" i="24" s="1"/>
  <c r="T132" i="24"/>
  <c r="CI10" i="19"/>
  <c r="CI27" i="17"/>
  <c r="CI8" i="19"/>
  <c r="CI7" i="19"/>
  <c r="CI33" i="16"/>
  <c r="CI20" i="22"/>
  <c r="CI9" i="19"/>
  <c r="T162" i="24" l="1"/>
  <c r="T175" i="24" s="1"/>
  <c r="T177" i="24" s="1"/>
  <c r="CI9" i="23"/>
  <c r="CI22" i="22"/>
  <c r="CI23" i="22" s="1"/>
  <c r="CI21" i="22"/>
  <c r="CI6" i="23"/>
  <c r="CI35" i="16"/>
  <c r="CI36" i="16" s="1"/>
  <c r="CI34" i="16"/>
  <c r="CI11" i="19"/>
  <c r="CI53" i="19" s="1"/>
  <c r="CJ16" i="19" s="1"/>
  <c r="CI7" i="23"/>
  <c r="CI29" i="17"/>
  <c r="CI30" i="17" s="1"/>
  <c r="CI28" i="17"/>
  <c r="T163" i="24" l="1"/>
  <c r="CJ17" i="19"/>
  <c r="CI10" i="23"/>
  <c r="CJ19" i="19" l="1"/>
  <c r="CJ20" i="19"/>
  <c r="CJ21" i="19"/>
  <c r="CI12" i="23"/>
  <c r="CI13" i="23" s="1"/>
  <c r="J42" i="23"/>
  <c r="I20" i="25" s="1"/>
  <c r="I56" i="31" s="1"/>
  <c r="CI11" i="23"/>
  <c r="I57" i="31" l="1"/>
  <c r="I55" i="31"/>
  <c r="CJ22" i="19"/>
  <c r="CJ24" i="19" s="1"/>
  <c r="CJ12" i="26"/>
  <c r="CJ14" i="26"/>
  <c r="CJ30" i="19" l="1"/>
  <c r="CJ29" i="19"/>
  <c r="CJ25" i="19"/>
  <c r="CM56" i="19" l="1"/>
  <c r="CK27" i="19"/>
  <c r="CJ35" i="19"/>
  <c r="CJ47" i="19"/>
  <c r="CJ16" i="23"/>
  <c r="CJ48" i="19" l="1"/>
  <c r="CJ18" i="23"/>
  <c r="CJ36" i="19"/>
  <c r="CJ47" i="20" s="1"/>
  <c r="CJ30" i="9"/>
  <c r="CJ31" i="9" s="1"/>
  <c r="CJ32" i="9" s="1"/>
  <c r="CM65" i="19"/>
  <c r="CP57" i="19"/>
  <c r="CM66" i="19"/>
  <c r="CM43" i="19"/>
  <c r="CM59" i="19" l="1"/>
  <c r="CJ18" i="20"/>
  <c r="CJ27" i="20"/>
  <c r="CJ44" i="20"/>
  <c r="CJ11" i="20"/>
  <c r="CJ41" i="20"/>
  <c r="CJ16" i="20"/>
  <c r="CJ35" i="20"/>
  <c r="CJ43" i="20"/>
  <c r="CJ19" i="20"/>
  <c r="CJ22" i="20"/>
  <c r="CJ30" i="20"/>
  <c r="CJ9" i="20"/>
  <c r="CJ14" i="20"/>
  <c r="CJ23" i="20"/>
  <c r="CJ31" i="20"/>
  <c r="CJ26" i="20"/>
  <c r="CJ45" i="20"/>
  <c r="CJ40" i="20"/>
  <c r="CJ38" i="20"/>
  <c r="CJ8" i="20"/>
  <c r="CJ39" i="20"/>
  <c r="CJ10" i="20"/>
  <c r="CJ33" i="20"/>
  <c r="CJ17" i="20"/>
  <c r="CJ20" i="20"/>
  <c r="CJ25" i="20"/>
  <c r="CJ37" i="20"/>
  <c r="CJ29" i="20"/>
  <c r="CJ21" i="20"/>
  <c r="CJ36" i="20"/>
  <c r="CJ34" i="20"/>
  <c r="CJ24" i="20"/>
  <c r="CJ32" i="20"/>
  <c r="CJ13" i="20"/>
  <c r="CJ15" i="20"/>
  <c r="CJ46" i="20"/>
  <c r="CJ28" i="20"/>
  <c r="CJ42" i="20"/>
  <c r="CJ12" i="20"/>
  <c r="CJ48" i="20" l="1"/>
  <c r="CJ38" i="19"/>
  <c r="CJ40" i="19" l="1"/>
  <c r="CJ41" i="19"/>
  <c r="CJ39" i="19"/>
  <c r="CJ8" i="26" l="1"/>
  <c r="CJ42" i="19"/>
  <c r="CJ33" i="9"/>
  <c r="CJ14" i="23"/>
  <c r="CJ18" i="26" l="1" a="1"/>
  <c r="CJ18" i="26" s="1"/>
  <c r="CJ10" i="26"/>
  <c r="CJ11" i="26" s="1"/>
  <c r="CJ16" i="26" a="1"/>
  <c r="CJ16" i="26" s="1"/>
  <c r="CJ35" i="9"/>
  <c r="CJ36" i="9" s="1"/>
  <c r="CJ41" i="9" s="1"/>
  <c r="CJ19" i="26" l="1"/>
  <c r="CJ17" i="17"/>
  <c r="CJ22" i="16"/>
  <c r="CJ45" i="19"/>
  <c r="CJ16" i="17"/>
  <c r="CJ21" i="16"/>
  <c r="CJ44" i="19"/>
  <c r="CJ17" i="26"/>
  <c r="CJ13" i="26"/>
  <c r="CJ17" i="23"/>
  <c r="CJ40" i="9"/>
  <c r="CJ12" i="22"/>
  <c r="CJ19" i="23"/>
  <c r="CJ37" i="9"/>
  <c r="CJ38" i="9"/>
  <c r="CJ39" i="9"/>
  <c r="CJ18" i="17" l="1"/>
  <c r="CJ46" i="19"/>
  <c r="CJ49" i="19" s="1"/>
  <c r="CJ50" i="19" s="1"/>
  <c r="CJ51" i="19" s="1"/>
  <c r="CJ15" i="26"/>
  <c r="CJ17" i="22"/>
  <c r="CJ18" i="22" s="1"/>
  <c r="CJ20" i="16"/>
  <c r="CJ23" i="16" s="1"/>
  <c r="CJ15" i="23" l="1"/>
  <c r="CJ30" i="16"/>
  <c r="CJ31" i="16" s="1"/>
  <c r="CJ13" i="19"/>
  <c r="CJ14" i="19" s="1"/>
  <c r="CJ19" i="22"/>
  <c r="CJ55" i="19"/>
  <c r="CJ8" i="23" s="1"/>
  <c r="CJ10" i="19"/>
  <c r="CJ24" i="17"/>
  <c r="CJ25" i="17" s="1"/>
  <c r="CJ26" i="17" s="1"/>
  <c r="CJ27" i="17" l="1"/>
  <c r="CJ8" i="19"/>
  <c r="CJ20" i="22"/>
  <c r="CJ9" i="19"/>
  <c r="CJ32" i="16"/>
  <c r="CJ7" i="19" l="1"/>
  <c r="CJ11" i="19" s="1"/>
  <c r="CJ53" i="19" s="1"/>
  <c r="CK16" i="19" s="1"/>
  <c r="CJ33" i="16"/>
  <c r="CJ9" i="23"/>
  <c r="CJ22" i="22"/>
  <c r="CJ23" i="22" s="1"/>
  <c r="CJ21" i="22"/>
  <c r="CJ7" i="23"/>
  <c r="CJ29" i="17"/>
  <c r="CJ30" i="17" s="1"/>
  <c r="CJ28" i="17"/>
  <c r="CJ6" i="23" l="1"/>
  <c r="CJ10" i="23" s="1"/>
  <c r="CJ35" i="16"/>
  <c r="CJ36" i="16" s="1"/>
  <c r="CJ34" i="16"/>
  <c r="CK17" i="19"/>
  <c r="CK19" i="19" l="1"/>
  <c r="CK21" i="19"/>
  <c r="CK20" i="19"/>
  <c r="CJ12" i="23"/>
  <c r="CJ13" i="23" s="1"/>
  <c r="CJ11" i="23"/>
  <c r="CK22" i="19" l="1"/>
  <c r="CK24" i="19" s="1"/>
  <c r="CK12" i="26"/>
  <c r="CK14" i="26"/>
  <c r="CK30" i="19" l="1"/>
  <c r="CK29" i="19"/>
  <c r="CK25" i="19"/>
  <c r="CN56" i="19" l="1"/>
  <c r="CL27" i="19"/>
  <c r="CK35" i="19"/>
  <c r="CK47" i="19"/>
  <c r="CK16" i="23"/>
  <c r="CK48" i="19" l="1"/>
  <c r="CK18" i="23"/>
  <c r="CK36" i="19"/>
  <c r="CK47" i="20" s="1"/>
  <c r="CK30" i="9"/>
  <c r="CK31" i="9" s="1"/>
  <c r="CK32" i="9" s="1"/>
  <c r="CN43" i="19"/>
  <c r="CN66" i="19"/>
  <c r="CN65" i="19"/>
  <c r="CQ57" i="19"/>
  <c r="CN59" i="19" l="1"/>
  <c r="CK28" i="20"/>
  <c r="CK8" i="20"/>
  <c r="CK30" i="20"/>
  <c r="CK11" i="20"/>
  <c r="CK41" i="20"/>
  <c r="CK44" i="20"/>
  <c r="CK9" i="20"/>
  <c r="CK25" i="20"/>
  <c r="CK24" i="20"/>
  <c r="CK15" i="20"/>
  <c r="CK17" i="20"/>
  <c r="CK33" i="20"/>
  <c r="CK32" i="20"/>
  <c r="CK37" i="20"/>
  <c r="CK18" i="20"/>
  <c r="CK42" i="20"/>
  <c r="CK19" i="20"/>
  <c r="CK45" i="20"/>
  <c r="CK38" i="20"/>
  <c r="CK14" i="20"/>
  <c r="CK23" i="20"/>
  <c r="CK34" i="20"/>
  <c r="CK43" i="20"/>
  <c r="CK27" i="20"/>
  <c r="CK16" i="20"/>
  <c r="CK40" i="20"/>
  <c r="CK12" i="20"/>
  <c r="CK46" i="20"/>
  <c r="CK31" i="20"/>
  <c r="CK35" i="20"/>
  <c r="CK20" i="20"/>
  <c r="CK26" i="20"/>
  <c r="CK10" i="20"/>
  <c r="CK13" i="20"/>
  <c r="CK21" i="20"/>
  <c r="CK29" i="20"/>
  <c r="CK39" i="20"/>
  <c r="CK22" i="20"/>
  <c r="CK36" i="20"/>
  <c r="CK48" i="20" l="1"/>
  <c r="CK38" i="19"/>
  <c r="CK41" i="19" l="1"/>
  <c r="CK40" i="19"/>
  <c r="CK39" i="19"/>
  <c r="CK8" i="26" l="1"/>
  <c r="CK42" i="19"/>
  <c r="CK33" i="9"/>
  <c r="CK14" i="23"/>
  <c r="CK18" i="26" l="1" a="1"/>
  <c r="CK18" i="26" s="1"/>
  <c r="CK10" i="26"/>
  <c r="CK11" i="26" s="1"/>
  <c r="CK16" i="26" a="1"/>
  <c r="CK16" i="26" s="1"/>
  <c r="CK35" i="9"/>
  <c r="CK36" i="9" s="1"/>
  <c r="CK41" i="9" s="1"/>
  <c r="CK19" i="26" l="1"/>
  <c r="CK17" i="17"/>
  <c r="CK22" i="16"/>
  <c r="CK45" i="19"/>
  <c r="CK16" i="17"/>
  <c r="CK21" i="16"/>
  <c r="CK44" i="19"/>
  <c r="CK17" i="26"/>
  <c r="CK13" i="26"/>
  <c r="CK17" i="23"/>
  <c r="CK39" i="9"/>
  <c r="CK38" i="9"/>
  <c r="CK20" i="16" s="1"/>
  <c r="CK12" i="22"/>
  <c r="CK19" i="23"/>
  <c r="CK37" i="9"/>
  <c r="CK40" i="9"/>
  <c r="CK46" i="19" l="1"/>
  <c r="CK23" i="16"/>
  <c r="CK18" i="17"/>
  <c r="CK24" i="17" s="1"/>
  <c r="CK25" i="17" s="1"/>
  <c r="CK26" i="17" s="1"/>
  <c r="CK15" i="26"/>
  <c r="CK17" i="22"/>
  <c r="CK18" i="22" s="1"/>
  <c r="CK19" i="22" s="1"/>
  <c r="CK13" i="19" l="1"/>
  <c r="CK14" i="19" s="1"/>
  <c r="CK30" i="16"/>
  <c r="CK31" i="16" s="1"/>
  <c r="CK32" i="16" s="1"/>
  <c r="CK7" i="19" s="1"/>
  <c r="CK27" i="17"/>
  <c r="CK8" i="19"/>
  <c r="CK20" i="22"/>
  <c r="CK9" i="19"/>
  <c r="CK49" i="19"/>
  <c r="CK50" i="19" s="1"/>
  <c r="CK51" i="19" s="1"/>
  <c r="CK15" i="23"/>
  <c r="CK33" i="16" l="1"/>
  <c r="CK6" i="23" s="1"/>
  <c r="CK55" i="19"/>
  <c r="CK8" i="23" s="1"/>
  <c r="CK10" i="19"/>
  <c r="CK11" i="19" s="1"/>
  <c r="CK53" i="19" s="1"/>
  <c r="CL16" i="19" s="1"/>
  <c r="CK9" i="23"/>
  <c r="CK22" i="22"/>
  <c r="CK23" i="22" s="1"/>
  <c r="CK21" i="22"/>
  <c r="CK7" i="23"/>
  <c r="CK29" i="17"/>
  <c r="CK30" i="17" s="1"/>
  <c r="CK28" i="17"/>
  <c r="CK34" i="16" l="1"/>
  <c r="CK35" i="16"/>
  <c r="CK36" i="16" s="1"/>
  <c r="CL17" i="19"/>
  <c r="CK10" i="23"/>
  <c r="CL21" i="19" l="1"/>
  <c r="CL19" i="19"/>
  <c r="CL20" i="19"/>
  <c r="CK12" i="23"/>
  <c r="CK13" i="23" s="1"/>
  <c r="CK11" i="23"/>
  <c r="CL22" i="19" l="1"/>
  <c r="CL24" i="19" s="1"/>
  <c r="CL12" i="26"/>
  <c r="CL14" i="26"/>
  <c r="CL30" i="19" l="1"/>
  <c r="CL29" i="19"/>
  <c r="CL25" i="19"/>
  <c r="CL47" i="19" l="1"/>
  <c r="CL16" i="23"/>
  <c r="CO56" i="19"/>
  <c r="CM27" i="19"/>
  <c r="CL35" i="19"/>
  <c r="CL18" i="23" l="1"/>
  <c r="CL36" i="19"/>
  <c r="CL47" i="20" s="1"/>
  <c r="CL30" i="9"/>
  <c r="CL31" i="9" s="1"/>
  <c r="CL32" i="9" s="1"/>
  <c r="CO65" i="19"/>
  <c r="CR57" i="19"/>
  <c r="CO43" i="19"/>
  <c r="CO66" i="19"/>
  <c r="CL48" i="19"/>
  <c r="CO59" i="19" l="1"/>
  <c r="CL28" i="20"/>
  <c r="CL10" i="20"/>
  <c r="CL40" i="20"/>
  <c r="CL15" i="20"/>
  <c r="CL32" i="20"/>
  <c r="CL24" i="20"/>
  <c r="CL22" i="20"/>
  <c r="CL11" i="20"/>
  <c r="CL14" i="20"/>
  <c r="CL46" i="20"/>
  <c r="CL21" i="20"/>
  <c r="CL35" i="20"/>
  <c r="CL39" i="20"/>
  <c r="CL17" i="20"/>
  <c r="CL29" i="20"/>
  <c r="CL33" i="20"/>
  <c r="CL43" i="20"/>
  <c r="CL42" i="20"/>
  <c r="CL20" i="20"/>
  <c r="CL13" i="20"/>
  <c r="CL23" i="20"/>
  <c r="CL38" i="20"/>
  <c r="CL44" i="20"/>
  <c r="CL27" i="20"/>
  <c r="CL37" i="20"/>
  <c r="CL8" i="20"/>
  <c r="CL30" i="20"/>
  <c r="CL26" i="20"/>
  <c r="CL31" i="20"/>
  <c r="CL9" i="20"/>
  <c r="CL25" i="20"/>
  <c r="CL18" i="20"/>
  <c r="CL45" i="20"/>
  <c r="CL34" i="20"/>
  <c r="CL41" i="20"/>
  <c r="CL12" i="20"/>
  <c r="CL16" i="20"/>
  <c r="CL36" i="20"/>
  <c r="CL19" i="20"/>
  <c r="CL48" i="20" l="1"/>
  <c r="CL38" i="19"/>
  <c r="CL41" i="19" l="1"/>
  <c r="CL40" i="19"/>
  <c r="CL39" i="19"/>
  <c r="CL8" i="26" l="1"/>
  <c r="CL42" i="19"/>
  <c r="CL14" i="23"/>
  <c r="CL33" i="9"/>
  <c r="CL18" i="26" l="1" a="1"/>
  <c r="CL18" i="26" s="1"/>
  <c r="CL10" i="26"/>
  <c r="CL11" i="26" s="1"/>
  <c r="CL16" i="26" a="1"/>
  <c r="CL16" i="26" s="1"/>
  <c r="CL35" i="9"/>
  <c r="CL36" i="9" s="1"/>
  <c r="CL41" i="9" s="1"/>
  <c r="CL19" i="26" l="1"/>
  <c r="CL17" i="17"/>
  <c r="CL22" i="16"/>
  <c r="CL45" i="19"/>
  <c r="CL16" i="17"/>
  <c r="CL21" i="16"/>
  <c r="CL44" i="19"/>
  <c r="CL17" i="26"/>
  <c r="CL17" i="23"/>
  <c r="CL13" i="26"/>
  <c r="CL19" i="23"/>
  <c r="CL37" i="9"/>
  <c r="CL38" i="9"/>
  <c r="CL39" i="9"/>
  <c r="CL40" i="9"/>
  <c r="CL12" i="22"/>
  <c r="CL46" i="19" l="1"/>
  <c r="CL18" i="17"/>
  <c r="CL15" i="26"/>
  <c r="CL17" i="22"/>
  <c r="CL18" i="22" s="1"/>
  <c r="CL20" i="16"/>
  <c r="CL23" i="16" s="1"/>
  <c r="CL19" i="22" l="1"/>
  <c r="CL15" i="23"/>
  <c r="CL30" i="16"/>
  <c r="CL31" i="16" s="1"/>
  <c r="CL13" i="19"/>
  <c r="CL14" i="19" s="1"/>
  <c r="CL24" i="17"/>
  <c r="CL25" i="17" s="1"/>
  <c r="CL49" i="19"/>
  <c r="CL50" i="19" s="1"/>
  <c r="CL26" i="17" l="1"/>
  <c r="CL32" i="16"/>
  <c r="CL20" i="22"/>
  <c r="CL9" i="19"/>
  <c r="CL51" i="19"/>
  <c r="CL7" i="19" l="1"/>
  <c r="CL33" i="16"/>
  <c r="CL55" i="19"/>
  <c r="CL8" i="23" s="1"/>
  <c r="CL10" i="19"/>
  <c r="CL9" i="23"/>
  <c r="CL22" i="22"/>
  <c r="CL23" i="22" s="1"/>
  <c r="CL21" i="22"/>
  <c r="CL27" i="17"/>
  <c r="CL8" i="19"/>
  <c r="CL7" i="23" l="1"/>
  <c r="CL29" i="17"/>
  <c r="CL30" i="17" s="1"/>
  <c r="CL28" i="17"/>
  <c r="CL6" i="23"/>
  <c r="CL35" i="16"/>
  <c r="CL36" i="16" s="1"/>
  <c r="CL34" i="16"/>
  <c r="CL11" i="19"/>
  <c r="CL53" i="19" s="1"/>
  <c r="CM16" i="19" s="1"/>
  <c r="CL10" i="23" l="1"/>
  <c r="CL12" i="23" s="1"/>
  <c r="CL13" i="23" s="1"/>
  <c r="CM17" i="19"/>
  <c r="CM21" i="19" l="1"/>
  <c r="CM19" i="19"/>
  <c r="CM20" i="19"/>
  <c r="CL11" i="23"/>
  <c r="CM22" i="19" l="1"/>
  <c r="CM24" i="19" s="1"/>
  <c r="CM12" i="26"/>
  <c r="CM14" i="26"/>
  <c r="CM30" i="19" l="1"/>
  <c r="CM29" i="19"/>
  <c r="CM25" i="19"/>
  <c r="CM47" i="19" l="1"/>
  <c r="CM16" i="23"/>
  <c r="CP56" i="19"/>
  <c r="CN27" i="19"/>
  <c r="CM35" i="19"/>
  <c r="CM18" i="23" l="1"/>
  <c r="CM36" i="19"/>
  <c r="CM47" i="20" s="1"/>
  <c r="CM30" i="9"/>
  <c r="CM31" i="9" s="1"/>
  <c r="CM32" i="9" s="1"/>
  <c r="CP65" i="19"/>
  <c r="CS57" i="19"/>
  <c r="CP66" i="19"/>
  <c r="CP43" i="19"/>
  <c r="CM48" i="19"/>
  <c r="CM39" i="20" l="1"/>
  <c r="CM14" i="20"/>
  <c r="CM16" i="20"/>
  <c r="CM13" i="20"/>
  <c r="CM33" i="20"/>
  <c r="CM40" i="20"/>
  <c r="CM20" i="20"/>
  <c r="CM44" i="20"/>
  <c r="CM8" i="20"/>
  <c r="CM9" i="20"/>
  <c r="CM22" i="20"/>
  <c r="CM27" i="20"/>
  <c r="CM38" i="20"/>
  <c r="CM28" i="20"/>
  <c r="CM35" i="20"/>
  <c r="CM21" i="20"/>
  <c r="CM25" i="20"/>
  <c r="CM30" i="20"/>
  <c r="CM12" i="20"/>
  <c r="CM18" i="20"/>
  <c r="CM41" i="20"/>
  <c r="CM36" i="20"/>
  <c r="CM11" i="20"/>
  <c r="CM42" i="20"/>
  <c r="CM24" i="20"/>
  <c r="CM29" i="20"/>
  <c r="CM46" i="20"/>
  <c r="CM26" i="20"/>
  <c r="CM17" i="20"/>
  <c r="CM15" i="20"/>
  <c r="CM43" i="20"/>
  <c r="CM10" i="20"/>
  <c r="CM37" i="20"/>
  <c r="CM32" i="20"/>
  <c r="CM45" i="20"/>
  <c r="CM23" i="20"/>
  <c r="CM34" i="20"/>
  <c r="CM19" i="20"/>
  <c r="CM31" i="20"/>
  <c r="CP59" i="19"/>
  <c r="CM48" i="20" l="1"/>
  <c r="CM38" i="19"/>
  <c r="CM40" i="19" l="1"/>
  <c r="CM41" i="19"/>
  <c r="CM39" i="19"/>
  <c r="CM8" i="26" l="1"/>
  <c r="CM42" i="19"/>
  <c r="CM33" i="9"/>
  <c r="CM14" i="23"/>
  <c r="CM18" i="26" l="1" a="1"/>
  <c r="CM18" i="26" s="1"/>
  <c r="CM10" i="26"/>
  <c r="CM11" i="26" s="1"/>
  <c r="CM16" i="26" a="1"/>
  <c r="CM16" i="26" s="1"/>
  <c r="CM35" i="9"/>
  <c r="CM36" i="9" s="1"/>
  <c r="CM39" i="9" s="1"/>
  <c r="CM19" i="26" l="1"/>
  <c r="CM17" i="17"/>
  <c r="CM22" i="16"/>
  <c r="CM45" i="19"/>
  <c r="CM16" i="17"/>
  <c r="CM21" i="16"/>
  <c r="CM44" i="19"/>
  <c r="CM17" i="26"/>
  <c r="CM13" i="26"/>
  <c r="CM17" i="23"/>
  <c r="CM41" i="9"/>
  <c r="CM12" i="22" s="1"/>
  <c r="CM19" i="23"/>
  <c r="CM37" i="9"/>
  <c r="CM40" i="9"/>
  <c r="CM38" i="9"/>
  <c r="CM18" i="17" l="1"/>
  <c r="CM24" i="17" s="1"/>
  <c r="CM25" i="17" s="1"/>
  <c r="CM26" i="17" s="1"/>
  <c r="CM46" i="19"/>
  <c r="CM15" i="26"/>
  <c r="CM20" i="16"/>
  <c r="CM23" i="16" s="1"/>
  <c r="CM17" i="22"/>
  <c r="CM18" i="22" s="1"/>
  <c r="CM19" i="22" s="1"/>
  <c r="CM20" i="22" l="1"/>
  <c r="CM9" i="19"/>
  <c r="CM49" i="19"/>
  <c r="CM50" i="19" s="1"/>
  <c r="CM51" i="19" s="1"/>
  <c r="CM15" i="23"/>
  <c r="CM30" i="16"/>
  <c r="CM31" i="16" s="1"/>
  <c r="CM32" i="16" s="1"/>
  <c r="CM13" i="19"/>
  <c r="CM14" i="19" s="1"/>
  <c r="CM8" i="19"/>
  <c r="CM27" i="17"/>
  <c r="CM7" i="19" l="1"/>
  <c r="CM33" i="16"/>
  <c r="CM55" i="19"/>
  <c r="CM8" i="23" s="1"/>
  <c r="CM10" i="19"/>
  <c r="CM7" i="23"/>
  <c r="CM29" i="17"/>
  <c r="CM30" i="17" s="1"/>
  <c r="CM28" i="17"/>
  <c r="CM9" i="23"/>
  <c r="CM22" i="22"/>
  <c r="CM23" i="22" s="1"/>
  <c r="CM21" i="22"/>
  <c r="CM6" i="23" l="1"/>
  <c r="CM10" i="23" s="1"/>
  <c r="CM35" i="16"/>
  <c r="CM36" i="16" s="1"/>
  <c r="CM34" i="16"/>
  <c r="CM11" i="19"/>
  <c r="CM53" i="19" s="1"/>
  <c r="CN16" i="19" s="1"/>
  <c r="CN17" i="19" l="1"/>
  <c r="CM12" i="23"/>
  <c r="CM13" i="23" s="1"/>
  <c r="CM11" i="23"/>
  <c r="CN20" i="19" l="1"/>
  <c r="CN21" i="19"/>
  <c r="CN19" i="19"/>
  <c r="CN12" i="26" l="1"/>
  <c r="CN14" i="26"/>
  <c r="CN22" i="19"/>
  <c r="CN24" i="19" s="1"/>
  <c r="CN30" i="19" s="1"/>
  <c r="CN29" i="19" l="1"/>
  <c r="CN47" i="19" s="1"/>
  <c r="CN25" i="19"/>
  <c r="CO27" i="19" s="1"/>
  <c r="CN16" i="23" l="1"/>
  <c r="CN35" i="19"/>
  <c r="CN30" i="9" s="1"/>
  <c r="CN31" i="9" s="1"/>
  <c r="CN32" i="9" s="1"/>
  <c r="CQ56" i="19"/>
  <c r="CQ65" i="19" s="1"/>
  <c r="CN48" i="19"/>
  <c r="CN36" i="19" l="1"/>
  <c r="CN47" i="20" s="1"/>
  <c r="CN18" i="23"/>
  <c r="CQ66" i="19"/>
  <c r="CQ59" i="19" s="1"/>
  <c r="CT57" i="19"/>
  <c r="CQ43" i="19"/>
  <c r="CN30" i="20" l="1"/>
  <c r="CN34" i="20"/>
  <c r="CN46" i="20"/>
  <c r="CN19" i="20"/>
  <c r="CN40" i="20"/>
  <c r="CN35" i="20"/>
  <c r="CN44" i="20"/>
  <c r="CN24" i="20"/>
  <c r="CN10" i="20"/>
  <c r="CN42" i="20"/>
  <c r="CN11" i="20"/>
  <c r="CN27" i="20"/>
  <c r="CN45" i="20"/>
  <c r="CN33" i="20"/>
  <c r="CN32" i="20"/>
  <c r="CN15" i="20"/>
  <c r="CN14" i="20"/>
  <c r="CN26" i="20"/>
  <c r="CN41" i="20"/>
  <c r="CN8" i="20"/>
  <c r="CN9" i="20"/>
  <c r="CN25" i="20"/>
  <c r="CN20" i="20"/>
  <c r="CN18" i="20"/>
  <c r="CN13" i="20"/>
  <c r="CN12" i="20"/>
  <c r="CN31" i="20"/>
  <c r="CN37" i="20"/>
  <c r="CN28" i="20"/>
  <c r="CN17" i="20"/>
  <c r="CN21" i="20"/>
  <c r="CN38" i="20"/>
  <c r="CN39" i="20"/>
  <c r="CN23" i="20"/>
  <c r="CN22" i="20"/>
  <c r="CN16" i="20"/>
  <c r="CN36" i="20"/>
  <c r="CN29" i="20"/>
  <c r="CN43" i="20"/>
  <c r="CN38" i="19" l="1"/>
  <c r="CN41" i="19" s="1"/>
  <c r="CN48" i="20"/>
  <c r="CN40" i="19" l="1"/>
  <c r="CN39" i="19"/>
  <c r="CN42" i="19" s="1"/>
  <c r="CN8" i="26"/>
  <c r="CN18" i="26" l="1" a="1"/>
  <c r="CN18" i="26" s="1"/>
  <c r="CN33" i="9"/>
  <c r="CN35" i="9" s="1"/>
  <c r="CN36" i="9" s="1"/>
  <c r="CN14" i="23"/>
  <c r="CN10" i="26"/>
  <c r="CN11" i="26" s="1"/>
  <c r="CN16" i="26" a="1"/>
  <c r="CN16" i="26" s="1"/>
  <c r="CN19" i="26" l="1"/>
  <c r="CN17" i="17"/>
  <c r="CN22" i="16"/>
  <c r="CN45" i="19"/>
  <c r="CN16" i="17"/>
  <c r="CN21" i="16"/>
  <c r="CN44" i="19"/>
  <c r="CN17" i="26"/>
  <c r="CN13" i="26"/>
  <c r="CN17" i="23"/>
  <c r="CN19" i="23"/>
  <c r="CN37" i="9"/>
  <c r="CN40" i="9"/>
  <c r="CN38" i="9"/>
  <c r="CN41" i="9"/>
  <c r="CN39" i="9"/>
  <c r="CN46" i="19" l="1"/>
  <c r="CN18" i="17"/>
  <c r="CN15" i="26"/>
  <c r="CN12" i="22"/>
  <c r="CN20" i="16"/>
  <c r="CN23" i="16" s="1"/>
  <c r="CN49" i="19" l="1"/>
  <c r="CN50" i="19" s="1"/>
  <c r="CN51" i="19" s="1"/>
  <c r="CN15" i="23"/>
  <c r="CN30" i="16"/>
  <c r="CN31" i="16" s="1"/>
  <c r="CN32" i="16" s="1"/>
  <c r="CN13" i="19"/>
  <c r="CN14" i="19" s="1"/>
  <c r="CN24" i="17"/>
  <c r="CN25" i="17" s="1"/>
  <c r="CN26" i="17" s="1"/>
  <c r="CN17" i="22"/>
  <c r="CN18" i="22" s="1"/>
  <c r="CN19" i="22" s="1"/>
  <c r="CN7" i="19" l="1"/>
  <c r="CN33" i="16"/>
  <c r="CN55" i="19"/>
  <c r="CN8" i="23" s="1"/>
  <c r="CN10" i="19"/>
  <c r="CN20" i="22"/>
  <c r="CN9" i="19"/>
  <c r="CN8" i="19"/>
  <c r="CN27" i="17"/>
  <c r="CN7" i="23" l="1"/>
  <c r="CN29" i="17"/>
  <c r="CN30" i="17" s="1"/>
  <c r="CN28" i="17"/>
  <c r="CN9" i="23"/>
  <c r="CN22" i="22"/>
  <c r="CN23" i="22" s="1"/>
  <c r="CN21" i="22"/>
  <c r="CN6" i="23"/>
  <c r="CN35" i="16"/>
  <c r="CN36" i="16" s="1"/>
  <c r="CN34" i="16"/>
  <c r="CN11" i="19"/>
  <c r="CN53" i="19" s="1"/>
  <c r="CO16" i="19" s="1"/>
  <c r="CO17" i="19" l="1"/>
  <c r="CN10" i="23"/>
  <c r="CO19" i="19" l="1"/>
  <c r="CO20" i="19"/>
  <c r="CO21" i="19"/>
  <c r="CN12" i="23"/>
  <c r="CN13" i="23" s="1"/>
  <c r="CN11" i="23"/>
  <c r="CO22" i="19" l="1"/>
  <c r="CO24" i="19" s="1"/>
  <c r="CO12" i="26"/>
  <c r="CO14" i="26"/>
  <c r="CO29" i="19" l="1"/>
  <c r="CO30" i="19"/>
  <c r="CO25" i="19"/>
  <c r="CR56" i="19" l="1"/>
  <c r="CP27" i="19"/>
  <c r="CO35" i="19"/>
  <c r="CO47" i="19"/>
  <c r="CO16" i="23"/>
  <c r="CO48" i="19" l="1"/>
  <c r="CO18" i="23"/>
  <c r="CO36" i="19"/>
  <c r="CO47" i="20" s="1"/>
  <c r="CO30" i="9"/>
  <c r="CO31" i="9" s="1"/>
  <c r="CO32" i="9" s="1"/>
  <c r="CR43" i="19"/>
  <c r="CU57" i="19"/>
  <c r="CR65" i="19"/>
  <c r="CR66" i="19"/>
  <c r="CR59" i="19" l="1"/>
  <c r="CO31" i="20"/>
  <c r="CO30" i="20"/>
  <c r="CO16" i="20"/>
  <c r="CO19" i="20"/>
  <c r="CO14" i="20"/>
  <c r="CO28" i="20"/>
  <c r="CO34" i="20"/>
  <c r="CO41" i="20"/>
  <c r="CO27" i="20"/>
  <c r="CO15" i="20"/>
  <c r="CO29" i="20"/>
  <c r="CO32" i="20"/>
  <c r="CO20" i="20"/>
  <c r="CO44" i="20"/>
  <c r="CO18" i="20"/>
  <c r="CO40" i="20"/>
  <c r="CO17" i="20"/>
  <c r="CO25" i="20"/>
  <c r="CO26" i="20"/>
  <c r="CO37" i="20"/>
  <c r="CO22" i="20"/>
  <c r="CO13" i="20"/>
  <c r="CO38" i="20"/>
  <c r="CO45" i="20"/>
  <c r="CO36" i="20"/>
  <c r="CO42" i="20"/>
  <c r="CO9" i="20"/>
  <c r="CO39" i="20"/>
  <c r="CO35" i="20"/>
  <c r="CO24" i="20"/>
  <c r="CO23" i="20"/>
  <c r="CO43" i="20"/>
  <c r="CO21" i="20"/>
  <c r="CO33" i="20"/>
  <c r="CO11" i="20"/>
  <c r="CO8" i="20"/>
  <c r="CO10" i="20"/>
  <c r="CO12" i="20"/>
  <c r="CO46" i="20"/>
  <c r="CO48" i="20" l="1"/>
  <c r="CO38" i="19"/>
  <c r="CO40" i="19" l="1"/>
  <c r="CO41" i="19"/>
  <c r="CO39" i="19"/>
  <c r="CO8" i="26" l="1"/>
  <c r="CO42" i="19"/>
  <c r="CO14" i="23"/>
  <c r="CO33" i="9"/>
  <c r="CO18" i="26" l="1" a="1"/>
  <c r="CO18" i="26" s="1"/>
  <c r="CO10" i="26"/>
  <c r="CO11" i="26" s="1"/>
  <c r="CO16" i="26" a="1"/>
  <c r="CO16" i="26" s="1"/>
  <c r="CO35" i="9"/>
  <c r="CO36" i="9" s="1"/>
  <c r="CO41" i="9" s="1"/>
  <c r="CO12" i="22" s="1"/>
  <c r="CO19" i="26" l="1"/>
  <c r="CO17" i="17"/>
  <c r="CO22" i="16"/>
  <c r="CO45" i="19"/>
  <c r="CO16" i="17"/>
  <c r="CO21" i="16"/>
  <c r="CO44" i="19"/>
  <c r="CO17" i="26"/>
  <c r="CO13" i="26"/>
  <c r="CO17" i="23"/>
  <c r="CO40" i="9"/>
  <c r="CO39" i="9"/>
  <c r="CO17" i="22"/>
  <c r="CO18" i="22" s="1"/>
  <c r="CO19" i="22" s="1"/>
  <c r="CO19" i="23"/>
  <c r="CO37" i="9"/>
  <c r="CO38" i="9"/>
  <c r="CO20" i="16" s="1"/>
  <c r="CO23" i="16" l="1"/>
  <c r="CO18" i="17"/>
  <c r="CO24" i="17" s="1"/>
  <c r="CO25" i="17" s="1"/>
  <c r="CO26" i="17" s="1"/>
  <c r="CO46" i="19"/>
  <c r="CO15" i="26"/>
  <c r="CO20" i="22"/>
  <c r="CO9" i="19"/>
  <c r="CO15" i="23" l="1"/>
  <c r="CO30" i="16"/>
  <c r="CO31" i="16" s="1"/>
  <c r="CO32" i="16" s="1"/>
  <c r="CO7" i="19" s="1"/>
  <c r="CO27" i="17"/>
  <c r="CO29" i="17" s="1"/>
  <c r="CO30" i="17" s="1"/>
  <c r="CO8" i="19"/>
  <c r="CO13" i="19"/>
  <c r="CO14" i="19" s="1"/>
  <c r="CO49" i="19"/>
  <c r="CO50" i="19" s="1"/>
  <c r="CO51" i="19" s="1"/>
  <c r="CO22" i="22"/>
  <c r="CO23" i="22" s="1"/>
  <c r="CO9" i="23"/>
  <c r="CO21" i="22"/>
  <c r="CO33" i="16" l="1"/>
  <c r="CO6" i="23" s="1"/>
  <c r="CO7" i="23"/>
  <c r="CO28" i="17"/>
  <c r="CO10" i="19"/>
  <c r="CO11" i="19" s="1"/>
  <c r="CO53" i="19" s="1"/>
  <c r="CO55" i="19"/>
  <c r="CO8" i="23" s="1"/>
  <c r="CP16" i="19" l="1"/>
  <c r="CP17" i="19" s="1"/>
  <c r="CO35" i="16"/>
  <c r="CO36" i="16" s="1"/>
  <c r="CO34" i="16"/>
  <c r="CO10" i="23"/>
  <c r="CO12" i="23" s="1"/>
  <c r="CO13" i="23" s="1"/>
  <c r="CP20" i="19" l="1"/>
  <c r="CP19" i="19"/>
  <c r="CP21" i="19"/>
  <c r="CP12" i="26" s="1"/>
  <c r="CO11" i="23"/>
  <c r="CP22" i="19" l="1"/>
  <c r="CP24" i="19" s="1"/>
  <c r="CP30" i="19" s="1"/>
  <c r="CP14" i="26"/>
  <c r="CP29" i="19" l="1"/>
  <c r="CP47" i="19" s="1"/>
  <c r="CP25" i="19"/>
  <c r="CP35" i="19" s="1"/>
  <c r="CP16" i="23" l="1"/>
  <c r="CS56" i="19"/>
  <c r="CS65" i="19" s="1"/>
  <c r="CQ27" i="19"/>
  <c r="CP48" i="19"/>
  <c r="CP18" i="23"/>
  <c r="CP36" i="19"/>
  <c r="CP47" i="20" s="1"/>
  <c r="CP30" i="9"/>
  <c r="CP31" i="9" s="1"/>
  <c r="CP32" i="9" s="1"/>
  <c r="CS43" i="19" l="1"/>
  <c r="CV57" i="19"/>
  <c r="CS66" i="19"/>
  <c r="CS59" i="19" s="1"/>
  <c r="CP9" i="20"/>
  <c r="CP32" i="20"/>
  <c r="CP13" i="20"/>
  <c r="CP34" i="20"/>
  <c r="CP18" i="20"/>
  <c r="CP17" i="20"/>
  <c r="CP30" i="20"/>
  <c r="CP10" i="20"/>
  <c r="CP42" i="20"/>
  <c r="CP8" i="20"/>
  <c r="CP19" i="20"/>
  <c r="CP16" i="20"/>
  <c r="CP39" i="20"/>
  <c r="CP28" i="20"/>
  <c r="CP45" i="20"/>
  <c r="CP21" i="20"/>
  <c r="CP14" i="20"/>
  <c r="CP43" i="20"/>
  <c r="CP25" i="20"/>
  <c r="CP12" i="20"/>
  <c r="CP41" i="20"/>
  <c r="CP29" i="20"/>
  <c r="CP40" i="20"/>
  <c r="CP15" i="20"/>
  <c r="CP23" i="20"/>
  <c r="CP11" i="20"/>
  <c r="CP44" i="20"/>
  <c r="CP36" i="20"/>
  <c r="CP27" i="20"/>
  <c r="CP37" i="20"/>
  <c r="CP24" i="20"/>
  <c r="CP35" i="20"/>
  <c r="CP20" i="20"/>
  <c r="CP46" i="20"/>
  <c r="CP33" i="20"/>
  <c r="CP22" i="20"/>
  <c r="CP38" i="20"/>
  <c r="CP26" i="20"/>
  <c r="CP31" i="20"/>
  <c r="CP48" i="20" l="1"/>
  <c r="CP38" i="19"/>
  <c r="CP39" i="19" l="1"/>
  <c r="CP40" i="19"/>
  <c r="CP41" i="19"/>
  <c r="CP8" i="26" l="1"/>
  <c r="CP42" i="19"/>
  <c r="CP14" i="23"/>
  <c r="CP33" i="9"/>
  <c r="CP18" i="26" l="1" a="1"/>
  <c r="CP18" i="26" s="1"/>
  <c r="CP10" i="26"/>
  <c r="CP11" i="26" s="1"/>
  <c r="CP16" i="26" a="1"/>
  <c r="CP16" i="26" s="1"/>
  <c r="CP17" i="26" s="1"/>
  <c r="CP35" i="9"/>
  <c r="CP36" i="9" s="1"/>
  <c r="CP38" i="9" s="1"/>
  <c r="CP20" i="16" s="1"/>
  <c r="CP19" i="26" l="1"/>
  <c r="CP17" i="17"/>
  <c r="CP22" i="16"/>
  <c r="CP45" i="19"/>
  <c r="CP16" i="17"/>
  <c r="CP21" i="16"/>
  <c r="CP44" i="19"/>
  <c r="CP13" i="26"/>
  <c r="CP17" i="23"/>
  <c r="CP41" i="9"/>
  <c r="CP12" i="22" s="1"/>
  <c r="CP17" i="22" s="1"/>
  <c r="CP18" i="22" s="1"/>
  <c r="CP39" i="9"/>
  <c r="CP19" i="23"/>
  <c r="CP37" i="9"/>
  <c r="CP40" i="9"/>
  <c r="CP46" i="19" l="1"/>
  <c r="CP18" i="17"/>
  <c r="CP24" i="17" s="1"/>
  <c r="CP25" i="17" s="1"/>
  <c r="CP26" i="17" s="1"/>
  <c r="CP23" i="16"/>
  <c r="CP30" i="16" s="1"/>
  <c r="CP31" i="16" s="1"/>
  <c r="CP32" i="16" s="1"/>
  <c r="CP15" i="26"/>
  <c r="CP19" i="22"/>
  <c r="CP20" i="22" s="1"/>
  <c r="CP33" i="16" l="1"/>
  <c r="CP34" i="16" s="1"/>
  <c r="CP7" i="19"/>
  <c r="CP15" i="23"/>
  <c r="CP49" i="19"/>
  <c r="CP50" i="19" s="1"/>
  <c r="CP51" i="19" s="1"/>
  <c r="CP55" i="19" s="1"/>
  <c r="CP8" i="23" s="1"/>
  <c r="CP13" i="19"/>
  <c r="CP14" i="19" s="1"/>
  <c r="CP8" i="19"/>
  <c r="CP27" i="17"/>
  <c r="CP28" i="17" s="1"/>
  <c r="CP9" i="19"/>
  <c r="CP22" i="22"/>
  <c r="CP23" i="22" s="1"/>
  <c r="CP9" i="23"/>
  <c r="CP21" i="22"/>
  <c r="CP35" i="16" l="1"/>
  <c r="CP36" i="16" s="1"/>
  <c r="CP6" i="23"/>
  <c r="CP7" i="23"/>
  <c r="CP29" i="17"/>
  <c r="CP30" i="17" s="1"/>
  <c r="CP10" i="19"/>
  <c r="CP11" i="19" s="1"/>
  <c r="CP53" i="19" s="1"/>
  <c r="CQ16" i="19" l="1"/>
  <c r="CQ17" i="19" s="1"/>
  <c r="CP10" i="23"/>
  <c r="CP12" i="23" s="1"/>
  <c r="CP13" i="23" s="1"/>
  <c r="CQ20" i="19" l="1"/>
  <c r="CQ21" i="19"/>
  <c r="CQ12" i="26" s="1"/>
  <c r="CQ19" i="19"/>
  <c r="CP11" i="23"/>
  <c r="CQ14" i="26" l="1"/>
  <c r="CQ22" i="19"/>
  <c r="CQ24" i="19" s="1"/>
  <c r="CQ29" i="19" s="1"/>
  <c r="CQ25" i="19" l="1"/>
  <c r="CT56" i="19" s="1"/>
  <c r="CQ30" i="19"/>
  <c r="CQ16" i="23" s="1"/>
  <c r="CQ47" i="19"/>
  <c r="CQ35" i="19" l="1"/>
  <c r="CQ18" i="23" s="1"/>
  <c r="CR27" i="19"/>
  <c r="CQ48" i="19"/>
  <c r="CW57" i="19"/>
  <c r="CT66" i="19"/>
  <c r="CT65" i="19"/>
  <c r="CT43" i="19"/>
  <c r="CQ30" i="9" l="1"/>
  <c r="CQ31" i="9" s="1"/>
  <c r="CQ32" i="9" s="1"/>
  <c r="CQ36" i="19"/>
  <c r="CQ47" i="20" s="1"/>
  <c r="CT59" i="19"/>
  <c r="CQ31" i="20"/>
  <c r="CQ39" i="20"/>
  <c r="CQ43" i="20"/>
  <c r="CQ26" i="20"/>
  <c r="CQ29" i="20"/>
  <c r="CQ36" i="20"/>
  <c r="CQ32" i="20"/>
  <c r="CQ24" i="20"/>
  <c r="CQ37" i="20"/>
  <c r="CQ35" i="20"/>
  <c r="CQ16" i="20"/>
  <c r="CQ42" i="20"/>
  <c r="CQ38" i="20"/>
  <c r="CQ17" i="20"/>
  <c r="CQ18" i="20"/>
  <c r="CQ30" i="20"/>
  <c r="CQ11" i="20"/>
  <c r="CQ23" i="20"/>
  <c r="CQ13" i="20"/>
  <c r="CQ14" i="20"/>
  <c r="CQ21" i="20"/>
  <c r="CQ27" i="20"/>
  <c r="CQ8" i="20"/>
  <c r="CQ46" i="20"/>
  <c r="CQ22" i="20" l="1"/>
  <c r="CQ45" i="20"/>
  <c r="CQ12" i="20"/>
  <c r="CQ40" i="20"/>
  <c r="CQ44" i="20"/>
  <c r="CQ33" i="20"/>
  <c r="CQ41" i="20"/>
  <c r="CQ9" i="20"/>
  <c r="CQ10" i="20"/>
  <c r="CQ20" i="20"/>
  <c r="CQ28" i="20"/>
  <c r="CQ15" i="20"/>
  <c r="CQ25" i="20"/>
  <c r="CQ19" i="20"/>
  <c r="CQ34" i="20"/>
  <c r="CQ48" i="20" l="1"/>
  <c r="CQ38" i="19"/>
  <c r="CQ40" i="19" s="1"/>
  <c r="CQ41" i="19" l="1"/>
  <c r="CQ8" i="26" s="1"/>
  <c r="CQ39" i="19"/>
  <c r="CQ33" i="9" s="1"/>
  <c r="CQ14" i="23" l="1"/>
  <c r="CQ42" i="19"/>
  <c r="CQ18" i="26" a="1"/>
  <c r="CQ18" i="26" s="1"/>
  <c r="CQ10" i="26"/>
  <c r="CQ11" i="26" s="1"/>
  <c r="CQ16" i="26" a="1"/>
  <c r="CQ16" i="26" s="1"/>
  <c r="CQ17" i="26" s="1"/>
  <c r="CQ35" i="9"/>
  <c r="CQ36" i="9" s="1"/>
  <c r="CQ41" i="9" s="1"/>
  <c r="CQ12" i="22" s="1"/>
  <c r="CQ19" i="26" l="1"/>
  <c r="CQ17" i="17"/>
  <c r="CQ22" i="16"/>
  <c r="CQ45" i="19"/>
  <c r="CQ16" i="17"/>
  <c r="CQ21" i="16"/>
  <c r="CQ44" i="19"/>
  <c r="CQ13" i="26"/>
  <c r="CQ17" i="23"/>
  <c r="CQ39" i="9"/>
  <c r="CQ17" i="22"/>
  <c r="CQ18" i="22" s="1"/>
  <c r="CQ19" i="22" s="1"/>
  <c r="CQ19" i="23"/>
  <c r="CQ37" i="9"/>
  <c r="CQ40" i="9"/>
  <c r="CQ38" i="9"/>
  <c r="CQ20" i="16" s="1"/>
  <c r="CQ23" i="16" l="1"/>
  <c r="CQ30" i="16" s="1"/>
  <c r="CQ31" i="16" s="1"/>
  <c r="CQ32" i="16" s="1"/>
  <c r="CQ18" i="17"/>
  <c r="CQ46" i="19"/>
  <c r="CQ49" i="19" s="1"/>
  <c r="CQ50" i="19" s="1"/>
  <c r="CQ51" i="19" s="1"/>
  <c r="CQ15" i="26"/>
  <c r="CQ20" i="22"/>
  <c r="CQ9" i="19"/>
  <c r="CQ15" i="23" l="1"/>
  <c r="CQ24" i="17"/>
  <c r="CQ25" i="17" s="1"/>
  <c r="CQ26" i="17" s="1"/>
  <c r="CQ13" i="19"/>
  <c r="CQ14" i="19" s="1"/>
  <c r="CQ55" i="19"/>
  <c r="CQ8" i="23" s="1"/>
  <c r="CQ10" i="19"/>
  <c r="CQ7" i="19"/>
  <c r="CQ33" i="16"/>
  <c r="CQ22" i="22"/>
  <c r="CQ23" i="22" s="1"/>
  <c r="CQ9" i="23"/>
  <c r="CQ21" i="22"/>
  <c r="CQ8" i="19" l="1"/>
  <c r="CQ11" i="19" s="1"/>
  <c r="CQ53" i="19" s="1"/>
  <c r="CQ27" i="17"/>
  <c r="CQ6" i="23"/>
  <c r="CQ35" i="16"/>
  <c r="CQ36" i="16" s="1"/>
  <c r="CQ34" i="16"/>
  <c r="CR16" i="19" l="1"/>
  <c r="CR17" i="19" s="1"/>
  <c r="CQ7" i="23"/>
  <c r="CQ10" i="23" s="1"/>
  <c r="CQ28" i="17"/>
  <c r="CQ29" i="17"/>
  <c r="CQ30" i="17" s="1"/>
  <c r="CR19" i="19" l="1"/>
  <c r="CR20" i="19"/>
  <c r="CR21" i="19"/>
  <c r="CR12" i="26" s="1"/>
  <c r="CQ11" i="23"/>
  <c r="CQ12" i="23"/>
  <c r="CQ13" i="23" s="1"/>
  <c r="CR22" i="19" l="1"/>
  <c r="CR24" i="19" s="1"/>
  <c r="CR29" i="19" s="1"/>
  <c r="CR14" i="26"/>
  <c r="CR30" i="19" l="1"/>
  <c r="CR16" i="23" s="1"/>
  <c r="CR25" i="19"/>
  <c r="CU56" i="19" s="1"/>
  <c r="CR47" i="19"/>
  <c r="CR35" i="19" l="1"/>
  <c r="CR36" i="19" s="1"/>
  <c r="CR47" i="20" s="1"/>
  <c r="CS27" i="19"/>
  <c r="CU65" i="19"/>
  <c r="CX57" i="19"/>
  <c r="CU43" i="19"/>
  <c r="CU66" i="19"/>
  <c r="CR48" i="19"/>
  <c r="CR18" i="23" l="1"/>
  <c r="CR30" i="9"/>
  <c r="CR31" i="9" s="1"/>
  <c r="CR32" i="9" s="1"/>
  <c r="CU59" i="19"/>
  <c r="CR12" i="20"/>
  <c r="CR45" i="20"/>
  <c r="CR17" i="20"/>
  <c r="CR42" i="20"/>
  <c r="CR23" i="20"/>
  <c r="CR34" i="20"/>
  <c r="CR10" i="20"/>
  <c r="CR43" i="20"/>
  <c r="CR9" i="20"/>
  <c r="CR26" i="20"/>
  <c r="CR14" i="20"/>
  <c r="CR27" i="20"/>
  <c r="CR40" i="20"/>
  <c r="CR41" i="20"/>
  <c r="CR28" i="20"/>
  <c r="CR33" i="20"/>
  <c r="CR29" i="20"/>
  <c r="CR25" i="20"/>
  <c r="CR44" i="20"/>
  <c r="CR24" i="20"/>
  <c r="CR30" i="20"/>
  <c r="CR20" i="20"/>
  <c r="CR39" i="20"/>
  <c r="CR21" i="20"/>
  <c r="CR38" i="20"/>
  <c r="CR46" i="20"/>
  <c r="CR11" i="20"/>
  <c r="CR31" i="20"/>
  <c r="CR32" i="20"/>
  <c r="CR37" i="20"/>
  <c r="CR35" i="20"/>
  <c r="CR13" i="20"/>
  <c r="CR19" i="20"/>
  <c r="CR18" i="20"/>
  <c r="CR15" i="20"/>
  <c r="CR16" i="20"/>
  <c r="CR36" i="20"/>
  <c r="CR22" i="20"/>
  <c r="CR8" i="20"/>
  <c r="CR48" i="20" l="1"/>
  <c r="CR38" i="19"/>
  <c r="CR41" i="19" l="1"/>
  <c r="CR40" i="19"/>
  <c r="CR39" i="19"/>
  <c r="CR8" i="26" l="1"/>
  <c r="CR42" i="19"/>
  <c r="CR14" i="23"/>
  <c r="CR33" i="9"/>
  <c r="CR18" i="26" l="1" a="1"/>
  <c r="CR18" i="26" s="1"/>
  <c r="CR10" i="26"/>
  <c r="CR11" i="26" s="1"/>
  <c r="CR16" i="26" a="1"/>
  <c r="CR16" i="26" s="1"/>
  <c r="CR17" i="26" s="1"/>
  <c r="CR35" i="9"/>
  <c r="CR36" i="9" s="1"/>
  <c r="CR41" i="9" s="1"/>
  <c r="CR12" i="22" s="1"/>
  <c r="CR19" i="26" l="1"/>
  <c r="CR17" i="17"/>
  <c r="CR22" i="16"/>
  <c r="CR45" i="19"/>
  <c r="CR13" i="26"/>
  <c r="CR17" i="23"/>
  <c r="CR16" i="17"/>
  <c r="CR21" i="16"/>
  <c r="CR44" i="19"/>
  <c r="CR39" i="9"/>
  <c r="CR17" i="22"/>
  <c r="CR18" i="22" s="1"/>
  <c r="CR19" i="22" s="1"/>
  <c r="CR38" i="9"/>
  <c r="CR20" i="16" s="1"/>
  <c r="CR19" i="23"/>
  <c r="CR37" i="9"/>
  <c r="CR40" i="9"/>
  <c r="CR18" i="17" l="1"/>
  <c r="CR24" i="17" s="1"/>
  <c r="CR25" i="17" s="1"/>
  <c r="CR26" i="17" s="1"/>
  <c r="CR46" i="19"/>
  <c r="CR49" i="19" s="1"/>
  <c r="CR50" i="19" s="1"/>
  <c r="CR51" i="19" s="1"/>
  <c r="CR23" i="16"/>
  <c r="CR15" i="26"/>
  <c r="CR20" i="22"/>
  <c r="CR9" i="19"/>
  <c r="CR15" i="23" l="1"/>
  <c r="CR8" i="19"/>
  <c r="CR27" i="17"/>
  <c r="CR28" i="17" s="1"/>
  <c r="CR13" i="19"/>
  <c r="CR14" i="19" s="1"/>
  <c r="CR30" i="16"/>
  <c r="CR31" i="16" s="1"/>
  <c r="CR32" i="16" s="1"/>
  <c r="CR7" i="19" s="1"/>
  <c r="CR55" i="19"/>
  <c r="CR8" i="23" s="1"/>
  <c r="CR10" i="19"/>
  <c r="CR22" i="22"/>
  <c r="CR23" i="22" s="1"/>
  <c r="CR9" i="23"/>
  <c r="CR21" i="22"/>
  <c r="CR7" i="23" l="1"/>
  <c r="CR33" i="16"/>
  <c r="CR35" i="16" s="1"/>
  <c r="CR36" i="16" s="1"/>
  <c r="CR29" i="17"/>
  <c r="CR30" i="17" s="1"/>
  <c r="CR11" i="19"/>
  <c r="CR53" i="19" s="1"/>
  <c r="CS16" i="19" s="1"/>
  <c r="CR6" i="23" l="1"/>
  <c r="CR10" i="23" s="1"/>
  <c r="CR12" i="23" s="1"/>
  <c r="CR13" i="23" s="1"/>
  <c r="CR34" i="16"/>
  <c r="CS17" i="19"/>
  <c r="CR11" i="23" l="1"/>
  <c r="CS20" i="19"/>
  <c r="CS21" i="19"/>
  <c r="CS19" i="19"/>
  <c r="CS12" i="26" l="1"/>
  <c r="CS14" i="26"/>
  <c r="CS22" i="19"/>
  <c r="CS24" i="19" s="1"/>
  <c r="CS30" i="19" s="1"/>
  <c r="CS29" i="19" l="1"/>
  <c r="CS47" i="19" s="1"/>
  <c r="CS25" i="19"/>
  <c r="CV56" i="19" s="1"/>
  <c r="CT27" i="19" l="1"/>
  <c r="CS16" i="23"/>
  <c r="CS35" i="19"/>
  <c r="CS36" i="19" s="1"/>
  <c r="CS47" i="20" s="1"/>
  <c r="CS48" i="19"/>
  <c r="CV66" i="19"/>
  <c r="CY57" i="19"/>
  <c r="CV43" i="19"/>
  <c r="CV65" i="19"/>
  <c r="CS18" i="23" l="1"/>
  <c r="CS30" i="9"/>
  <c r="CS31" i="9" s="1"/>
  <c r="CS32" i="9" s="1"/>
  <c r="CV59" i="19"/>
  <c r="CS17" i="20"/>
  <c r="CS43" i="20"/>
  <c r="CS12" i="20"/>
  <c r="CS28" i="20"/>
  <c r="CS15" i="20"/>
  <c r="CS18" i="20"/>
  <c r="CS13" i="20"/>
  <c r="CS30" i="20"/>
  <c r="CS21" i="20"/>
  <c r="CS11" i="20"/>
  <c r="CS31" i="20"/>
  <c r="CS10" i="20"/>
  <c r="CS9" i="20"/>
  <c r="CS39" i="20"/>
  <c r="CS23" i="20"/>
  <c r="CS40" i="20"/>
  <c r="CS41" i="20"/>
  <c r="CS20" i="20"/>
  <c r="CS14" i="20"/>
  <c r="CS25" i="20"/>
  <c r="CS45" i="20"/>
  <c r="CS34" i="20"/>
  <c r="CS42" i="20"/>
  <c r="CS38" i="20"/>
  <c r="CS36" i="20"/>
  <c r="CS8" i="20"/>
  <c r="CS33" i="20"/>
  <c r="CS26" i="20"/>
  <c r="CS16" i="20"/>
  <c r="CS44" i="20"/>
  <c r="CS24" i="20"/>
  <c r="CS32" i="20"/>
  <c r="CS46" i="20"/>
  <c r="CS27" i="20"/>
  <c r="CS37" i="20"/>
  <c r="CS22" i="20"/>
  <c r="CS19" i="20"/>
  <c r="CS29" i="20"/>
  <c r="CS35" i="20"/>
  <c r="CS48" i="20" l="1"/>
  <c r="CS38" i="19"/>
  <c r="CS39" i="19" l="1"/>
  <c r="CS40" i="19"/>
  <c r="CS41" i="19"/>
  <c r="CS8" i="26" l="1"/>
  <c r="CS42" i="19"/>
  <c r="CS14" i="23"/>
  <c r="CS33" i="9"/>
  <c r="CS18" i="26" l="1" a="1"/>
  <c r="CS18" i="26" s="1"/>
  <c r="CS10" i="26"/>
  <c r="CS11" i="26" s="1"/>
  <c r="CS16" i="26" a="1"/>
  <c r="CS16" i="26" s="1"/>
  <c r="CS35" i="9"/>
  <c r="CS36" i="9" s="1"/>
  <c r="CS39" i="9" s="1"/>
  <c r="CS19" i="26" l="1"/>
  <c r="CS17" i="17"/>
  <c r="CS22" i="16"/>
  <c r="CS45" i="19"/>
  <c r="CS16" i="17"/>
  <c r="CS21" i="16"/>
  <c r="CS44" i="19"/>
  <c r="CS17" i="26"/>
  <c r="CS17" i="23"/>
  <c r="CS13" i="26"/>
  <c r="CS41" i="9"/>
  <c r="CS12" i="22" s="1"/>
  <c r="CS17" i="22" s="1"/>
  <c r="CS18" i="22" s="1"/>
  <c r="CS19" i="22" s="1"/>
  <c r="CS40" i="9"/>
  <c r="CS19" i="23"/>
  <c r="CS37" i="9"/>
  <c r="CS38" i="9"/>
  <c r="CS20" i="16" s="1"/>
  <c r="CS23" i="16" l="1"/>
  <c r="CS30" i="16" s="1"/>
  <c r="CS31" i="16" s="1"/>
  <c r="CS32" i="16" s="1"/>
  <c r="CS46" i="19"/>
  <c r="CS49" i="19" s="1"/>
  <c r="CS50" i="19" s="1"/>
  <c r="CS51" i="19" s="1"/>
  <c r="CS18" i="17"/>
  <c r="CS24" i="17" s="1"/>
  <c r="CS25" i="17" s="1"/>
  <c r="CS26" i="17" s="1"/>
  <c r="CS15" i="26"/>
  <c r="CS20" i="22"/>
  <c r="CS9" i="19"/>
  <c r="CS8" i="19" l="1"/>
  <c r="CS27" i="17"/>
  <c r="CS28" i="17" s="1"/>
  <c r="CS15" i="23"/>
  <c r="CS10" i="19"/>
  <c r="CS55" i="19"/>
  <c r="CS8" i="23" s="1"/>
  <c r="CS13" i="19"/>
  <c r="CS14" i="19" s="1"/>
  <c r="CS7" i="19"/>
  <c r="CS33" i="16"/>
  <c r="CS9" i="23"/>
  <c r="CS22" i="22"/>
  <c r="CS23" i="22" s="1"/>
  <c r="CS21" i="22"/>
  <c r="CS29" i="17" l="1"/>
  <c r="CS30" i="17" s="1"/>
  <c r="CS7" i="23"/>
  <c r="CS11" i="19"/>
  <c r="CS53" i="19" s="1"/>
  <c r="CS6" i="23"/>
  <c r="CS35" i="16"/>
  <c r="CS36" i="16" s="1"/>
  <c r="CS34" i="16"/>
  <c r="CT16" i="19" l="1"/>
  <c r="CT17" i="19" s="1"/>
  <c r="CS10" i="23"/>
  <c r="CS12" i="23" s="1"/>
  <c r="CS13" i="23" s="1"/>
  <c r="CT19" i="19" l="1"/>
  <c r="CT20" i="19"/>
  <c r="CT21" i="19"/>
  <c r="CT12" i="26" s="1"/>
  <c r="CS11" i="23"/>
  <c r="CT22" i="19" l="1"/>
  <c r="CT24" i="19" s="1"/>
  <c r="CT25" i="19" s="1"/>
  <c r="CT14" i="26"/>
  <c r="CT29" i="19" l="1"/>
  <c r="CT47" i="19" s="1"/>
  <c r="CT30" i="19"/>
  <c r="CT16" i="23" s="1"/>
  <c r="CU27" i="19"/>
  <c r="CW56" i="19"/>
  <c r="CT35" i="19"/>
  <c r="CT48" i="19" l="1"/>
  <c r="CT18" i="23"/>
  <c r="CT36" i="19"/>
  <c r="CT47" i="20" s="1"/>
  <c r="CT30" i="9"/>
  <c r="CT31" i="9" s="1"/>
  <c r="CT32" i="9" s="1"/>
  <c r="CZ57" i="19"/>
  <c r="CW43" i="19"/>
  <c r="CW66" i="19"/>
  <c r="CW65" i="19"/>
  <c r="CW59" i="19" l="1"/>
  <c r="CT26" i="20"/>
  <c r="CT34" i="20"/>
  <c r="CT16" i="20"/>
  <c r="CT41" i="20"/>
  <c r="CT21" i="20"/>
  <c r="CT38" i="20"/>
  <c r="CT28" i="20"/>
  <c r="CT37" i="20"/>
  <c r="CT24" i="20"/>
  <c r="CT17" i="20"/>
  <c r="CT12" i="20"/>
  <c r="CT13" i="20"/>
  <c r="CT44" i="20"/>
  <c r="CT30" i="20"/>
  <c r="CT42" i="20"/>
  <c r="CT25" i="20"/>
  <c r="CT35" i="20"/>
  <c r="CT9" i="20"/>
  <c r="CT23" i="20"/>
  <c r="CT32" i="20"/>
  <c r="CT46" i="20"/>
  <c r="CT31" i="20"/>
  <c r="CT11" i="20"/>
  <c r="CT39" i="20"/>
  <c r="CT43" i="20"/>
  <c r="CT29" i="20"/>
  <c r="CT40" i="20"/>
  <c r="CT19" i="20"/>
  <c r="CT45" i="20"/>
  <c r="CT20" i="20"/>
  <c r="CT36" i="20"/>
  <c r="CT10" i="20"/>
  <c r="CT18" i="20"/>
  <c r="CT33" i="20"/>
  <c r="CT15" i="20"/>
  <c r="CT8" i="20"/>
  <c r="CT22" i="20"/>
  <c r="CT27" i="20"/>
  <c r="CT14" i="20"/>
  <c r="CT48" i="20" l="1"/>
  <c r="CT38" i="19"/>
  <c r="CT40" i="19" l="1"/>
  <c r="CT41" i="19"/>
  <c r="CT39" i="19"/>
  <c r="CT8" i="26" l="1"/>
  <c r="CT42" i="19"/>
  <c r="CT33" i="9"/>
  <c r="CT14" i="23"/>
  <c r="CT18" i="26" l="1" a="1"/>
  <c r="CT18" i="26" s="1"/>
  <c r="CT10" i="26"/>
  <c r="CT11" i="26" s="1"/>
  <c r="CT16" i="26" a="1"/>
  <c r="CT16" i="26" s="1"/>
  <c r="CT17" i="26" s="1"/>
  <c r="CT35" i="9"/>
  <c r="CT36" i="9" s="1"/>
  <c r="CT38" i="9" s="1"/>
  <c r="CT20" i="16" s="1"/>
  <c r="CT19" i="26" l="1"/>
  <c r="CT17" i="17"/>
  <c r="CT22" i="16"/>
  <c r="CT45" i="19"/>
  <c r="CT16" i="17"/>
  <c r="CT21" i="16"/>
  <c r="CT44" i="19"/>
  <c r="CT13" i="26"/>
  <c r="CT17" i="23"/>
  <c r="CT39" i="9"/>
  <c r="CT40" i="9"/>
  <c r="CT41" i="9"/>
  <c r="CT12" i="22" s="1"/>
  <c r="CT19" i="23"/>
  <c r="CT37" i="9"/>
  <c r="CT46" i="19" l="1"/>
  <c r="CT49" i="19" s="1"/>
  <c r="CT50" i="19" s="1"/>
  <c r="CT51" i="19" s="1"/>
  <c r="CT18" i="17"/>
  <c r="CT24" i="17" s="1"/>
  <c r="CT25" i="17" s="1"/>
  <c r="CT26" i="17" s="1"/>
  <c r="CT23" i="16"/>
  <c r="CT30" i="16" s="1"/>
  <c r="CT31" i="16" s="1"/>
  <c r="CT32" i="16" s="1"/>
  <c r="CT15" i="26"/>
  <c r="CT17" i="22"/>
  <c r="CT18" i="22" s="1"/>
  <c r="CT19" i="22" s="1"/>
  <c r="CT7" i="19" l="1"/>
  <c r="CT33" i="16"/>
  <c r="CT6" i="23" s="1"/>
  <c r="CT15" i="23"/>
  <c r="CT13" i="19"/>
  <c r="CT14" i="19" s="1"/>
  <c r="CT55" i="19"/>
  <c r="CT8" i="23" s="1"/>
  <c r="CT10" i="19"/>
  <c r="CT8" i="19"/>
  <c r="CT27" i="17"/>
  <c r="CT20" i="22"/>
  <c r="CT9" i="19"/>
  <c r="CT35" i="16" l="1"/>
  <c r="CT36" i="16" s="1"/>
  <c r="CT34" i="16"/>
  <c r="CT11" i="19"/>
  <c r="CT53" i="19" s="1"/>
  <c r="CT9" i="23"/>
  <c r="CT22" i="22"/>
  <c r="CT23" i="22" s="1"/>
  <c r="CT21" i="22"/>
  <c r="CT7" i="23"/>
  <c r="CT29" i="17"/>
  <c r="CT30" i="17" s="1"/>
  <c r="CT28" i="17"/>
  <c r="CU16" i="19" l="1"/>
  <c r="CU17" i="19" s="1"/>
  <c r="CT10" i="23"/>
  <c r="CT12" i="23" s="1"/>
  <c r="CT13" i="23" s="1"/>
  <c r="CU21" i="19" l="1"/>
  <c r="CU12" i="26" s="1"/>
  <c r="CU20" i="19"/>
  <c r="CU19" i="19"/>
  <c r="CT11" i="23"/>
  <c r="CU22" i="19" l="1"/>
  <c r="CU24" i="19" s="1"/>
  <c r="CU29" i="19" s="1"/>
  <c r="CU14" i="26"/>
  <c r="K23" i="26" s="1"/>
  <c r="CU25" i="19" l="1"/>
  <c r="CU35" i="19" s="1"/>
  <c r="CU30" i="19"/>
  <c r="CU16" i="23" s="1"/>
  <c r="K43" i="23" s="1"/>
  <c r="J21" i="25" s="1"/>
  <c r="CU47" i="19"/>
  <c r="CV27" i="19" l="1"/>
  <c r="CX56" i="19"/>
  <c r="CX43" i="19" s="1"/>
  <c r="CU48" i="19"/>
  <c r="U145" i="24" s="1"/>
  <c r="U147" i="24" s="1"/>
  <c r="CU18" i="23"/>
  <c r="K45" i="23" s="1"/>
  <c r="J17" i="25" s="1"/>
  <c r="CU36" i="19"/>
  <c r="CU47" i="20" s="1"/>
  <c r="K182" i="20" s="1"/>
  <c r="CU30" i="9"/>
  <c r="CU31" i="9" s="1"/>
  <c r="CU32" i="9" s="1"/>
  <c r="CX66" i="19" l="1"/>
  <c r="DA57" i="19"/>
  <c r="CX65" i="19"/>
  <c r="K92" i="20"/>
  <c r="K137" i="20"/>
  <c r="CU25" i="20"/>
  <c r="CU20" i="20"/>
  <c r="CU17" i="20"/>
  <c r="CU8" i="20"/>
  <c r="CU40" i="20"/>
  <c r="CU11" i="20"/>
  <c r="CU23" i="20"/>
  <c r="CU16" i="20"/>
  <c r="CU38" i="20"/>
  <c r="CU41" i="20"/>
  <c r="CU46" i="20"/>
  <c r="CU32" i="20"/>
  <c r="CU39" i="20"/>
  <c r="CU27" i="20"/>
  <c r="CU35" i="20"/>
  <c r="CU33" i="20"/>
  <c r="CU12" i="20"/>
  <c r="CU43" i="20"/>
  <c r="CU36" i="20"/>
  <c r="CU26" i="20"/>
  <c r="CU14" i="20"/>
  <c r="CU19" i="20"/>
  <c r="CU15" i="20"/>
  <c r="CU24" i="20"/>
  <c r="CU34" i="20"/>
  <c r="CU37" i="20"/>
  <c r="CU31" i="20"/>
  <c r="CU21" i="20"/>
  <c r="CU22" i="20"/>
  <c r="CU9" i="20"/>
  <c r="CU10" i="20"/>
  <c r="CU45" i="20"/>
  <c r="CU18" i="20"/>
  <c r="CU44" i="20"/>
  <c r="CU29" i="20"/>
  <c r="CU28" i="20"/>
  <c r="CU13" i="20"/>
  <c r="CU42" i="20"/>
  <c r="CU30" i="20"/>
  <c r="CX59" i="19" l="1"/>
  <c r="K106" i="20"/>
  <c r="K151" i="20"/>
  <c r="K61" i="20"/>
  <c r="K82" i="20"/>
  <c r="K172" i="20"/>
  <c r="K127" i="20"/>
  <c r="K78" i="20"/>
  <c r="K168" i="20"/>
  <c r="K123" i="20"/>
  <c r="K146" i="20"/>
  <c r="K101" i="20"/>
  <c r="K56" i="20"/>
  <c r="K133" i="20"/>
  <c r="K88" i="20"/>
  <c r="K178" i="20"/>
  <c r="K119" i="20"/>
  <c r="K74" i="20"/>
  <c r="K164" i="20"/>
  <c r="K124" i="20"/>
  <c r="K169" i="20"/>
  <c r="K79" i="20"/>
  <c r="K80" i="20"/>
  <c r="K125" i="20"/>
  <c r="K170" i="20"/>
  <c r="K175" i="20"/>
  <c r="K130" i="20"/>
  <c r="K85" i="20"/>
  <c r="K68" i="20"/>
  <c r="K113" i="20"/>
  <c r="K158" i="20"/>
  <c r="K89" i="20"/>
  <c r="K179" i="20"/>
  <c r="K134" i="20"/>
  <c r="K114" i="20"/>
  <c r="K159" i="20"/>
  <c r="K69" i="20"/>
  <c r="K117" i="20"/>
  <c r="K72" i="20"/>
  <c r="K162" i="20"/>
  <c r="CU48" i="20"/>
  <c r="CU38" i="19"/>
  <c r="K98" i="20"/>
  <c r="K143" i="20"/>
  <c r="K53" i="20"/>
  <c r="K121" i="20"/>
  <c r="K166" i="20"/>
  <c r="K76" i="20"/>
  <c r="K108" i="20"/>
  <c r="K63" i="20"/>
  <c r="K153" i="20"/>
  <c r="K60" i="20"/>
  <c r="K150" i="20"/>
  <c r="K105" i="20"/>
  <c r="K84" i="20"/>
  <c r="K174" i="20"/>
  <c r="K129" i="20"/>
  <c r="K152" i="20"/>
  <c r="K62" i="20"/>
  <c r="K107" i="20"/>
  <c r="K66" i="20"/>
  <c r="K111" i="20"/>
  <c r="K156" i="20"/>
  <c r="K57" i="20"/>
  <c r="K147" i="20"/>
  <c r="K102" i="20"/>
  <c r="K180" i="20"/>
  <c r="K90" i="20"/>
  <c r="K135" i="20"/>
  <c r="K109" i="20"/>
  <c r="K64" i="20"/>
  <c r="K154" i="20"/>
  <c r="K77" i="20"/>
  <c r="K122" i="20"/>
  <c r="K167" i="20"/>
  <c r="K110" i="20"/>
  <c r="K65" i="20"/>
  <c r="K155" i="20"/>
  <c r="K58" i="20"/>
  <c r="K148" i="20"/>
  <c r="K103" i="20"/>
  <c r="K100" i="20"/>
  <c r="K55" i="20"/>
  <c r="K145" i="20"/>
  <c r="K104" i="20"/>
  <c r="K149" i="20"/>
  <c r="K59" i="20"/>
  <c r="K136" i="20"/>
  <c r="K181" i="20"/>
  <c r="K91" i="20"/>
  <c r="K70" i="20"/>
  <c r="K160" i="20"/>
  <c r="K115" i="20"/>
  <c r="K87" i="20"/>
  <c r="K132" i="20"/>
  <c r="K177" i="20"/>
  <c r="K118" i="20"/>
  <c r="K163" i="20"/>
  <c r="K73" i="20"/>
  <c r="K54" i="20"/>
  <c r="K144" i="20"/>
  <c r="K99" i="20"/>
  <c r="K116" i="20"/>
  <c r="K71" i="20"/>
  <c r="K161" i="20"/>
  <c r="K86" i="20"/>
  <c r="K131" i="20"/>
  <c r="K176" i="20"/>
  <c r="K75" i="20"/>
  <c r="K120" i="20"/>
  <c r="K165" i="20"/>
  <c r="K157" i="20"/>
  <c r="K67" i="20"/>
  <c r="K112" i="20"/>
  <c r="K81" i="20"/>
  <c r="K171" i="20"/>
  <c r="K126" i="20"/>
  <c r="K128" i="20"/>
  <c r="K83" i="20"/>
  <c r="K173" i="20"/>
  <c r="K93" i="20" l="1"/>
  <c r="K183" i="20"/>
  <c r="K138" i="20"/>
  <c r="CU40" i="19"/>
  <c r="CU41" i="19"/>
  <c r="CU39" i="19"/>
  <c r="CU8" i="26" l="1"/>
  <c r="CU42" i="19"/>
  <c r="U125" i="24" s="1"/>
  <c r="CU33" i="9"/>
  <c r="CU14" i="23"/>
  <c r="U72" i="24"/>
  <c r="U75" i="24" s="1"/>
  <c r="U110" i="24"/>
  <c r="CU18" i="26" l="1" a="1"/>
  <c r="CU18" i="26" s="1"/>
  <c r="CU10" i="26"/>
  <c r="CU11" i="26" s="1"/>
  <c r="CU16" i="26" a="1"/>
  <c r="CU16" i="26" s="1"/>
  <c r="CU17" i="26" s="1"/>
  <c r="U171" i="24"/>
  <c r="CU35" i="9"/>
  <c r="CU36" i="9" s="1"/>
  <c r="CU39" i="9" s="1"/>
  <c r="U172" i="24"/>
  <c r="K40" i="23"/>
  <c r="J18" i="25" s="1"/>
  <c r="J50" i="31" s="1"/>
  <c r="J51" i="31" l="1"/>
  <c r="J49" i="31"/>
  <c r="CU19" i="26"/>
  <c r="CU17" i="17"/>
  <c r="CU22" i="16"/>
  <c r="CU45" i="19"/>
  <c r="CU16" i="17"/>
  <c r="CU21" i="16"/>
  <c r="CU44" i="19"/>
  <c r="K21" i="26"/>
  <c r="CU13" i="26"/>
  <c r="CU17" i="23"/>
  <c r="K44" i="23" s="1"/>
  <c r="J22" i="25" s="1"/>
  <c r="J40" i="31" s="1"/>
  <c r="U173" i="24"/>
  <c r="CU41" i="9"/>
  <c r="U139" i="24" s="1"/>
  <c r="CU40" i="9"/>
  <c r="U137" i="24"/>
  <c r="CU19" i="23"/>
  <c r="CU37" i="9"/>
  <c r="CU38" i="9"/>
  <c r="J41" i="31" l="1"/>
  <c r="J45" i="31" s="1"/>
  <c r="J39" i="31"/>
  <c r="J43" i="31" s="1"/>
  <c r="CU18" i="17"/>
  <c r="CU24" i="17" s="1"/>
  <c r="CU25" i="17" s="1"/>
  <c r="U154" i="24" s="1"/>
  <c r="U113" i="24"/>
  <c r="U114" i="24" s="1"/>
  <c r="U116" i="24" s="1"/>
  <c r="U117" i="24" s="1"/>
  <c r="CU46" i="19"/>
  <c r="U126" i="24" s="1"/>
  <c r="U128" i="24"/>
  <c r="J44" i="31"/>
  <c r="K22" i="26"/>
  <c r="CU15" i="26"/>
  <c r="U138" i="24"/>
  <c r="CU12" i="22"/>
  <c r="CU17" i="22" s="1"/>
  <c r="CU18" i="22" s="1"/>
  <c r="U156" i="24" s="1"/>
  <c r="CU20" i="16"/>
  <c r="CU23" i="16" s="1"/>
  <c r="U136" i="24"/>
  <c r="U129" i="24" l="1"/>
  <c r="U131" i="24" s="1"/>
  <c r="U132" i="24" s="1"/>
  <c r="U140" i="24"/>
  <c r="CU49" i="19"/>
  <c r="CU50" i="19" s="1"/>
  <c r="U155" i="24" s="1"/>
  <c r="CU26" i="17"/>
  <c r="CU15" i="23"/>
  <c r="K41" i="23" s="1"/>
  <c r="J19" i="25" s="1"/>
  <c r="J53" i="31" s="1"/>
  <c r="CU30" i="16"/>
  <c r="CU31" i="16" s="1"/>
  <c r="U153" i="24" s="1"/>
  <c r="CU13" i="19"/>
  <c r="CU14" i="19" s="1"/>
  <c r="CU19" i="22"/>
  <c r="J54" i="31" l="1"/>
  <c r="J52" i="31"/>
  <c r="U149" i="24"/>
  <c r="U150" i="24" s="1"/>
  <c r="CU51" i="19"/>
  <c r="CU10" i="19" s="1"/>
  <c r="U176" i="24"/>
  <c r="U157" i="24"/>
  <c r="U159" i="24" s="1"/>
  <c r="CU32" i="16"/>
  <c r="CU33" i="16" s="1"/>
  <c r="CU27" i="17"/>
  <c r="CU8" i="19"/>
  <c r="CU20" i="22"/>
  <c r="CU9" i="19"/>
  <c r="CU7" i="19" l="1"/>
  <c r="CU11" i="19" s="1"/>
  <c r="CU53" i="19" s="1"/>
  <c r="CU55" i="19"/>
  <c r="CU8" i="23" s="1"/>
  <c r="U162" i="24"/>
  <c r="U163" i="24" s="1"/>
  <c r="CU6" i="23"/>
  <c r="CU35" i="16"/>
  <c r="CU36" i="16" s="1"/>
  <c r="CU34" i="16"/>
  <c r="CU9" i="23"/>
  <c r="CU22" i="22"/>
  <c r="CU23" i="22" s="1"/>
  <c r="CU21" i="22"/>
  <c r="CU7" i="23"/>
  <c r="CU29" i="17"/>
  <c r="CU30" i="17" s="1"/>
  <c r="CU28" i="17"/>
  <c r="CV16" i="19" l="1"/>
  <c r="CV17" i="19" s="1"/>
  <c r="U175" i="24"/>
  <c r="U177" i="24" s="1"/>
  <c r="CU10" i="23"/>
  <c r="CV19" i="19" l="1"/>
  <c r="CV21" i="19"/>
  <c r="CV20" i="19"/>
  <c r="CU12" i="23"/>
  <c r="CU13" i="23" s="1"/>
  <c r="K42" i="23"/>
  <c r="J20" i="25" s="1"/>
  <c r="J56" i="31" s="1"/>
  <c r="CU11" i="23"/>
  <c r="CV14" i="26" l="1"/>
  <c r="CV12" i="26"/>
  <c r="CV22" i="19"/>
  <c r="CV24" i="19" s="1"/>
  <c r="CV30" i="19" s="1"/>
  <c r="J57" i="31"/>
  <c r="J55" i="31"/>
  <c r="CV25" i="19" l="1"/>
  <c r="CY56" i="19" s="1"/>
  <c r="CV29" i="19"/>
  <c r="CV47" i="19" s="1"/>
  <c r="CV16" i="23" l="1"/>
  <c r="CV35" i="19"/>
  <c r="CV18" i="23" s="1"/>
  <c r="CW27" i="19"/>
  <c r="CV48" i="19"/>
  <c r="CY66" i="19"/>
  <c r="CY65" i="19"/>
  <c r="CY43" i="19"/>
  <c r="DB57" i="19"/>
  <c r="CV30" i="9" l="1"/>
  <c r="CV31" i="9" s="1"/>
  <c r="CV32" i="9" s="1"/>
  <c r="CV36" i="19"/>
  <c r="CV47" i="20" s="1"/>
  <c r="CY59" i="19"/>
  <c r="CV13" i="20"/>
  <c r="CV28" i="20"/>
  <c r="CV31" i="20"/>
  <c r="CV46" i="20"/>
  <c r="CV8" i="20"/>
  <c r="CV35" i="20"/>
  <c r="CV12" i="20" l="1"/>
  <c r="CV14" i="20"/>
  <c r="CV41" i="20"/>
  <c r="CV18" i="20"/>
  <c r="CV27" i="20"/>
  <c r="CV34" i="20"/>
  <c r="CV10" i="20"/>
  <c r="CV9" i="20"/>
  <c r="CV44" i="20"/>
  <c r="CV20" i="20"/>
  <c r="CV42" i="20"/>
  <c r="CV39" i="20"/>
  <c r="CV33" i="20"/>
  <c r="CV19" i="20"/>
  <c r="CV24" i="20"/>
  <c r="CV29" i="20"/>
  <c r="CV30" i="20"/>
  <c r="CV16" i="20"/>
  <c r="CV15" i="20"/>
  <c r="CV43" i="20"/>
  <c r="CV26" i="20"/>
  <c r="CV36" i="20"/>
  <c r="CV45" i="20"/>
  <c r="CV23" i="20"/>
  <c r="CV38" i="20"/>
  <c r="CV21" i="20"/>
  <c r="CV32" i="20"/>
  <c r="CV40" i="20"/>
  <c r="CV37" i="20"/>
  <c r="CV25" i="20"/>
  <c r="CV11" i="20"/>
  <c r="CV17" i="20"/>
  <c r="CV22" i="20"/>
  <c r="CV48" i="20" l="1"/>
  <c r="CV38" i="19"/>
  <c r="CV41" i="19" s="1"/>
  <c r="CV40" i="19" l="1"/>
  <c r="CV39" i="19"/>
  <c r="CV42" i="19" s="1"/>
  <c r="CV8" i="26"/>
  <c r="CV14" i="23" l="1"/>
  <c r="CV33" i="9"/>
  <c r="CV35" i="9" s="1"/>
  <c r="CV36" i="9" s="1"/>
  <c r="CV41" i="9" s="1"/>
  <c r="CV18" i="26" a="1"/>
  <c r="CV18" i="26" s="1"/>
  <c r="CV10" i="26"/>
  <c r="CV11" i="26" s="1"/>
  <c r="CV16" i="26" a="1"/>
  <c r="CV16" i="26" s="1"/>
  <c r="CV17" i="26" s="1"/>
  <c r="CV17" i="17" l="1"/>
  <c r="CV22" i="16"/>
  <c r="CV45" i="19"/>
  <c r="CV19" i="26"/>
  <c r="CV13" i="26"/>
  <c r="CV17" i="23"/>
  <c r="CV16" i="17"/>
  <c r="CV21" i="16"/>
  <c r="CV44" i="19"/>
  <c r="CV40" i="9"/>
  <c r="CV12" i="22"/>
  <c r="CV19" i="23"/>
  <c r="CV37" i="9"/>
  <c r="CV38" i="9"/>
  <c r="CV39" i="9"/>
  <c r="CV46" i="19" l="1"/>
  <c r="CV49" i="19" s="1"/>
  <c r="CV50" i="19" s="1"/>
  <c r="CV51" i="19" s="1"/>
  <c r="CV18" i="17"/>
  <c r="CV15" i="26"/>
  <c r="CV20" i="16"/>
  <c r="CV23" i="16" s="1"/>
  <c r="CV17" i="22"/>
  <c r="CV18" i="22" s="1"/>
  <c r="CV24" i="17" l="1"/>
  <c r="CV25" i="17" s="1"/>
  <c r="CV19" i="22"/>
  <c r="CV55" i="19"/>
  <c r="CV8" i="23" s="1"/>
  <c r="CV10" i="19"/>
  <c r="CV15" i="23"/>
  <c r="CV30" i="16"/>
  <c r="CV31" i="16" s="1"/>
  <c r="CV32" i="16" s="1"/>
  <c r="CV13" i="19"/>
  <c r="CV14" i="19" s="1"/>
  <c r="CV20" i="22" l="1"/>
  <c r="CV9" i="19"/>
  <c r="CV7" i="19"/>
  <c r="CV33" i="16"/>
  <c r="CV26" i="17"/>
  <c r="CV6" i="23" l="1"/>
  <c r="CV35" i="16"/>
  <c r="CV36" i="16" s="1"/>
  <c r="CV34" i="16"/>
  <c r="CV27" i="17"/>
  <c r="CV8" i="19"/>
  <c r="CV11" i="19" s="1"/>
  <c r="CV53" i="19" s="1"/>
  <c r="CW16" i="19" s="1"/>
  <c r="CV9" i="23"/>
  <c r="CV22" i="22"/>
  <c r="CV23" i="22" s="1"/>
  <c r="CV21" i="22"/>
  <c r="CW17" i="19" l="1"/>
  <c r="CV7" i="23"/>
  <c r="CV10" i="23" s="1"/>
  <c r="CV29" i="17"/>
  <c r="CV30" i="17" s="1"/>
  <c r="CV28" i="17"/>
  <c r="CW21" i="19" l="1"/>
  <c r="CW20" i="19"/>
  <c r="CW19" i="19"/>
  <c r="CV12" i="23"/>
  <c r="CV13" i="23" s="1"/>
  <c r="CV11" i="23"/>
  <c r="CW22" i="19" l="1"/>
  <c r="CW24" i="19" s="1"/>
  <c r="CW12" i="26"/>
  <c r="CW14" i="26"/>
  <c r="CW30" i="19" l="1"/>
  <c r="CW29" i="19"/>
  <c r="CW25" i="19"/>
  <c r="CZ56" i="19" l="1"/>
  <c r="CX27" i="19"/>
  <c r="CW35" i="19"/>
  <c r="CW47" i="19"/>
  <c r="CW16" i="23"/>
  <c r="CW48" i="19" l="1"/>
  <c r="CW18" i="23"/>
  <c r="CW36" i="19"/>
  <c r="CW47" i="20" s="1"/>
  <c r="CW30" i="9"/>
  <c r="CW31" i="9" s="1"/>
  <c r="CW32" i="9" s="1"/>
  <c r="CZ66" i="19"/>
  <c r="CZ65" i="19"/>
  <c r="DC57" i="19"/>
  <c r="CZ43" i="19"/>
  <c r="CW33" i="20" l="1"/>
  <c r="CW25" i="20"/>
  <c r="CW31" i="20"/>
  <c r="CW34" i="20"/>
  <c r="CW37" i="20"/>
  <c r="CW22" i="20"/>
  <c r="CW23" i="20"/>
  <c r="CW45" i="20"/>
  <c r="CW18" i="20"/>
  <c r="CW8" i="20"/>
  <c r="CW28" i="20"/>
  <c r="CW39" i="20"/>
  <c r="CW36" i="20"/>
  <c r="CW19" i="20"/>
  <c r="CW35" i="20"/>
  <c r="CW27" i="20"/>
  <c r="CW9" i="20"/>
  <c r="CW24" i="20"/>
  <c r="CW21" i="20"/>
  <c r="CW32" i="20"/>
  <c r="CW12" i="20"/>
  <c r="CW38" i="20"/>
  <c r="CW16" i="20"/>
  <c r="CW11" i="20"/>
  <c r="CW20" i="20"/>
  <c r="CW42" i="20"/>
  <c r="CW26" i="20"/>
  <c r="CW46" i="20"/>
  <c r="CW40" i="20"/>
  <c r="CW29" i="20"/>
  <c r="CW30" i="20"/>
  <c r="CW10" i="20"/>
  <c r="CW41" i="20"/>
  <c r="CW14" i="20"/>
  <c r="CW17" i="20"/>
  <c r="CW44" i="20"/>
  <c r="CW43" i="20"/>
  <c r="CW13" i="20"/>
  <c r="CW15" i="20"/>
  <c r="CZ59" i="19"/>
  <c r="CW48" i="20" l="1"/>
  <c r="CW38" i="19"/>
  <c r="CW41" i="19" l="1"/>
  <c r="CW39" i="19"/>
  <c r="CW40" i="19"/>
  <c r="CW8" i="26" l="1"/>
  <c r="CW42" i="19"/>
  <c r="CW33" i="9"/>
  <c r="CW14" i="23"/>
  <c r="CW18" i="26" l="1" a="1"/>
  <c r="CW18" i="26" s="1"/>
  <c r="CW10" i="26"/>
  <c r="CW11" i="26" s="1"/>
  <c r="CW16" i="26" a="1"/>
  <c r="CW16" i="26" s="1"/>
  <c r="CW35" i="9"/>
  <c r="CW36" i="9" s="1"/>
  <c r="CW19" i="26" l="1"/>
  <c r="CW17" i="17"/>
  <c r="CW22" i="16"/>
  <c r="CW45" i="19"/>
  <c r="CW16" i="17"/>
  <c r="CW21" i="16"/>
  <c r="CW44" i="19"/>
  <c r="CW17" i="26"/>
  <c r="CW13" i="26"/>
  <c r="CW17" i="23"/>
  <c r="CW19" i="23"/>
  <c r="CW37" i="9"/>
  <c r="CW40" i="9"/>
  <c r="CW38" i="9"/>
  <c r="CW41" i="9"/>
  <c r="CW39" i="9"/>
  <c r="CW18" i="17" l="1"/>
  <c r="CW46" i="19"/>
  <c r="CW15" i="26"/>
  <c r="CW12" i="22"/>
  <c r="CW20" i="16"/>
  <c r="CW23" i="16" s="1"/>
  <c r="CW49" i="19" l="1"/>
  <c r="CW50" i="19" s="1"/>
  <c r="CW51" i="19" s="1"/>
  <c r="CW15" i="23"/>
  <c r="CW30" i="16"/>
  <c r="CW31" i="16" s="1"/>
  <c r="CW13" i="19"/>
  <c r="CW14" i="19" s="1"/>
  <c r="CW17" i="22"/>
  <c r="CW18" i="22" s="1"/>
  <c r="CW19" i="22" s="1"/>
  <c r="CW24" i="17"/>
  <c r="CW25" i="17" s="1"/>
  <c r="CW55" i="19" l="1"/>
  <c r="CW8" i="23" s="1"/>
  <c r="CW10" i="19"/>
  <c r="CW20" i="22"/>
  <c r="CW9" i="19"/>
  <c r="CW32" i="16"/>
  <c r="CW26" i="17"/>
  <c r="CW7" i="19" l="1"/>
  <c r="CW33" i="16"/>
  <c r="CW9" i="23"/>
  <c r="CW22" i="22"/>
  <c r="CW23" i="22" s="1"/>
  <c r="CW21" i="22"/>
  <c r="CW8" i="19"/>
  <c r="CW27" i="17"/>
  <c r="CW7" i="23" l="1"/>
  <c r="CW29" i="17"/>
  <c r="CW30" i="17" s="1"/>
  <c r="CW28" i="17"/>
  <c r="CW6" i="23"/>
  <c r="CW35" i="16"/>
  <c r="CW36" i="16" s="1"/>
  <c r="CW34" i="16"/>
  <c r="CW11" i="19"/>
  <c r="CW53" i="19" s="1"/>
  <c r="CX16" i="19" s="1"/>
  <c r="CW10" i="23" l="1"/>
  <c r="CW12" i="23" s="1"/>
  <c r="CW13" i="23" s="1"/>
  <c r="CX17" i="19"/>
  <c r="CX21" i="19" l="1"/>
  <c r="CX19" i="19"/>
  <c r="CX20" i="19"/>
  <c r="CW11" i="23"/>
  <c r="CX22" i="19" l="1"/>
  <c r="CX24" i="19" s="1"/>
  <c r="CX12" i="26"/>
  <c r="CX14" i="26"/>
  <c r="CX30" i="19" l="1"/>
  <c r="CX29" i="19"/>
  <c r="CX25" i="19"/>
  <c r="DA56" i="19" l="1"/>
  <c r="CY27" i="19"/>
  <c r="CX35" i="19"/>
  <c r="CX47" i="19"/>
  <c r="CX16" i="23"/>
  <c r="CX18" i="23" l="1"/>
  <c r="CX36" i="19"/>
  <c r="CX47" i="20" s="1"/>
  <c r="CX30" i="9"/>
  <c r="CX31" i="9" s="1"/>
  <c r="CX32" i="9" s="1"/>
  <c r="CX48" i="19"/>
  <c r="DA66" i="19"/>
  <c r="DA65" i="19"/>
  <c r="DD57" i="19"/>
  <c r="DA43" i="19"/>
  <c r="DA59" i="19" l="1"/>
  <c r="CX32" i="20"/>
  <c r="CX46" i="20"/>
  <c r="CX39" i="20"/>
  <c r="CX29" i="20"/>
  <c r="CX25" i="20"/>
  <c r="CX15" i="20"/>
  <c r="CX34" i="20"/>
  <c r="CX8" i="20"/>
  <c r="CX18" i="20"/>
  <c r="CX36" i="20"/>
  <c r="CX35" i="20"/>
  <c r="CX33" i="20"/>
  <c r="CX31" i="20"/>
  <c r="CX38" i="20"/>
  <c r="CX45" i="20"/>
  <c r="CX9" i="20"/>
  <c r="CX43" i="20"/>
  <c r="CX17" i="20"/>
  <c r="CX11" i="20"/>
  <c r="CX14" i="20"/>
  <c r="CX27" i="20"/>
  <c r="CX10" i="20"/>
  <c r="CX13" i="20"/>
  <c r="CX12" i="20"/>
  <c r="CX26" i="20"/>
  <c r="CX19" i="20"/>
  <c r="CX37" i="20"/>
  <c r="CX22" i="20"/>
  <c r="CX21" i="20"/>
  <c r="CX24" i="20"/>
  <c r="CX16" i="20"/>
  <c r="CX23" i="20"/>
  <c r="CX42" i="20"/>
  <c r="CX20" i="20"/>
  <c r="CX30" i="20"/>
  <c r="CX40" i="20"/>
  <c r="CX28" i="20"/>
  <c r="CX41" i="20"/>
  <c r="CX44" i="20"/>
  <c r="CX48" i="20" l="1"/>
  <c r="CX38" i="19"/>
  <c r="CX40" i="19" l="1"/>
  <c r="CX41" i="19"/>
  <c r="CX39" i="19"/>
  <c r="CX8" i="26" l="1"/>
  <c r="CX42" i="19"/>
  <c r="CX14" i="23"/>
  <c r="CX33" i="9"/>
  <c r="CX18" i="26" l="1" a="1"/>
  <c r="CX18" i="26" s="1"/>
  <c r="CX10" i="26"/>
  <c r="CX11" i="26" s="1"/>
  <c r="CX16" i="26" a="1"/>
  <c r="CX16" i="26" s="1"/>
  <c r="CX17" i="26" s="1"/>
  <c r="CX35" i="9"/>
  <c r="CX36" i="9" s="1"/>
  <c r="CX39" i="9" s="1"/>
  <c r="CX19" i="26" l="1"/>
  <c r="CX17" i="17"/>
  <c r="CX22" i="16"/>
  <c r="CX45" i="19"/>
  <c r="CX17" i="23"/>
  <c r="CX13" i="26"/>
  <c r="CX16" i="17"/>
  <c r="CX21" i="16"/>
  <c r="CX44" i="19"/>
  <c r="CX40" i="9"/>
  <c r="CX19" i="23"/>
  <c r="CX37" i="9"/>
  <c r="CX38" i="9"/>
  <c r="CX41" i="9"/>
  <c r="CX18" i="17" l="1"/>
  <c r="CX24" i="17" s="1"/>
  <c r="CX25" i="17" s="1"/>
  <c r="CX46" i="19"/>
  <c r="CX15" i="26"/>
  <c r="CX12" i="22"/>
  <c r="CX20" i="16"/>
  <c r="CX23" i="16" s="1"/>
  <c r="CX49" i="19" l="1"/>
  <c r="CX50" i="19" s="1"/>
  <c r="CX51" i="19" s="1"/>
  <c r="CX15" i="23"/>
  <c r="CX30" i="16"/>
  <c r="CX31" i="16" s="1"/>
  <c r="CX13" i="19"/>
  <c r="CX14" i="19" s="1"/>
  <c r="CX17" i="22"/>
  <c r="CX18" i="22" s="1"/>
  <c r="CX19" i="22" s="1"/>
  <c r="CX26" i="17"/>
  <c r="CX20" i="22" l="1"/>
  <c r="CX9" i="19"/>
  <c r="CX55" i="19"/>
  <c r="CX8" i="23" s="1"/>
  <c r="CX10" i="19"/>
  <c r="CX32" i="16"/>
  <c r="CX8" i="19"/>
  <c r="CX27" i="17"/>
  <c r="CX7" i="23" l="1"/>
  <c r="CX29" i="17"/>
  <c r="CX30" i="17" s="1"/>
  <c r="CX28" i="17"/>
  <c r="CX7" i="19"/>
  <c r="CX11" i="19" s="1"/>
  <c r="CX53" i="19" s="1"/>
  <c r="CY16" i="19" s="1"/>
  <c r="CX33" i="16"/>
  <c r="CX9" i="23"/>
  <c r="CX22" i="22"/>
  <c r="CX23" i="22" s="1"/>
  <c r="CX21" i="22"/>
  <c r="CX6" i="23" l="1"/>
  <c r="CX10" i="23" s="1"/>
  <c r="CX35" i="16"/>
  <c r="CX36" i="16" s="1"/>
  <c r="CX34" i="16"/>
  <c r="CY17" i="19"/>
  <c r="CY21" i="19" l="1"/>
  <c r="CY19" i="19"/>
  <c r="CY20" i="19"/>
  <c r="CX12" i="23"/>
  <c r="CX13" i="23" s="1"/>
  <c r="CX11" i="23"/>
  <c r="CY22" i="19" l="1"/>
  <c r="CY24" i="19" s="1"/>
  <c r="CY12" i="26"/>
  <c r="CY14" i="26"/>
  <c r="CY29" i="19" l="1"/>
  <c r="CY30" i="19"/>
  <c r="CY25" i="19"/>
  <c r="CZ27" i="19" l="1"/>
  <c r="DB56" i="19"/>
  <c r="CY35" i="19"/>
  <c r="CY47" i="19"/>
  <c r="CY16" i="23"/>
  <c r="CY48" i="19" l="1"/>
  <c r="CY18" i="23"/>
  <c r="CY36" i="19"/>
  <c r="CY47" i="20" s="1"/>
  <c r="CY30" i="9"/>
  <c r="CY31" i="9" s="1"/>
  <c r="CY32" i="9" s="1"/>
  <c r="DB43" i="19"/>
  <c r="DE57" i="19"/>
  <c r="DB65" i="19"/>
  <c r="DB66" i="19"/>
  <c r="CY8" i="20" l="1"/>
  <c r="CY27" i="20"/>
  <c r="CY32" i="20"/>
  <c r="CY24" i="20"/>
  <c r="CY43" i="20"/>
  <c r="CY17" i="20"/>
  <c r="CY39" i="20"/>
  <c r="CY19" i="20"/>
  <c r="CY34" i="20"/>
  <c r="CY29" i="20"/>
  <c r="CY37" i="20"/>
  <c r="CY23" i="20"/>
  <c r="CY13" i="20"/>
  <c r="CY31" i="20"/>
  <c r="CY41" i="20"/>
  <c r="CY44" i="20"/>
  <c r="CY9" i="20"/>
  <c r="CY28" i="20"/>
  <c r="CY10" i="20"/>
  <c r="CY40" i="20"/>
  <c r="CY18" i="20"/>
  <c r="CY11" i="20"/>
  <c r="CY25" i="20"/>
  <c r="CY15" i="20"/>
  <c r="CY45" i="20"/>
  <c r="CY46" i="20"/>
  <c r="CY35" i="20"/>
  <c r="CY42" i="20"/>
  <c r="CY16" i="20"/>
  <c r="CY30" i="20"/>
  <c r="CY26" i="20"/>
  <c r="CY14" i="20"/>
  <c r="CY12" i="20"/>
  <c r="CY20" i="20"/>
  <c r="CY38" i="20"/>
  <c r="CY33" i="20"/>
  <c r="CY21" i="20"/>
  <c r="CY22" i="20"/>
  <c r="CY36" i="20"/>
  <c r="DB59" i="19"/>
  <c r="CY48" i="20" l="1"/>
  <c r="CY38" i="19"/>
  <c r="CY41" i="19" l="1"/>
  <c r="CY40" i="19"/>
  <c r="CY39" i="19"/>
  <c r="CY8" i="26" l="1"/>
  <c r="CY42" i="19"/>
  <c r="CY33" i="9"/>
  <c r="CY14" i="23"/>
  <c r="CY18" i="26" l="1" a="1"/>
  <c r="CY18" i="26" s="1"/>
  <c r="CY10" i="26"/>
  <c r="CY11" i="26" s="1"/>
  <c r="CY16" i="26" a="1"/>
  <c r="CY16" i="26" s="1"/>
  <c r="CY35" i="9"/>
  <c r="CY36" i="9" s="1"/>
  <c r="CY39" i="9" s="1"/>
  <c r="CY19" i="26" l="1"/>
  <c r="CY17" i="17"/>
  <c r="CY22" i="16"/>
  <c r="CY45" i="19"/>
  <c r="CY16" i="17"/>
  <c r="CY21" i="16"/>
  <c r="CY44" i="19"/>
  <c r="CY17" i="26"/>
  <c r="CY17" i="23"/>
  <c r="CY13" i="26"/>
  <c r="CY41" i="9"/>
  <c r="CY12" i="22" s="1"/>
  <c r="CY40" i="9"/>
  <c r="CY38" i="9"/>
  <c r="CY20" i="16" s="1"/>
  <c r="CY19" i="23"/>
  <c r="CY37" i="9"/>
  <c r="CY18" i="17" l="1"/>
  <c r="CY24" i="17" s="1"/>
  <c r="CY25" i="17" s="1"/>
  <c r="CY26" i="17" s="1"/>
  <c r="CY46" i="19"/>
  <c r="CY49" i="19" s="1"/>
  <c r="CY50" i="19" s="1"/>
  <c r="CY51" i="19" s="1"/>
  <c r="CY23" i="16"/>
  <c r="CY15" i="26"/>
  <c r="CY17" i="22"/>
  <c r="CY18" i="22" s="1"/>
  <c r="CY19" i="22" s="1"/>
  <c r="CY15" i="23" l="1"/>
  <c r="CY13" i="19"/>
  <c r="CY14" i="19" s="1"/>
  <c r="CY30" i="16"/>
  <c r="CY31" i="16" s="1"/>
  <c r="CY32" i="16" s="1"/>
  <c r="CY7" i="19" s="1"/>
  <c r="CY55" i="19"/>
  <c r="CY8" i="23" s="1"/>
  <c r="CY10" i="19"/>
  <c r="CY20" i="22"/>
  <c r="CY9" i="19"/>
  <c r="CY8" i="19"/>
  <c r="CY27" i="17"/>
  <c r="CY33" i="16" l="1"/>
  <c r="CY6" i="23" s="1"/>
  <c r="CY7" i="23"/>
  <c r="CY29" i="17"/>
  <c r="CY30" i="17" s="1"/>
  <c r="CY28" i="17"/>
  <c r="CY9" i="23"/>
  <c r="CY22" i="22"/>
  <c r="CY23" i="22" s="1"/>
  <c r="CY21" i="22"/>
  <c r="CY11" i="19"/>
  <c r="CY53" i="19" s="1"/>
  <c r="CZ16" i="19" s="1"/>
  <c r="CY35" i="16" l="1"/>
  <c r="CY36" i="16" s="1"/>
  <c r="CY34" i="16"/>
  <c r="CY10" i="23"/>
  <c r="CY11" i="23" s="1"/>
  <c r="CZ17" i="19"/>
  <c r="CZ20" i="19" l="1"/>
  <c r="CZ21" i="19"/>
  <c r="CZ19" i="19"/>
  <c r="CY12" i="23"/>
  <c r="CY13" i="23" s="1"/>
  <c r="CZ22" i="19" l="1"/>
  <c r="CZ24" i="19" s="1"/>
  <c r="CZ12" i="26"/>
  <c r="CZ14" i="26"/>
  <c r="CZ29" i="19" l="1"/>
  <c r="CZ30" i="19"/>
  <c r="CZ25" i="19"/>
  <c r="DC56" i="19" l="1"/>
  <c r="DA27" i="19"/>
  <c r="CZ35" i="19"/>
  <c r="CZ47" i="19"/>
  <c r="CZ16" i="23"/>
  <c r="CZ48" i="19" l="1"/>
  <c r="CZ18" i="23"/>
  <c r="CZ36" i="19"/>
  <c r="CZ47" i="20" s="1"/>
  <c r="CZ30" i="9"/>
  <c r="CZ31" i="9" s="1"/>
  <c r="CZ32" i="9" s="1"/>
  <c r="DF57" i="19"/>
  <c r="DC65" i="19"/>
  <c r="DC66" i="19"/>
  <c r="DC43" i="19"/>
  <c r="DC59" i="19" l="1"/>
  <c r="CZ30" i="20"/>
  <c r="CZ34" i="20"/>
  <c r="CZ16" i="20"/>
  <c r="CZ9" i="20"/>
  <c r="CZ28" i="20"/>
  <c r="CZ39" i="20"/>
  <c r="CZ20" i="20"/>
  <c r="CZ35" i="20"/>
  <c r="CZ32" i="20"/>
  <c r="CZ8" i="20"/>
  <c r="CZ41" i="20"/>
  <c r="CZ17" i="20"/>
  <c r="CZ14" i="20"/>
  <c r="CZ22" i="20"/>
  <c r="CZ12" i="20"/>
  <c r="CZ31" i="20"/>
  <c r="CZ10" i="20"/>
  <c r="CZ26" i="20"/>
  <c r="CZ36" i="20"/>
  <c r="CZ44" i="20"/>
  <c r="CZ21" i="20"/>
  <c r="CZ38" i="20"/>
  <c r="CZ25" i="20"/>
  <c r="CZ11" i="20"/>
  <c r="CZ46" i="20"/>
  <c r="CZ27" i="20"/>
  <c r="CZ42" i="20"/>
  <c r="CZ43" i="20"/>
  <c r="CZ24" i="20"/>
  <c r="CZ40" i="20"/>
  <c r="CZ23" i="20"/>
  <c r="CZ15" i="20"/>
  <c r="CZ45" i="20"/>
  <c r="CZ13" i="20"/>
  <c r="CZ33" i="20"/>
  <c r="CZ37" i="20"/>
  <c r="CZ18" i="20"/>
  <c r="CZ19" i="20"/>
  <c r="CZ29" i="20"/>
  <c r="CZ48" i="20" l="1"/>
  <c r="CZ38" i="19"/>
  <c r="CZ40" i="19" l="1"/>
  <c r="CZ41" i="19"/>
  <c r="CZ39" i="19"/>
  <c r="CZ8" i="26" l="1"/>
  <c r="CZ42" i="19"/>
  <c r="CZ14" i="23"/>
  <c r="CZ33" i="9"/>
  <c r="CZ18" i="26" l="1" a="1"/>
  <c r="CZ18" i="26" s="1"/>
  <c r="CZ10" i="26"/>
  <c r="CZ11" i="26" s="1"/>
  <c r="CZ16" i="26" a="1"/>
  <c r="CZ16" i="26" s="1"/>
  <c r="CZ17" i="26" s="1"/>
  <c r="CZ35" i="9"/>
  <c r="CZ36" i="9" s="1"/>
  <c r="CZ19" i="26" l="1"/>
  <c r="CZ17" i="17"/>
  <c r="CZ22" i="16"/>
  <c r="CZ45" i="19"/>
  <c r="CZ17" i="23"/>
  <c r="CZ13" i="26"/>
  <c r="CZ16" i="17"/>
  <c r="CZ21" i="16"/>
  <c r="CZ44" i="19"/>
  <c r="CZ19" i="23"/>
  <c r="CZ37" i="9"/>
  <c r="CZ40" i="9"/>
  <c r="CZ38" i="9"/>
  <c r="CZ41" i="9"/>
  <c r="CZ39" i="9"/>
  <c r="CZ46" i="19" l="1"/>
  <c r="CZ18" i="17"/>
  <c r="CZ15" i="26"/>
  <c r="CZ12" i="22"/>
  <c r="CZ20" i="16"/>
  <c r="CZ23" i="16" s="1"/>
  <c r="CZ49" i="19" l="1"/>
  <c r="CZ50" i="19" s="1"/>
  <c r="CZ51" i="19" s="1"/>
  <c r="CZ15" i="23"/>
  <c r="CZ30" i="16"/>
  <c r="CZ31" i="16" s="1"/>
  <c r="CZ32" i="16" s="1"/>
  <c r="CZ13" i="19"/>
  <c r="CZ14" i="19" s="1"/>
  <c r="CZ24" i="17"/>
  <c r="CZ25" i="17" s="1"/>
  <c r="CZ26" i="17" s="1"/>
  <c r="CZ17" i="22"/>
  <c r="CZ18" i="22" s="1"/>
  <c r="CZ19" i="22" s="1"/>
  <c r="CZ20" i="22" l="1"/>
  <c r="CZ9" i="19"/>
  <c r="CZ8" i="19"/>
  <c r="CZ27" i="17"/>
  <c r="CZ7" i="19"/>
  <c r="CZ33" i="16"/>
  <c r="CZ55" i="19"/>
  <c r="CZ8" i="23" s="1"/>
  <c r="CZ10" i="19"/>
  <c r="CZ11" i="19" l="1"/>
  <c r="CZ53" i="19" s="1"/>
  <c r="CZ7" i="23"/>
  <c r="CZ29" i="17"/>
  <c r="CZ30" i="17" s="1"/>
  <c r="CZ28" i="17"/>
  <c r="CZ6" i="23"/>
  <c r="CZ35" i="16"/>
  <c r="CZ36" i="16" s="1"/>
  <c r="CZ34" i="16"/>
  <c r="CZ22" i="22"/>
  <c r="CZ23" i="22" s="1"/>
  <c r="CZ9" i="23"/>
  <c r="CZ21" i="22"/>
  <c r="DA16" i="19" l="1"/>
  <c r="DA17" i="19" s="1"/>
  <c r="CZ10" i="23"/>
  <c r="DA21" i="19" l="1"/>
  <c r="DA12" i="26" s="1"/>
  <c r="DA20" i="19"/>
  <c r="DA19" i="19"/>
  <c r="CZ12" i="23"/>
  <c r="CZ13" i="23" s="1"/>
  <c r="CZ11" i="23"/>
  <c r="DA14" i="26" l="1"/>
  <c r="DA22" i="19"/>
  <c r="DA24" i="19" s="1"/>
  <c r="DA29" i="19" s="1"/>
  <c r="DA25" i="19" l="1"/>
  <c r="DA35" i="19" s="1"/>
  <c r="DA30" i="19"/>
  <c r="DA16" i="23" s="1"/>
  <c r="DD56" i="19"/>
  <c r="DA47" i="19"/>
  <c r="DB27" i="19" l="1"/>
  <c r="DA48" i="19"/>
  <c r="DA18" i="23"/>
  <c r="DA36" i="19"/>
  <c r="DA47" i="20" s="1"/>
  <c r="DA30" i="9"/>
  <c r="DA31" i="9" s="1"/>
  <c r="DA32" i="9" s="1"/>
  <c r="DG57" i="19"/>
  <c r="DD65" i="19"/>
  <c r="DD66" i="19"/>
  <c r="DD43" i="19"/>
  <c r="DD59" i="19" l="1"/>
  <c r="DA44" i="20"/>
  <c r="DA28" i="20"/>
  <c r="DA10" i="20"/>
  <c r="DA12" i="20"/>
  <c r="DA45" i="20"/>
  <c r="DA17" i="20"/>
  <c r="DA41" i="20"/>
  <c r="DA23" i="20"/>
  <c r="DA27" i="20"/>
  <c r="DA22" i="20"/>
  <c r="DA9" i="20"/>
  <c r="DA34" i="20"/>
  <c r="DA19" i="20"/>
  <c r="DA11" i="20"/>
  <c r="DA37" i="20"/>
  <c r="DA46" i="20"/>
  <c r="DA39" i="20"/>
  <c r="DA35" i="20"/>
  <c r="DA24" i="20"/>
  <c r="DA13" i="20"/>
  <c r="DA33" i="20"/>
  <c r="DA15" i="20"/>
  <c r="DA38" i="20"/>
  <c r="DA29" i="20"/>
  <c r="DA32" i="20"/>
  <c r="DA16" i="20"/>
  <c r="DA36" i="20"/>
  <c r="DA31" i="20"/>
  <c r="DA25" i="20"/>
  <c r="DA30" i="20"/>
  <c r="DA42" i="20"/>
  <c r="DA14" i="20"/>
  <c r="DA21" i="20"/>
  <c r="DA18" i="20"/>
  <c r="DA43" i="20"/>
  <c r="DA40" i="20"/>
  <c r="DA26" i="20"/>
  <c r="DA8" i="20"/>
  <c r="DA20" i="20"/>
  <c r="DA48" i="20" l="1"/>
  <c r="DA38" i="19"/>
  <c r="DA39" i="19" l="1"/>
  <c r="DA41" i="19"/>
  <c r="DA40" i="19"/>
  <c r="DA8" i="26" l="1"/>
  <c r="DA42" i="19"/>
  <c r="DA33" i="9"/>
  <c r="DA14" i="23"/>
  <c r="DA18" i="26" l="1" a="1"/>
  <c r="DA18" i="26" s="1"/>
  <c r="DA10" i="26"/>
  <c r="DA11" i="26" s="1"/>
  <c r="DA16" i="26" a="1"/>
  <c r="DA16" i="26" s="1"/>
  <c r="DA17" i="26" s="1"/>
  <c r="DA35" i="9"/>
  <c r="DA36" i="9" s="1"/>
  <c r="DA38" i="9" s="1"/>
  <c r="DA20" i="16" s="1"/>
  <c r="DA19" i="26" l="1"/>
  <c r="DA17" i="17"/>
  <c r="DA22" i="16"/>
  <c r="DA45" i="19"/>
  <c r="DA13" i="26"/>
  <c r="DA17" i="23"/>
  <c r="DA16" i="17"/>
  <c r="DA21" i="16"/>
  <c r="DA44" i="19"/>
  <c r="DA19" i="23"/>
  <c r="DA37" i="9"/>
  <c r="DA39" i="9"/>
  <c r="DA40" i="9"/>
  <c r="DA41" i="9"/>
  <c r="DA12" i="22" s="1"/>
  <c r="DA46" i="19" l="1"/>
  <c r="DA49" i="19" s="1"/>
  <c r="DA50" i="19" s="1"/>
  <c r="DA51" i="19" s="1"/>
  <c r="DA18" i="17"/>
  <c r="DA23" i="16"/>
  <c r="DA30" i="16" s="1"/>
  <c r="DA31" i="16" s="1"/>
  <c r="DA32" i="16" s="1"/>
  <c r="DA7" i="19" s="1"/>
  <c r="DA15" i="26"/>
  <c r="DA17" i="22"/>
  <c r="DA18" i="22" s="1"/>
  <c r="DA19" i="22" s="1"/>
  <c r="DA33" i="16" l="1"/>
  <c r="DA6" i="23" s="1"/>
  <c r="DA13" i="19"/>
  <c r="DA14" i="19" s="1"/>
  <c r="DA24" i="17"/>
  <c r="DA25" i="17" s="1"/>
  <c r="DA26" i="17" s="1"/>
  <c r="DA8" i="19" s="1"/>
  <c r="DA15" i="23"/>
  <c r="DA55" i="19"/>
  <c r="DA8" i="23" s="1"/>
  <c r="DA10" i="19"/>
  <c r="DA20" i="22"/>
  <c r="DA9" i="19"/>
  <c r="DA34" i="16" l="1"/>
  <c r="DA35" i="16"/>
  <c r="DA36" i="16" s="1"/>
  <c r="DA27" i="17"/>
  <c r="DA7" i="23" s="1"/>
  <c r="DA11" i="19"/>
  <c r="DA53" i="19" s="1"/>
  <c r="DA22" i="22"/>
  <c r="DA23" i="22" s="1"/>
  <c r="DA9" i="23"/>
  <c r="DA21" i="22"/>
  <c r="DB16" i="19" l="1"/>
  <c r="DB17" i="19" s="1"/>
  <c r="DA28" i="17"/>
  <c r="DA29" i="17"/>
  <c r="DA30" i="17" s="1"/>
  <c r="DA10" i="23"/>
  <c r="DA11" i="23" s="1"/>
  <c r="DB21" i="19" l="1"/>
  <c r="DB12" i="26" s="1"/>
  <c r="DB20" i="19"/>
  <c r="DB19" i="19"/>
  <c r="DA12" i="23"/>
  <c r="DA13" i="23" s="1"/>
  <c r="DB14" i="26" l="1"/>
  <c r="DB22" i="19"/>
  <c r="DB24" i="19" s="1"/>
  <c r="DB29" i="19" s="1"/>
  <c r="DB25" i="19" l="1"/>
  <c r="DC27" i="19" s="1"/>
  <c r="DB30" i="19"/>
  <c r="DB16" i="23" s="1"/>
  <c r="DB47" i="19"/>
  <c r="DE56" i="19" l="1"/>
  <c r="DE65" i="19" s="1"/>
  <c r="DB35" i="19"/>
  <c r="DB18" i="23" s="1"/>
  <c r="DE66" i="19"/>
  <c r="DB48" i="19"/>
  <c r="DE43" i="19" l="1"/>
  <c r="DH57" i="19"/>
  <c r="DB30" i="9"/>
  <c r="DB31" i="9" s="1"/>
  <c r="DB32" i="9" s="1"/>
  <c r="DB36" i="19"/>
  <c r="DB47" i="20" s="1"/>
  <c r="DB31" i="20"/>
  <c r="DB29" i="20"/>
  <c r="DB44" i="20"/>
  <c r="DB36" i="20"/>
  <c r="DB40" i="20"/>
  <c r="DB18" i="20"/>
  <c r="DB24" i="20"/>
  <c r="DB32" i="20"/>
  <c r="DB41" i="20"/>
  <c r="DB27" i="20"/>
  <c r="DE59" i="19"/>
  <c r="DB45" i="20" l="1"/>
  <c r="DB9" i="20"/>
  <c r="DB46" i="20"/>
  <c r="DB39" i="20"/>
  <c r="DB34" i="20"/>
  <c r="DB43" i="20"/>
  <c r="DB33" i="20"/>
  <c r="DB23" i="20"/>
  <c r="DB10" i="20"/>
  <c r="DB22" i="20"/>
  <c r="DB15" i="20"/>
  <c r="DB14" i="20"/>
  <c r="DB19" i="20"/>
  <c r="DB12" i="20"/>
  <c r="DB16" i="20"/>
  <c r="DB30" i="20"/>
  <c r="DB37" i="20"/>
  <c r="DB11" i="20"/>
  <c r="DB35" i="20"/>
  <c r="DB38" i="20"/>
  <c r="DB17" i="20"/>
  <c r="DB42" i="20"/>
  <c r="DB13" i="20"/>
  <c r="DB20" i="20"/>
  <c r="DB8" i="20"/>
  <c r="DB26" i="20"/>
  <c r="DB21" i="20"/>
  <c r="DB28" i="20"/>
  <c r="DB25" i="20"/>
  <c r="DB48" i="20" l="1"/>
  <c r="DB38" i="19"/>
  <c r="DB40" i="19" s="1"/>
  <c r="DB41" i="19" l="1"/>
  <c r="DB8" i="26" s="1"/>
  <c r="DB39" i="19"/>
  <c r="DB42" i="19" s="1"/>
  <c r="DB33" i="9" l="1"/>
  <c r="DB35" i="9" s="1"/>
  <c r="DB36" i="9" s="1"/>
  <c r="DB14" i="23"/>
  <c r="DB18" i="26" a="1"/>
  <c r="DB18" i="26" s="1"/>
  <c r="DB10" i="26"/>
  <c r="DB11" i="26" s="1"/>
  <c r="DB16" i="26" a="1"/>
  <c r="DB16" i="26" s="1"/>
  <c r="DB19" i="26" l="1"/>
  <c r="DB17" i="17"/>
  <c r="DB22" i="16"/>
  <c r="DB45" i="19"/>
  <c r="DB16" i="17"/>
  <c r="DB21" i="16"/>
  <c r="DB44" i="19"/>
  <c r="DB17" i="26"/>
  <c r="DB17" i="23"/>
  <c r="DB13" i="26"/>
  <c r="DB19" i="23"/>
  <c r="DB37" i="9"/>
  <c r="DB38" i="9"/>
  <c r="DB20" i="16" s="1"/>
  <c r="DB39" i="9"/>
  <c r="DB40" i="9"/>
  <c r="DB41" i="9"/>
  <c r="DB12" i="22" s="1"/>
  <c r="DB46" i="19" l="1"/>
  <c r="DB18" i="17"/>
  <c r="DB24" i="17" s="1"/>
  <c r="DB25" i="17" s="1"/>
  <c r="DB26" i="17" s="1"/>
  <c r="DB23" i="16"/>
  <c r="DB30" i="16" s="1"/>
  <c r="DB31" i="16" s="1"/>
  <c r="DB32" i="16" s="1"/>
  <c r="DB15" i="26"/>
  <c r="DB17" i="22"/>
  <c r="DB18" i="22" s="1"/>
  <c r="DB19" i="22" s="1"/>
  <c r="DB13" i="19" l="1"/>
  <c r="DB14" i="19" s="1"/>
  <c r="DB15" i="23"/>
  <c r="DB49" i="19"/>
  <c r="DB50" i="19" s="1"/>
  <c r="DB51" i="19" s="1"/>
  <c r="DB55" i="19" s="1"/>
  <c r="DB8" i="23" s="1"/>
  <c r="DB8" i="19"/>
  <c r="DB27" i="17"/>
  <c r="DB7" i="19"/>
  <c r="DB33" i="16"/>
  <c r="DB20" i="22"/>
  <c r="DB9" i="19"/>
  <c r="DB10" i="19" l="1"/>
  <c r="DB11" i="19" s="1"/>
  <c r="DB53" i="19" s="1"/>
  <c r="DC16" i="19" s="1"/>
  <c r="DB7" i="23"/>
  <c r="DB29" i="17"/>
  <c r="DB30" i="17" s="1"/>
  <c r="DB28" i="17"/>
  <c r="DB22" i="22"/>
  <c r="DB23" i="22" s="1"/>
  <c r="DB9" i="23"/>
  <c r="DB21" i="22"/>
  <c r="DB6" i="23"/>
  <c r="DB35" i="16"/>
  <c r="DB36" i="16" s="1"/>
  <c r="DB34" i="16"/>
  <c r="DC17" i="19" l="1"/>
  <c r="DB10" i="23"/>
  <c r="DC20" i="19" l="1"/>
  <c r="DC21" i="19"/>
  <c r="DC19" i="19"/>
  <c r="DB12" i="23"/>
  <c r="DB13" i="23" s="1"/>
  <c r="DB11" i="23"/>
  <c r="DC22" i="19" l="1"/>
  <c r="DC24" i="19" s="1"/>
  <c r="DC12" i="26"/>
  <c r="DC14" i="26"/>
  <c r="DC30" i="19" l="1"/>
  <c r="DC29" i="19"/>
  <c r="DC25" i="19"/>
  <c r="DF56" i="19" l="1"/>
  <c r="DD27" i="19"/>
  <c r="DC35" i="19"/>
  <c r="DC47" i="19"/>
  <c r="DC16" i="23"/>
  <c r="DC18" i="23" l="1"/>
  <c r="DC36" i="19"/>
  <c r="DC47" i="20" s="1"/>
  <c r="DC30" i="9"/>
  <c r="DC31" i="9" s="1"/>
  <c r="DC32" i="9" s="1"/>
  <c r="DC48" i="19"/>
  <c r="DF65" i="19"/>
  <c r="DI57" i="19"/>
  <c r="DF66" i="19"/>
  <c r="DF43" i="19"/>
  <c r="DF59" i="19" l="1"/>
  <c r="DC43" i="20"/>
  <c r="DC15" i="20"/>
  <c r="DC26" i="20"/>
  <c r="DC44" i="20"/>
  <c r="DC22" i="20"/>
  <c r="DC8" i="20"/>
  <c r="DC19" i="20"/>
  <c r="DC17" i="20"/>
  <c r="DC34" i="20"/>
  <c r="DC9" i="20"/>
  <c r="DC23" i="20"/>
  <c r="DC30" i="20"/>
  <c r="DC25" i="20"/>
  <c r="DC40" i="20"/>
  <c r="DC31" i="20"/>
  <c r="DC20" i="20"/>
  <c r="DC12" i="20"/>
  <c r="DC37" i="20"/>
  <c r="DC16" i="20"/>
  <c r="DC36" i="20"/>
  <c r="DC45" i="20"/>
  <c r="DC42" i="20"/>
  <c r="DC29" i="20"/>
  <c r="DC32" i="20"/>
  <c r="DC38" i="20"/>
  <c r="DC35" i="20"/>
  <c r="DC28" i="20"/>
  <c r="DC27" i="20"/>
  <c r="DC18" i="20"/>
  <c r="DC10" i="20"/>
  <c r="DC13" i="20"/>
  <c r="DC11" i="20"/>
  <c r="DC39" i="20"/>
  <c r="DC21" i="20"/>
  <c r="DC33" i="20"/>
  <c r="DC46" i="20"/>
  <c r="DC14" i="20"/>
  <c r="DC41" i="20"/>
  <c r="DC24" i="20"/>
  <c r="DC48" i="20" l="1"/>
  <c r="DC38" i="19"/>
  <c r="DC39" i="19" l="1"/>
  <c r="DC41" i="19"/>
  <c r="DC40" i="19"/>
  <c r="DC8" i="26" l="1"/>
  <c r="DC42" i="19"/>
  <c r="DC14" i="23"/>
  <c r="DC33" i="9"/>
  <c r="DC18" i="26" l="1" a="1"/>
  <c r="DC18" i="26" s="1"/>
  <c r="DC10" i="26"/>
  <c r="DC11" i="26" s="1"/>
  <c r="DC16" i="26" a="1"/>
  <c r="DC16" i="26" s="1"/>
  <c r="DC35" i="9"/>
  <c r="DC36" i="9" s="1"/>
  <c r="DC38" i="9" s="1"/>
  <c r="DC20" i="16" s="1"/>
  <c r="DC19" i="26" l="1"/>
  <c r="DC17" i="17"/>
  <c r="DC22" i="16"/>
  <c r="DC45" i="19"/>
  <c r="DC16" i="17"/>
  <c r="DC21" i="16"/>
  <c r="DC44" i="19"/>
  <c r="DC17" i="26"/>
  <c r="DC13" i="26"/>
  <c r="DC17" i="23"/>
  <c r="DC41" i="9"/>
  <c r="DC12" i="22" s="1"/>
  <c r="DC17" i="22" s="1"/>
  <c r="DC18" i="22" s="1"/>
  <c r="DC19" i="22" s="1"/>
  <c r="DC39" i="9"/>
  <c r="DC40" i="9"/>
  <c r="DC19" i="23"/>
  <c r="DC37" i="9"/>
  <c r="DC46" i="19" l="1"/>
  <c r="DC49" i="19" s="1"/>
  <c r="DC50" i="19" s="1"/>
  <c r="DC51" i="19" s="1"/>
  <c r="DC18" i="17"/>
  <c r="DC24" i="17" s="1"/>
  <c r="DC25" i="17" s="1"/>
  <c r="DC26" i="17" s="1"/>
  <c r="DC23" i="16"/>
  <c r="DC30" i="16" s="1"/>
  <c r="DC31" i="16" s="1"/>
  <c r="DC32" i="16" s="1"/>
  <c r="DC33" i="16" s="1"/>
  <c r="DC15" i="26"/>
  <c r="DC20" i="22"/>
  <c r="DC9" i="19"/>
  <c r="DC7" i="19" l="1"/>
  <c r="DC8" i="19"/>
  <c r="DC27" i="17"/>
  <c r="DC7" i="23" s="1"/>
  <c r="DC55" i="19"/>
  <c r="DC8" i="23" s="1"/>
  <c r="DC10" i="19"/>
  <c r="DC13" i="19"/>
  <c r="DC14" i="19" s="1"/>
  <c r="DC15" i="23"/>
  <c r="DC22" i="22"/>
  <c r="DC23" i="22" s="1"/>
  <c r="DC9" i="23"/>
  <c r="DC21" i="22"/>
  <c r="DC6" i="23"/>
  <c r="DC35" i="16"/>
  <c r="DC36" i="16" s="1"/>
  <c r="DC34" i="16"/>
  <c r="DC28" i="17" l="1"/>
  <c r="DC29" i="17"/>
  <c r="DC30" i="17" s="1"/>
  <c r="DC11" i="19"/>
  <c r="DC53" i="19" s="1"/>
  <c r="DC10" i="23"/>
  <c r="DD16" i="19" l="1"/>
  <c r="DD17" i="19" s="1"/>
  <c r="DC12" i="23"/>
  <c r="DC13" i="23" s="1"/>
  <c r="DC11" i="23"/>
  <c r="DD21" i="19" l="1"/>
  <c r="DD12" i="26" s="1"/>
  <c r="DD19" i="19"/>
  <c r="DD20" i="19"/>
  <c r="DD14" i="26" l="1"/>
  <c r="DD22" i="19"/>
  <c r="DD24" i="19" s="1"/>
  <c r="DD29" i="19" s="1"/>
  <c r="DD30" i="19" l="1"/>
  <c r="DD16" i="23" s="1"/>
  <c r="DD25" i="19"/>
  <c r="DE27" i="19" s="1"/>
  <c r="DD47" i="19"/>
  <c r="DD35" i="19" l="1"/>
  <c r="DD18" i="23" s="1"/>
  <c r="DG56" i="19"/>
  <c r="DG66" i="19" s="1"/>
  <c r="DD48" i="19"/>
  <c r="DJ57" i="19" l="1"/>
  <c r="DG65" i="19"/>
  <c r="DG59" i="19" s="1"/>
  <c r="DG43" i="19"/>
  <c r="DD30" i="9"/>
  <c r="DD31" i="9" s="1"/>
  <c r="DD32" i="9" s="1"/>
  <c r="DD36" i="19"/>
  <c r="DD47" i="20" s="1"/>
  <c r="DD27" i="20" l="1"/>
  <c r="DD8" i="20"/>
  <c r="DD32" i="20"/>
  <c r="DD38" i="20"/>
  <c r="DD16" i="20"/>
  <c r="DD41" i="20"/>
  <c r="DD42" i="20"/>
  <c r="DD46" i="20"/>
  <c r="DD14" i="20"/>
  <c r="DD45" i="20"/>
  <c r="DD26" i="20"/>
  <c r="DD17" i="20"/>
  <c r="DD39" i="20"/>
  <c r="DD40" i="20"/>
  <c r="DD19" i="20"/>
  <c r="DD20" i="20"/>
  <c r="DD30" i="20"/>
  <c r="DD33" i="20"/>
  <c r="DD36" i="20"/>
  <c r="DD13" i="20"/>
  <c r="DD31" i="20"/>
  <c r="DD25" i="20"/>
  <c r="DD34" i="20"/>
  <c r="DD28" i="20"/>
  <c r="DD11" i="20"/>
  <c r="DD10" i="20"/>
  <c r="DD43" i="20"/>
  <c r="DD12" i="20"/>
  <c r="DD15" i="20"/>
  <c r="DD23" i="20"/>
  <c r="DD9" i="20"/>
  <c r="DD37" i="20"/>
  <c r="DD21" i="20"/>
  <c r="DD35" i="20"/>
  <c r="DD29" i="20"/>
  <c r="DD22" i="20"/>
  <c r="DD44" i="20"/>
  <c r="DD24" i="20"/>
  <c r="DD18" i="20"/>
  <c r="DD48" i="20" l="1"/>
  <c r="DD38" i="19"/>
  <c r="DD40" i="19" s="1"/>
  <c r="DD39" i="19" l="1"/>
  <c r="DD14" i="23" s="1"/>
  <c r="DD41" i="19"/>
  <c r="DD8" i="26" s="1"/>
  <c r="DD42" i="19"/>
  <c r="DD33" i="9" l="1"/>
  <c r="DD35" i="9" s="1"/>
  <c r="DD36" i="9" s="1"/>
  <c r="DD18" i="26" a="1"/>
  <c r="DD18" i="26" s="1"/>
  <c r="DD10" i="26"/>
  <c r="DD11" i="26" s="1"/>
  <c r="DD16" i="26" a="1"/>
  <c r="DD16" i="26" s="1"/>
  <c r="DD19" i="26" l="1"/>
  <c r="DD17" i="17"/>
  <c r="DD22" i="16"/>
  <c r="DD45" i="19"/>
  <c r="DD16" i="17"/>
  <c r="DD21" i="16"/>
  <c r="DD44" i="19"/>
  <c r="DD17" i="26"/>
  <c r="DD17" i="23"/>
  <c r="DD13" i="26"/>
  <c r="DD19" i="23"/>
  <c r="DD37" i="9"/>
  <c r="DD38" i="9"/>
  <c r="DD20" i="16" s="1"/>
  <c r="DD39" i="9"/>
  <c r="DD40" i="9"/>
  <c r="DD41" i="9"/>
  <c r="DD12" i="22" s="1"/>
  <c r="DD23" i="16" l="1"/>
  <c r="DD30" i="16" s="1"/>
  <c r="DD31" i="16" s="1"/>
  <c r="DD32" i="16" s="1"/>
  <c r="DD46" i="19"/>
  <c r="DD49" i="19" s="1"/>
  <c r="DD50" i="19" s="1"/>
  <c r="DD51" i="19" s="1"/>
  <c r="DD18" i="17"/>
  <c r="DD24" i="17" s="1"/>
  <c r="DD25" i="17" s="1"/>
  <c r="DD26" i="17" s="1"/>
  <c r="DD15" i="26"/>
  <c r="DD17" i="22"/>
  <c r="DD18" i="22" s="1"/>
  <c r="DD19" i="22" s="1"/>
  <c r="DD15" i="23" l="1"/>
  <c r="DD13" i="19"/>
  <c r="DD14" i="19" s="1"/>
  <c r="DD7" i="19"/>
  <c r="DD33" i="16"/>
  <c r="DD8" i="19"/>
  <c r="DD27" i="17"/>
  <c r="DD55" i="19"/>
  <c r="DD8" i="23" s="1"/>
  <c r="DD10" i="19"/>
  <c r="DD20" i="22"/>
  <c r="DD9" i="19"/>
  <c r="DD9" i="23" l="1"/>
  <c r="DD22" i="22"/>
  <c r="DD23" i="22" s="1"/>
  <c r="DD21" i="22"/>
  <c r="DD7" i="23"/>
  <c r="DD29" i="17"/>
  <c r="DD30" i="17" s="1"/>
  <c r="DD28" i="17"/>
  <c r="DD6" i="23"/>
  <c r="DD35" i="16"/>
  <c r="DD36" i="16" s="1"/>
  <c r="DD34" i="16"/>
  <c r="DD11" i="19"/>
  <c r="DD53" i="19" s="1"/>
  <c r="DE16" i="19" s="1"/>
  <c r="DD10" i="23" l="1"/>
  <c r="DD11" i="23" s="1"/>
  <c r="DE17" i="19"/>
  <c r="DE19" i="19" l="1"/>
  <c r="DE20" i="19"/>
  <c r="DE21" i="19"/>
  <c r="DD12" i="23"/>
  <c r="DD13" i="23" s="1"/>
  <c r="DE22" i="19" l="1"/>
  <c r="DE24" i="19" s="1"/>
  <c r="DE12" i="26"/>
  <c r="DE14" i="26"/>
  <c r="DE30" i="19" l="1"/>
  <c r="DE29" i="19"/>
  <c r="DE25" i="19"/>
  <c r="DE47" i="19" l="1"/>
  <c r="DE16" i="23"/>
  <c r="DH56" i="19"/>
  <c r="DF27" i="19"/>
  <c r="DE35" i="19"/>
  <c r="DE18" i="23" l="1"/>
  <c r="DE36" i="19"/>
  <c r="DE47" i="20" s="1"/>
  <c r="DE30" i="9"/>
  <c r="DE31" i="9" s="1"/>
  <c r="DE32" i="9" s="1"/>
  <c r="DH43" i="19"/>
  <c r="DH65" i="19"/>
  <c r="DK57" i="19"/>
  <c r="DH66" i="19"/>
  <c r="DE48" i="19"/>
  <c r="DH59" i="19" l="1"/>
  <c r="DE35" i="20"/>
  <c r="DE31" i="20"/>
  <c r="DE18" i="20"/>
  <c r="DE36" i="20"/>
  <c r="DE23" i="20"/>
  <c r="DE30" i="20"/>
  <c r="DE46" i="20"/>
  <c r="DE33" i="20"/>
  <c r="DE15" i="20"/>
  <c r="DE22" i="20"/>
  <c r="DE28" i="20"/>
  <c r="DE42" i="20"/>
  <c r="DE12" i="20"/>
  <c r="DE26" i="20"/>
  <c r="DE13" i="20"/>
  <c r="DE21" i="20"/>
  <c r="DE32" i="20"/>
  <c r="DE17" i="20"/>
  <c r="DE8" i="20"/>
  <c r="DE19" i="20"/>
  <c r="DE45" i="20"/>
  <c r="DE9" i="20"/>
  <c r="DE25" i="20"/>
  <c r="DE11" i="20"/>
  <c r="DE10" i="20"/>
  <c r="DE14" i="20"/>
  <c r="DE27" i="20"/>
  <c r="DE38" i="20"/>
  <c r="DE41" i="20"/>
  <c r="DE24" i="20"/>
  <c r="DE40" i="20"/>
  <c r="DE44" i="20"/>
  <c r="DE29" i="20"/>
  <c r="DE43" i="20"/>
  <c r="DE37" i="20"/>
  <c r="DE34" i="20"/>
  <c r="DE39" i="20"/>
  <c r="DE20" i="20"/>
  <c r="DE16" i="20"/>
  <c r="DE48" i="20" l="1"/>
  <c r="DE38" i="19"/>
  <c r="DE40" i="19" l="1"/>
  <c r="DE41" i="19"/>
  <c r="DE39" i="19"/>
  <c r="DE8" i="26" l="1"/>
  <c r="DE42" i="19"/>
  <c r="DE14" i="23"/>
  <c r="DE33" i="9"/>
  <c r="DE18" i="26" l="1" a="1"/>
  <c r="DE18" i="26" s="1"/>
  <c r="DE10" i="26"/>
  <c r="DE11" i="26" s="1"/>
  <c r="DE16" i="26" a="1"/>
  <c r="DE16" i="26" s="1"/>
  <c r="DE35" i="9"/>
  <c r="DE36" i="9" s="1"/>
  <c r="DE39" i="9" s="1"/>
  <c r="DE19" i="26" l="1"/>
  <c r="DE17" i="17"/>
  <c r="DE22" i="16"/>
  <c r="DE45" i="19"/>
  <c r="DE17" i="23"/>
  <c r="DE13" i="26"/>
  <c r="DE16" i="17"/>
  <c r="DE21" i="16"/>
  <c r="DE44" i="19"/>
  <c r="DE17" i="26"/>
  <c r="DE19" i="23"/>
  <c r="DE37" i="9"/>
  <c r="DE38" i="9"/>
  <c r="DE20" i="16" s="1"/>
  <c r="DE40" i="9"/>
  <c r="DE41" i="9"/>
  <c r="DE12" i="22" s="1"/>
  <c r="DE23" i="16" l="1"/>
  <c r="DE30" i="16" s="1"/>
  <c r="DE31" i="16" s="1"/>
  <c r="DE32" i="16" s="1"/>
  <c r="DE46" i="19"/>
  <c r="DE49" i="19" s="1"/>
  <c r="DE50" i="19" s="1"/>
  <c r="DE51" i="19" s="1"/>
  <c r="DE18" i="17"/>
  <c r="DE24" i="17" s="1"/>
  <c r="DE25" i="17" s="1"/>
  <c r="DE26" i="17" s="1"/>
  <c r="DE15" i="26"/>
  <c r="DE17" i="22"/>
  <c r="DE18" i="22" s="1"/>
  <c r="DE19" i="22" s="1"/>
  <c r="DE8" i="19" l="1"/>
  <c r="DE27" i="17"/>
  <c r="DE7" i="23" s="1"/>
  <c r="DE13" i="19"/>
  <c r="DE14" i="19" s="1"/>
  <c r="DE15" i="23"/>
  <c r="DE55" i="19"/>
  <c r="DE8" i="23" s="1"/>
  <c r="DE10" i="19"/>
  <c r="DE20" i="22"/>
  <c r="DE9" i="19"/>
  <c r="DE7" i="19"/>
  <c r="DE33" i="16"/>
  <c r="DE28" i="17" l="1"/>
  <c r="DE29" i="17"/>
  <c r="DE30" i="17" s="1"/>
  <c r="DE6" i="23"/>
  <c r="DE35" i="16"/>
  <c r="DE36" i="16" s="1"/>
  <c r="DE34" i="16"/>
  <c r="DE11" i="19"/>
  <c r="DE53" i="19" s="1"/>
  <c r="DF16" i="19" s="1"/>
  <c r="DE9" i="23"/>
  <c r="DE22" i="22"/>
  <c r="DE23" i="22" s="1"/>
  <c r="DE21" i="22"/>
  <c r="DF17" i="19" l="1"/>
  <c r="DE10" i="23"/>
  <c r="DF20" i="19" l="1"/>
  <c r="DF19" i="19"/>
  <c r="DF21" i="19"/>
  <c r="DE12" i="23"/>
  <c r="DE13" i="23" s="1"/>
  <c r="DE11" i="23"/>
  <c r="DF22" i="19" l="1"/>
  <c r="DF24" i="19" s="1"/>
  <c r="DF12" i="26"/>
  <c r="DF14" i="26"/>
  <c r="DF30" i="19" l="1"/>
  <c r="DF29" i="19"/>
  <c r="DF25" i="19"/>
  <c r="DI56" i="19" l="1"/>
  <c r="DG27" i="19"/>
  <c r="DF35" i="19"/>
  <c r="DF47" i="19"/>
  <c r="DF16" i="23"/>
  <c r="DF18" i="23" l="1"/>
  <c r="DF36" i="19"/>
  <c r="DF47" i="20" s="1"/>
  <c r="DF30" i="9"/>
  <c r="DF31" i="9" s="1"/>
  <c r="DF32" i="9" s="1"/>
  <c r="DF48" i="19"/>
  <c r="DI65" i="19"/>
  <c r="DL57" i="19"/>
  <c r="DI43" i="19"/>
  <c r="DI66" i="19"/>
  <c r="DI59" i="19" l="1"/>
  <c r="DF43" i="20"/>
  <c r="DF22" i="20"/>
  <c r="DF12" i="20"/>
  <c r="DF38" i="20"/>
  <c r="DF18" i="20"/>
  <c r="DF31" i="20"/>
  <c r="DF39" i="20"/>
  <c r="DF15" i="20"/>
  <c r="DF20" i="20"/>
  <c r="DF44" i="20"/>
  <c r="DF13" i="20"/>
  <c r="DF45" i="20"/>
  <c r="DF37" i="20"/>
  <c r="DF35" i="20"/>
  <c r="DF25" i="20"/>
  <c r="DF40" i="20"/>
  <c r="DF34" i="20"/>
  <c r="DF30" i="20"/>
  <c r="DF8" i="20"/>
  <c r="DF33" i="20"/>
  <c r="DF17" i="20"/>
  <c r="DF10" i="20"/>
  <c r="DF21" i="20"/>
  <c r="DF36" i="20"/>
  <c r="DF46" i="20"/>
  <c r="DF27" i="20"/>
  <c r="DF26" i="20"/>
  <c r="DF23" i="20"/>
  <c r="DF16" i="20"/>
  <c r="DF14" i="20"/>
  <c r="DF9" i="20"/>
  <c r="DF32" i="20"/>
  <c r="DF11" i="20"/>
  <c r="DF24" i="20"/>
  <c r="DF29" i="20"/>
  <c r="DF41" i="20"/>
  <c r="DF42" i="20"/>
  <c r="DF19" i="20"/>
  <c r="DF28" i="20"/>
  <c r="DF48" i="20" l="1"/>
  <c r="DF38" i="19"/>
  <c r="DF40" i="19" l="1"/>
  <c r="DF41" i="19"/>
  <c r="DF39" i="19"/>
  <c r="DF8" i="26" l="1"/>
  <c r="DF42" i="19"/>
  <c r="DF33" i="9"/>
  <c r="DF14" i="23"/>
  <c r="DF18" i="26" l="1" a="1"/>
  <c r="DF18" i="26" s="1"/>
  <c r="DF10" i="26"/>
  <c r="DF11" i="26" s="1"/>
  <c r="DF16" i="26" a="1"/>
  <c r="DF16" i="26" s="1"/>
  <c r="DF35" i="9"/>
  <c r="DF36" i="9" s="1"/>
  <c r="DF19" i="26" l="1"/>
  <c r="DF17" i="17"/>
  <c r="DF22" i="16"/>
  <c r="DF45" i="19"/>
  <c r="DF16" i="17"/>
  <c r="DF21" i="16"/>
  <c r="DF44" i="19"/>
  <c r="DF17" i="26"/>
  <c r="DF17" i="23"/>
  <c r="DF13" i="26"/>
  <c r="DF19" i="23"/>
  <c r="DF37" i="9"/>
  <c r="DF38" i="9"/>
  <c r="DF20" i="16" s="1"/>
  <c r="DF39" i="9"/>
  <c r="DF40" i="9"/>
  <c r="DF41" i="9"/>
  <c r="DF12" i="22" s="1"/>
  <c r="DF23" i="16" l="1"/>
  <c r="DF30" i="16" s="1"/>
  <c r="DF31" i="16" s="1"/>
  <c r="DF32" i="16" s="1"/>
  <c r="DF18" i="17"/>
  <c r="DF24" i="17" s="1"/>
  <c r="DF25" i="17" s="1"/>
  <c r="DF26" i="17" s="1"/>
  <c r="DF46" i="19"/>
  <c r="DF15" i="26"/>
  <c r="DF17" i="22"/>
  <c r="DF18" i="22" s="1"/>
  <c r="DF19" i="22" s="1"/>
  <c r="DF13" i="19" l="1"/>
  <c r="DF14" i="19" s="1"/>
  <c r="DF15" i="23"/>
  <c r="DF49" i="19"/>
  <c r="DF50" i="19" s="1"/>
  <c r="DF51" i="19" s="1"/>
  <c r="DF55" i="19" s="1"/>
  <c r="DF8" i="23" s="1"/>
  <c r="DF33" i="16"/>
  <c r="DF7" i="19"/>
  <c r="DF8" i="19"/>
  <c r="DF27" i="17"/>
  <c r="DF20" i="22"/>
  <c r="DF9" i="19"/>
  <c r="DF10" i="19" l="1"/>
  <c r="DF11" i="19" s="1"/>
  <c r="DF53" i="19" s="1"/>
  <c r="DG16" i="19" s="1"/>
  <c r="DF9" i="23"/>
  <c r="DF22" i="22"/>
  <c r="DF23" i="22" s="1"/>
  <c r="DF21" i="22"/>
  <c r="DF7" i="23"/>
  <c r="DF29" i="17"/>
  <c r="DF30" i="17" s="1"/>
  <c r="DF28" i="17"/>
  <c r="DF6" i="23"/>
  <c r="DF35" i="16"/>
  <c r="DF36" i="16" s="1"/>
  <c r="DF34" i="16"/>
  <c r="DF10" i="23" l="1"/>
  <c r="DF11" i="23" s="1"/>
  <c r="DG17" i="19"/>
  <c r="DG21" i="19" l="1"/>
  <c r="DG19" i="19"/>
  <c r="DG20" i="19"/>
  <c r="DF12" i="23"/>
  <c r="DF13" i="23" s="1"/>
  <c r="DG22" i="19" l="1"/>
  <c r="DG24" i="19" s="1"/>
  <c r="DG12" i="26"/>
  <c r="DG14" i="26"/>
  <c r="L23" i="26" l="1"/>
  <c r="DG30" i="19"/>
  <c r="DG29" i="19"/>
  <c r="DG25" i="19"/>
  <c r="DJ56" i="19" l="1"/>
  <c r="DH27" i="19"/>
  <c r="DG35" i="19"/>
  <c r="DG47" i="19"/>
  <c r="DG16" i="23"/>
  <c r="L43" i="23" s="1"/>
  <c r="K21" i="25" s="1"/>
  <c r="DG48" i="19" l="1"/>
  <c r="V145" i="24" s="1"/>
  <c r="V147" i="24" s="1"/>
  <c r="DG18" i="23"/>
  <c r="L45" i="23" s="1"/>
  <c r="K17" i="25" s="1"/>
  <c r="DG36" i="19"/>
  <c r="DG47" i="20" s="1"/>
  <c r="L137" i="20" s="1"/>
  <c r="DG30" i="9"/>
  <c r="DG31" i="9" s="1"/>
  <c r="DG32" i="9" s="1"/>
  <c r="DJ66" i="19"/>
  <c r="DJ43" i="19"/>
  <c r="DJ65" i="19"/>
  <c r="DM57" i="19"/>
  <c r="L92" i="20" l="1"/>
  <c r="L182" i="20"/>
  <c r="DG41" i="20"/>
  <c r="DG25" i="20"/>
  <c r="DG21" i="20"/>
  <c r="DG36" i="20"/>
  <c r="DG9" i="20"/>
  <c r="DG23" i="20"/>
  <c r="DG35" i="20"/>
  <c r="DG46" i="20"/>
  <c r="DG44" i="20"/>
  <c r="DG24" i="20"/>
  <c r="DG28" i="20"/>
  <c r="DG19" i="20"/>
  <c r="DG43" i="20"/>
  <c r="DG14" i="20"/>
  <c r="DG20" i="20"/>
  <c r="DG8" i="20"/>
  <c r="DG15" i="20"/>
  <c r="DG12" i="20"/>
  <c r="DG17" i="20"/>
  <c r="DG18" i="20"/>
  <c r="DG39" i="20"/>
  <c r="DG31" i="20"/>
  <c r="DG42" i="20"/>
  <c r="DG33" i="20"/>
  <c r="DG13" i="20"/>
  <c r="DG30" i="20"/>
  <c r="DG26" i="20"/>
  <c r="DG10" i="20"/>
  <c r="DG29" i="20"/>
  <c r="DG38" i="20"/>
  <c r="DG45" i="20"/>
  <c r="DG32" i="20"/>
  <c r="DG40" i="20"/>
  <c r="DG34" i="20"/>
  <c r="DG16" i="20"/>
  <c r="DG11" i="20"/>
  <c r="DG37" i="20"/>
  <c r="DG27" i="20"/>
  <c r="DG22" i="20"/>
  <c r="DJ59" i="19"/>
  <c r="L128" i="20" l="1"/>
  <c r="L83" i="20"/>
  <c r="L173" i="20"/>
  <c r="L67" i="20"/>
  <c r="L112" i="20"/>
  <c r="L157" i="20"/>
  <c r="L165" i="20"/>
  <c r="L75" i="20"/>
  <c r="L120" i="20"/>
  <c r="DG48" i="20"/>
  <c r="DG38" i="19"/>
  <c r="L143" i="20"/>
  <c r="L53" i="20"/>
  <c r="L98" i="20"/>
  <c r="L158" i="20"/>
  <c r="L68" i="20"/>
  <c r="L113" i="20"/>
  <c r="L151" i="20"/>
  <c r="L61" i="20"/>
  <c r="L106" i="20"/>
  <c r="L58" i="20"/>
  <c r="L148" i="20"/>
  <c r="L103" i="20"/>
  <c r="L110" i="20"/>
  <c r="L65" i="20"/>
  <c r="L155" i="20"/>
  <c r="L144" i="20"/>
  <c r="L99" i="20"/>
  <c r="L54" i="20"/>
  <c r="L108" i="20"/>
  <c r="L63" i="20"/>
  <c r="L153" i="20"/>
  <c r="L127" i="20"/>
  <c r="L82" i="20"/>
  <c r="L172" i="20"/>
  <c r="L104" i="20"/>
  <c r="L59" i="20"/>
  <c r="L149" i="20"/>
  <c r="L107" i="20"/>
  <c r="L62" i="20"/>
  <c r="L152" i="20"/>
  <c r="L105" i="20"/>
  <c r="L60" i="20"/>
  <c r="L150" i="20"/>
  <c r="L85" i="20"/>
  <c r="L130" i="20"/>
  <c r="L175" i="20"/>
  <c r="L133" i="20"/>
  <c r="L88" i="20"/>
  <c r="L178" i="20"/>
  <c r="L66" i="20"/>
  <c r="L156" i="20"/>
  <c r="L111" i="20"/>
  <c r="L114" i="20"/>
  <c r="L159" i="20"/>
  <c r="L69" i="20"/>
  <c r="L72" i="20"/>
  <c r="L117" i="20"/>
  <c r="L162" i="20"/>
  <c r="L55" i="20"/>
  <c r="L100" i="20"/>
  <c r="L145" i="20"/>
  <c r="L181" i="20"/>
  <c r="L136" i="20"/>
  <c r="L91" i="20"/>
  <c r="L80" i="20"/>
  <c r="L170" i="20"/>
  <c r="L125" i="20"/>
  <c r="L169" i="20"/>
  <c r="L79" i="20"/>
  <c r="L124" i="20"/>
  <c r="L126" i="20"/>
  <c r="L81" i="20"/>
  <c r="L171" i="20"/>
  <c r="L77" i="20"/>
  <c r="L167" i="20"/>
  <c r="L122" i="20"/>
  <c r="L166" i="20"/>
  <c r="L121" i="20"/>
  <c r="L76" i="20"/>
  <c r="L154" i="20"/>
  <c r="L64" i="20"/>
  <c r="L109" i="20"/>
  <c r="L160" i="20"/>
  <c r="L115" i="20"/>
  <c r="L70" i="20"/>
  <c r="L119" i="20"/>
  <c r="L74" i="20"/>
  <c r="L164" i="20"/>
  <c r="L179" i="20"/>
  <c r="L89" i="20"/>
  <c r="L134" i="20"/>
  <c r="L57" i="20"/>
  <c r="L147" i="20"/>
  <c r="L102" i="20"/>
  <c r="L161" i="20"/>
  <c r="L71" i="20"/>
  <c r="L116" i="20"/>
  <c r="L101" i="20"/>
  <c r="L146" i="20"/>
  <c r="L56" i="20"/>
  <c r="L123" i="20"/>
  <c r="L168" i="20"/>
  <c r="L78" i="20"/>
  <c r="L177" i="20"/>
  <c r="L87" i="20"/>
  <c r="L132" i="20"/>
  <c r="L180" i="20"/>
  <c r="L90" i="20"/>
  <c r="L135" i="20"/>
  <c r="L129" i="20"/>
  <c r="L174" i="20"/>
  <c r="L84" i="20"/>
  <c r="L118" i="20"/>
  <c r="L163" i="20"/>
  <c r="L73" i="20"/>
  <c r="L131" i="20"/>
  <c r="L176" i="20"/>
  <c r="L86" i="20"/>
  <c r="L138" i="20" l="1"/>
  <c r="L93" i="20"/>
  <c r="L183" i="20"/>
  <c r="DG41" i="19"/>
  <c r="DG39" i="19"/>
  <c r="DG40" i="19"/>
  <c r="DG8" i="26" l="1"/>
  <c r="DG42" i="19"/>
  <c r="V125" i="24" s="1"/>
  <c r="DG14" i="23"/>
  <c r="DG33" i="9"/>
  <c r="V72" i="24"/>
  <c r="V75" i="24" s="1"/>
  <c r="V110" i="24"/>
  <c r="DG18" i="26" l="1" a="1"/>
  <c r="DG18" i="26" s="1"/>
  <c r="DG10" i="26"/>
  <c r="DG11" i="26" s="1"/>
  <c r="DG16" i="26" a="1"/>
  <c r="DG16" i="26" s="1"/>
  <c r="DG17" i="26" s="1"/>
  <c r="V172" i="24"/>
  <c r="L40" i="23"/>
  <c r="K18" i="25" s="1"/>
  <c r="K50" i="31" s="1"/>
  <c r="V171" i="24"/>
  <c r="DG35" i="9"/>
  <c r="DG36" i="9" s="1"/>
  <c r="DG41" i="9" s="1"/>
  <c r="K51" i="31" l="1"/>
  <c r="K49" i="31"/>
  <c r="DG19" i="26"/>
  <c r="DG17" i="17"/>
  <c r="DG22" i="16"/>
  <c r="DG45" i="19"/>
  <c r="DG16" i="17"/>
  <c r="DG21" i="16"/>
  <c r="DG44" i="19"/>
  <c r="L21" i="26"/>
  <c r="DG13" i="26"/>
  <c r="DG17" i="23"/>
  <c r="L44" i="23" s="1"/>
  <c r="K22" i="25" s="1"/>
  <c r="K40" i="31" s="1"/>
  <c r="V173" i="24"/>
  <c r="DG39" i="9"/>
  <c r="DG40" i="9"/>
  <c r="DG38" i="9"/>
  <c r="DG20" i="16" s="1"/>
  <c r="DG12" i="22"/>
  <c r="V139" i="24"/>
  <c r="DG19" i="23"/>
  <c r="DG37" i="9"/>
  <c r="K41" i="31" l="1"/>
  <c r="K45" i="31" s="1"/>
  <c r="K39" i="31"/>
  <c r="K43" i="31" s="1"/>
  <c r="DG23" i="16"/>
  <c r="DG30" i="16" s="1"/>
  <c r="DG31" i="16" s="1"/>
  <c r="V153" i="24" s="1"/>
  <c r="DG18" i="17"/>
  <c r="DG24" i="17" s="1"/>
  <c r="DG25" i="17" s="1"/>
  <c r="V154" i="24" s="1"/>
  <c r="V113" i="24"/>
  <c r="V114" i="24" s="1"/>
  <c r="V116" i="24" s="1"/>
  <c r="V117" i="24" s="1"/>
  <c r="DG46" i="19"/>
  <c r="V126" i="24" s="1"/>
  <c r="V128" i="24"/>
  <c r="K44" i="31"/>
  <c r="DG15" i="26"/>
  <c r="L22" i="26"/>
  <c r="V138" i="24"/>
  <c r="V136" i="24"/>
  <c r="V137" i="24"/>
  <c r="DG17" i="22"/>
  <c r="DG18" i="22" s="1"/>
  <c r="V156" i="24" s="1"/>
  <c r="DG13" i="19" l="1"/>
  <c r="DG14" i="19" s="1"/>
  <c r="V140" i="24"/>
  <c r="DG15" i="23"/>
  <c r="L41" i="23" s="1"/>
  <c r="K19" i="25" s="1"/>
  <c r="K53" i="31" s="1"/>
  <c r="DG49" i="19"/>
  <c r="DG50" i="19" s="1"/>
  <c r="V155" i="24" s="1"/>
  <c r="V157" i="24" s="1"/>
  <c r="DG26" i="17"/>
  <c r="DG19" i="22"/>
  <c r="DG32" i="16"/>
  <c r="K54" i="31" l="1"/>
  <c r="K52" i="31"/>
  <c r="V129" i="24"/>
  <c r="V131" i="24" s="1"/>
  <c r="V176" i="24"/>
  <c r="V159" i="24"/>
  <c r="DG51" i="19"/>
  <c r="DG55" i="19" s="1"/>
  <c r="DG8" i="23" s="1"/>
  <c r="DG7" i="19"/>
  <c r="DG33" i="16"/>
  <c r="DG20" i="22"/>
  <c r="DG9" i="19"/>
  <c r="DG8" i="19"/>
  <c r="DG27" i="17"/>
  <c r="V132" i="24" l="1"/>
  <c r="V149" i="24"/>
  <c r="V150" i="24" s="1"/>
  <c r="DG10" i="19"/>
  <c r="DG11" i="19" s="1"/>
  <c r="DG53" i="19" s="1"/>
  <c r="DH16" i="19" s="1"/>
  <c r="DG7" i="23"/>
  <c r="DG29" i="17"/>
  <c r="DG30" i="17" s="1"/>
  <c r="DG28" i="17"/>
  <c r="DG6" i="23"/>
  <c r="DG35" i="16"/>
  <c r="DG36" i="16" s="1"/>
  <c r="DG34" i="16"/>
  <c r="DG9" i="23"/>
  <c r="DG22" i="22"/>
  <c r="DG23" i="22" s="1"/>
  <c r="DG21" i="22"/>
  <c r="V162" i="24" l="1"/>
  <c r="V163" i="24" s="1"/>
  <c r="DG10" i="23"/>
  <c r="DH17" i="19"/>
  <c r="V175" i="24" l="1"/>
  <c r="V177" i="24" s="1"/>
  <c r="DH21" i="19"/>
  <c r="DH19" i="19"/>
  <c r="DH20" i="19"/>
  <c r="DG12" i="23"/>
  <c r="DG13" i="23" s="1"/>
  <c r="L42" i="23"/>
  <c r="K20" i="25" s="1"/>
  <c r="K56" i="31" s="1"/>
  <c r="DG11" i="23"/>
  <c r="K57" i="31" l="1"/>
  <c r="K55" i="31"/>
  <c r="DH22" i="19"/>
  <c r="DH24" i="19" s="1"/>
  <c r="DH12" i="26"/>
  <c r="DH14" i="26"/>
  <c r="DH29" i="19" l="1"/>
  <c r="DH30" i="19"/>
  <c r="DH25" i="19"/>
  <c r="DK56" i="19" l="1"/>
  <c r="DI27" i="19"/>
  <c r="DH35" i="19"/>
  <c r="DH47" i="19"/>
  <c r="DH16" i="23"/>
  <c r="DH48" i="19" l="1"/>
  <c r="DH18" i="23"/>
  <c r="DH36" i="19"/>
  <c r="DH47" i="20" s="1"/>
  <c r="DH30" i="9"/>
  <c r="DH31" i="9" s="1"/>
  <c r="DH32" i="9" s="1"/>
  <c r="DK66" i="19"/>
  <c r="DK65" i="19"/>
  <c r="DN57" i="19"/>
  <c r="DK43" i="19"/>
  <c r="DH27" i="20" l="1"/>
  <c r="DH31" i="20"/>
  <c r="DH13" i="20"/>
  <c r="DH30" i="20"/>
  <c r="DH28" i="20"/>
  <c r="DH8" i="20"/>
  <c r="DH29" i="20"/>
  <c r="DH17" i="20"/>
  <c r="DH22" i="20"/>
  <c r="DH36" i="20"/>
  <c r="DH21" i="20"/>
  <c r="DH37" i="20"/>
  <c r="DH25" i="20"/>
  <c r="DH11" i="20"/>
  <c r="DH43" i="20"/>
  <c r="DH15" i="20"/>
  <c r="DH34" i="20"/>
  <c r="DH23" i="20"/>
  <c r="DH42" i="20"/>
  <c r="DH14" i="20"/>
  <c r="DH10" i="20"/>
  <c r="DH40" i="20"/>
  <c r="DH45" i="20"/>
  <c r="DH32" i="20"/>
  <c r="DH9" i="20"/>
  <c r="DH18" i="20"/>
  <c r="DH39" i="20"/>
  <c r="DH16" i="20"/>
  <c r="DH26" i="20"/>
  <c r="DH46" i="20"/>
  <c r="DH33" i="20"/>
  <c r="DH38" i="20"/>
  <c r="DH44" i="20"/>
  <c r="DH35" i="20"/>
  <c r="DH41" i="20"/>
  <c r="DH20" i="20"/>
  <c r="DH24" i="20"/>
  <c r="DH12" i="20"/>
  <c r="DH19" i="20"/>
  <c r="DK59" i="19"/>
  <c r="DH48" i="20" l="1"/>
  <c r="DH38" i="19"/>
  <c r="DH41" i="19" l="1"/>
  <c r="DH40" i="19"/>
  <c r="DH39" i="19"/>
  <c r="DH8" i="26" l="1"/>
  <c r="DH42" i="19"/>
  <c r="DH14" i="23"/>
  <c r="DH33" i="9"/>
  <c r="DH18" i="26" l="1" a="1"/>
  <c r="DH18" i="26" s="1"/>
  <c r="DH10" i="26"/>
  <c r="DH11" i="26" s="1"/>
  <c r="DH16" i="26" a="1"/>
  <c r="DH16" i="26" s="1"/>
  <c r="DH35" i="9"/>
  <c r="DH36" i="9" s="1"/>
  <c r="DH38" i="9" s="1"/>
  <c r="DH19" i="26" l="1"/>
  <c r="DH17" i="17"/>
  <c r="DH22" i="16"/>
  <c r="DH45" i="19"/>
  <c r="DH13" i="26"/>
  <c r="DH17" i="23"/>
  <c r="DH16" i="17"/>
  <c r="DH21" i="16"/>
  <c r="DH44" i="19"/>
  <c r="DH17" i="26"/>
  <c r="DH39" i="9"/>
  <c r="DH41" i="9"/>
  <c r="DH12" i="22" s="1"/>
  <c r="DH20" i="16"/>
  <c r="DH40" i="9"/>
  <c r="DH19" i="23"/>
  <c r="DH37" i="9"/>
  <c r="DH23" i="16" l="1"/>
  <c r="DH30" i="16" s="1"/>
  <c r="DH31" i="16" s="1"/>
  <c r="DH32" i="16" s="1"/>
  <c r="DH18" i="17"/>
  <c r="DH46" i="19"/>
  <c r="DH15" i="26"/>
  <c r="DH17" i="22"/>
  <c r="DH18" i="22" s="1"/>
  <c r="DH15" i="23" l="1"/>
  <c r="DH24" i="17"/>
  <c r="DH25" i="17" s="1"/>
  <c r="DH26" i="17" s="1"/>
  <c r="DH7" i="19"/>
  <c r="DH33" i="16"/>
  <c r="DH19" i="22"/>
  <c r="DH49" i="19"/>
  <c r="DH50" i="19" s="1"/>
  <c r="DH13" i="19"/>
  <c r="DH14" i="19" s="1"/>
  <c r="DH20" i="22" l="1"/>
  <c r="DH9" i="19"/>
  <c r="DH6" i="23"/>
  <c r="DH35" i="16"/>
  <c r="DH36" i="16" s="1"/>
  <c r="DH34" i="16"/>
  <c r="DH8" i="19"/>
  <c r="DH27" i="17"/>
  <c r="DH51" i="19"/>
  <c r="DH7" i="23" l="1"/>
  <c r="DH29" i="17"/>
  <c r="DH30" i="17" s="1"/>
  <c r="DH28" i="17"/>
  <c r="DH55" i="19"/>
  <c r="DH8" i="23" s="1"/>
  <c r="DH10" i="19"/>
  <c r="DH11" i="19" s="1"/>
  <c r="DH53" i="19" s="1"/>
  <c r="DI16" i="19" s="1"/>
  <c r="DH9" i="23"/>
  <c r="DH22" i="22"/>
  <c r="DH23" i="22" s="1"/>
  <c r="DH21" i="22"/>
  <c r="DH10" i="23" l="1"/>
  <c r="DH12" i="23" s="1"/>
  <c r="DH13" i="23" s="1"/>
  <c r="DI17" i="19"/>
  <c r="DI21" i="19" l="1"/>
  <c r="DI19" i="19"/>
  <c r="DI20" i="19"/>
  <c r="DH11" i="23"/>
  <c r="DI22" i="19" l="1"/>
  <c r="DI24" i="19" s="1"/>
  <c r="DI12" i="26"/>
  <c r="DI14" i="26"/>
  <c r="DI29" i="19" l="1"/>
  <c r="DI30" i="19"/>
  <c r="DI25" i="19"/>
  <c r="DL56" i="19" l="1"/>
  <c r="DJ27" i="19"/>
  <c r="DI35" i="19"/>
  <c r="DI47" i="19"/>
  <c r="DI16" i="23"/>
  <c r="DI48" i="19" l="1"/>
  <c r="DI18" i="23"/>
  <c r="DI36" i="19"/>
  <c r="DI47" i="20" s="1"/>
  <c r="DI30" i="9"/>
  <c r="DI31" i="9" s="1"/>
  <c r="DI32" i="9" s="1"/>
  <c r="DL43" i="19"/>
  <c r="DO57" i="19"/>
  <c r="DL65" i="19"/>
  <c r="DL66" i="19"/>
  <c r="DI28" i="20" l="1"/>
  <c r="DI22" i="20"/>
  <c r="DI20" i="20"/>
  <c r="DI44" i="20"/>
  <c r="DI43" i="20"/>
  <c r="DI34" i="20"/>
  <c r="DI33" i="20"/>
  <c r="DI39" i="20"/>
  <c r="DI38" i="20"/>
  <c r="DI11" i="20"/>
  <c r="DI41" i="20"/>
  <c r="DI32" i="20"/>
  <c r="DI27" i="20"/>
  <c r="DI24" i="20"/>
  <c r="DI45" i="20"/>
  <c r="DI17" i="20"/>
  <c r="DI18" i="20"/>
  <c r="DI40" i="20"/>
  <c r="DI19" i="20"/>
  <c r="DI23" i="20"/>
  <c r="DI25" i="20"/>
  <c r="DI13" i="20"/>
  <c r="DI35" i="20"/>
  <c r="DI15" i="20"/>
  <c r="DI16" i="20"/>
  <c r="DI21" i="20"/>
  <c r="DI12" i="20"/>
  <c r="DI46" i="20"/>
  <c r="DI8" i="20"/>
  <c r="DI37" i="20"/>
  <c r="DI31" i="20"/>
  <c r="DI10" i="20"/>
  <c r="DI14" i="20"/>
  <c r="DI36" i="20"/>
  <c r="DI26" i="20"/>
  <c r="DI42" i="20"/>
  <c r="DI30" i="20"/>
  <c r="DI9" i="20"/>
  <c r="DI29" i="20"/>
  <c r="DL59" i="19"/>
  <c r="DI48" i="20" l="1"/>
  <c r="DI38" i="19"/>
  <c r="DI40" i="19" l="1"/>
  <c r="DI41" i="19"/>
  <c r="DI39" i="19"/>
  <c r="DI8" i="26" l="1"/>
  <c r="DI42" i="19"/>
  <c r="DI14" i="23"/>
  <c r="DI33" i="9"/>
  <c r="DI18" i="26" l="1" a="1"/>
  <c r="DI18" i="26" s="1"/>
  <c r="DI10" i="26"/>
  <c r="DI11" i="26" s="1"/>
  <c r="DI16" i="26" a="1"/>
  <c r="DI16" i="26" s="1"/>
  <c r="DI35" i="9"/>
  <c r="DI36" i="9" s="1"/>
  <c r="DI40" i="9" s="1"/>
  <c r="DI17" i="17" l="1"/>
  <c r="DI22" i="16"/>
  <c r="DI45" i="19"/>
  <c r="DI19" i="26"/>
  <c r="DI16" i="17"/>
  <c r="DI21" i="16"/>
  <c r="DI44" i="19"/>
  <c r="DI17" i="26"/>
  <c r="DI13" i="26"/>
  <c r="DI17" i="23"/>
  <c r="DI41" i="9"/>
  <c r="DI12" i="22" s="1"/>
  <c r="DI39" i="9"/>
  <c r="DI19" i="23"/>
  <c r="DI37" i="9"/>
  <c r="DI38" i="9"/>
  <c r="DI18" i="17" l="1"/>
  <c r="DI46" i="19"/>
  <c r="DI49" i="19" s="1"/>
  <c r="DI50" i="19" s="1"/>
  <c r="DI51" i="19" s="1"/>
  <c r="DI15" i="26"/>
  <c r="DI20" i="16"/>
  <c r="DI23" i="16" s="1"/>
  <c r="DI17" i="22"/>
  <c r="DI18" i="22" s="1"/>
  <c r="DI55" i="19" l="1"/>
  <c r="DI8" i="23" s="1"/>
  <c r="DI10" i="19"/>
  <c r="DI19" i="22"/>
  <c r="DI15" i="23"/>
  <c r="DI30" i="16"/>
  <c r="DI31" i="16" s="1"/>
  <c r="DI13" i="19"/>
  <c r="DI14" i="19" s="1"/>
  <c r="DI24" i="17"/>
  <c r="DI25" i="17" s="1"/>
  <c r="DI26" i="17" s="1"/>
  <c r="DI32" i="16" l="1"/>
  <c r="DI20" i="22"/>
  <c r="DI9" i="19"/>
  <c r="DI8" i="19"/>
  <c r="DI27" i="17"/>
  <c r="DI22" i="22" l="1"/>
  <c r="DI23" i="22" s="1"/>
  <c r="DI9" i="23"/>
  <c r="DI21" i="22"/>
  <c r="DI7" i="23"/>
  <c r="DI29" i="17"/>
  <c r="DI30" i="17" s="1"/>
  <c r="DI28" i="17"/>
  <c r="DI7" i="19"/>
  <c r="DI11" i="19" s="1"/>
  <c r="DI53" i="19" s="1"/>
  <c r="DJ16" i="19" s="1"/>
  <c r="DI33" i="16"/>
  <c r="DJ17" i="19" l="1"/>
  <c r="DI6" i="23"/>
  <c r="DI10" i="23" s="1"/>
  <c r="DI35" i="16"/>
  <c r="DI36" i="16" s="1"/>
  <c r="DI34" i="16"/>
  <c r="DJ21" i="19" l="1"/>
  <c r="DJ19" i="19"/>
  <c r="DJ20" i="19"/>
  <c r="DI12" i="23"/>
  <c r="DI13" i="23" s="1"/>
  <c r="DI11" i="23"/>
  <c r="DJ22" i="19" l="1"/>
  <c r="DJ24" i="19" s="1"/>
  <c r="DJ12" i="26"/>
  <c r="DJ14" i="26"/>
  <c r="DJ29" i="19" l="1"/>
  <c r="DJ30" i="19"/>
  <c r="DJ25" i="19"/>
  <c r="DK27" i="19" l="1"/>
  <c r="DM56" i="19"/>
  <c r="DJ35" i="19"/>
  <c r="DJ47" i="19"/>
  <c r="DJ16" i="23"/>
  <c r="DJ48" i="19" l="1"/>
  <c r="DJ18" i="23"/>
  <c r="DJ36" i="19"/>
  <c r="DJ47" i="20" s="1"/>
  <c r="DJ30" i="9"/>
  <c r="DJ31" i="9" s="1"/>
  <c r="DJ32" i="9" s="1"/>
  <c r="DP57" i="19"/>
  <c r="DM65" i="19"/>
  <c r="DM66" i="19"/>
  <c r="DM43" i="19"/>
  <c r="DM59" i="19" l="1"/>
  <c r="DJ28" i="20"/>
  <c r="DJ44" i="20"/>
  <c r="DJ30" i="20"/>
  <c r="DJ41" i="20"/>
  <c r="DJ18" i="20"/>
  <c r="DJ39" i="20"/>
  <c r="DJ10" i="20"/>
  <c r="DJ46" i="20"/>
  <c r="DJ33" i="20"/>
  <c r="DJ9" i="20"/>
  <c r="DJ43" i="20"/>
  <c r="DJ27" i="20"/>
  <c r="DJ32" i="20"/>
  <c r="DJ34" i="20"/>
  <c r="DJ8" i="20"/>
  <c r="DJ13" i="20"/>
  <c r="DJ36" i="20"/>
  <c r="DJ26" i="20"/>
  <c r="DJ21" i="20"/>
  <c r="DJ37" i="20"/>
  <c r="DJ24" i="20"/>
  <c r="DJ20" i="20"/>
  <c r="DJ35" i="20"/>
  <c r="DJ12" i="20"/>
  <c r="DJ16" i="20"/>
  <c r="DJ31" i="20"/>
  <c r="DJ29" i="20"/>
  <c r="DJ17" i="20"/>
  <c r="DJ19" i="20"/>
  <c r="DJ40" i="20"/>
  <c r="DJ38" i="20"/>
  <c r="DJ42" i="20"/>
  <c r="DJ22" i="20"/>
  <c r="DJ14" i="20"/>
  <c r="DJ45" i="20"/>
  <c r="DJ15" i="20"/>
  <c r="DJ23" i="20"/>
  <c r="DJ11" i="20"/>
  <c r="DJ25" i="20"/>
  <c r="DJ48" i="20" l="1"/>
  <c r="DJ38" i="19"/>
  <c r="DJ39" i="19" l="1"/>
  <c r="DJ41" i="19"/>
  <c r="DJ40" i="19"/>
  <c r="DJ8" i="26" l="1"/>
  <c r="DJ42" i="19"/>
  <c r="DJ14" i="23"/>
  <c r="DJ33" i="9"/>
  <c r="DJ18" i="26" l="1" a="1"/>
  <c r="DJ18" i="26" s="1"/>
  <c r="DJ10" i="26"/>
  <c r="DJ11" i="26" s="1"/>
  <c r="DJ16" i="26" a="1"/>
  <c r="DJ16" i="26" s="1"/>
  <c r="DJ17" i="26" s="1"/>
  <c r="DJ35" i="9"/>
  <c r="DJ36" i="9" s="1"/>
  <c r="DJ38" i="9" s="1"/>
  <c r="DJ19" i="26" l="1"/>
  <c r="DJ17" i="17"/>
  <c r="DJ22" i="16"/>
  <c r="DJ45" i="19"/>
  <c r="DJ17" i="23"/>
  <c r="DJ13" i="26"/>
  <c r="DJ16" i="17"/>
  <c r="DJ21" i="16"/>
  <c r="DJ44" i="19"/>
  <c r="DJ39" i="9"/>
  <c r="DJ41" i="9"/>
  <c r="DJ12" i="22" s="1"/>
  <c r="DJ20" i="16"/>
  <c r="DJ19" i="23"/>
  <c r="DJ37" i="9"/>
  <c r="DJ40" i="9"/>
  <c r="DJ18" i="17" l="1"/>
  <c r="DJ24" i="17" s="1"/>
  <c r="DJ25" i="17" s="1"/>
  <c r="DJ46" i="19"/>
  <c r="DJ23" i="16"/>
  <c r="DJ30" i="16" s="1"/>
  <c r="DJ31" i="16" s="1"/>
  <c r="DJ15" i="26"/>
  <c r="DJ17" i="22"/>
  <c r="DJ18" i="22" s="1"/>
  <c r="DJ19" i="22" s="1"/>
  <c r="DJ15" i="23" l="1"/>
  <c r="DJ20" i="22"/>
  <c r="DJ9" i="19"/>
  <c r="DJ26" i="17"/>
  <c r="DJ49" i="19"/>
  <c r="DJ50" i="19" s="1"/>
  <c r="DJ51" i="19" s="1"/>
  <c r="DJ13" i="19"/>
  <c r="DJ14" i="19" s="1"/>
  <c r="DJ32" i="16"/>
  <c r="DJ55" i="19" l="1"/>
  <c r="DJ8" i="23" s="1"/>
  <c r="DJ10" i="19"/>
  <c r="DJ8" i="19"/>
  <c r="DJ27" i="17"/>
  <c r="DJ7" i="19"/>
  <c r="DJ33" i="16"/>
  <c r="DJ22" i="22"/>
  <c r="DJ23" i="22" s="1"/>
  <c r="DJ9" i="23"/>
  <c r="DJ21" i="22"/>
  <c r="DJ11" i="19" l="1"/>
  <c r="DJ53" i="19" s="1"/>
  <c r="DJ7" i="23"/>
  <c r="DJ29" i="17"/>
  <c r="DJ30" i="17" s="1"/>
  <c r="DJ28" i="17"/>
  <c r="DJ6" i="23"/>
  <c r="DJ35" i="16"/>
  <c r="DJ36" i="16" s="1"/>
  <c r="DJ34" i="16"/>
  <c r="DK16" i="19" l="1"/>
  <c r="DK17" i="19" s="1"/>
  <c r="DJ10" i="23"/>
  <c r="DJ11" i="23" s="1"/>
  <c r="DK19" i="19" l="1"/>
  <c r="DK20" i="19"/>
  <c r="DK21" i="19"/>
  <c r="DK12" i="26" s="1"/>
  <c r="DJ12" i="23"/>
  <c r="DJ13" i="23" s="1"/>
  <c r="DK22" i="19" l="1"/>
  <c r="DK24" i="19" s="1"/>
  <c r="DK29" i="19" s="1"/>
  <c r="DK14" i="26"/>
  <c r="DK25" i="19" l="1"/>
  <c r="DN56" i="19" s="1"/>
  <c r="DK30" i="19"/>
  <c r="DK16" i="23" s="1"/>
  <c r="DK47" i="19"/>
  <c r="DK35" i="19" l="1"/>
  <c r="DK36" i="19" s="1"/>
  <c r="DK47" i="20" s="1"/>
  <c r="DL27" i="19"/>
  <c r="DK48" i="19"/>
  <c r="DQ57" i="19"/>
  <c r="DN65" i="19"/>
  <c r="DN66" i="19"/>
  <c r="DN43" i="19"/>
  <c r="DK18" i="23" l="1"/>
  <c r="DK30" i="9"/>
  <c r="DK31" i="9" s="1"/>
  <c r="DK32" i="9" s="1"/>
  <c r="DN59" i="19"/>
  <c r="DK25" i="20"/>
  <c r="DK46" i="20"/>
  <c r="DK10" i="20"/>
  <c r="DK44" i="20"/>
  <c r="DK23" i="20"/>
  <c r="DK41" i="20"/>
  <c r="DK42" i="20"/>
  <c r="DK20" i="20"/>
  <c r="DK37" i="20"/>
  <c r="DK40" i="20"/>
  <c r="DK19" i="20"/>
  <c r="DK18" i="20"/>
  <c r="DK13" i="20"/>
  <c r="DK22" i="20"/>
  <c r="DK8" i="20"/>
  <c r="DK32" i="20"/>
  <c r="DK36" i="20"/>
  <c r="DK14" i="20"/>
  <c r="DK27" i="20"/>
  <c r="DK30" i="20"/>
  <c r="DK26" i="20"/>
  <c r="DK43" i="20"/>
  <c r="DK24" i="20"/>
  <c r="DK35" i="20"/>
  <c r="DK9" i="20"/>
  <c r="DK11" i="20"/>
  <c r="DK34" i="20"/>
  <c r="DK31" i="20"/>
  <c r="DK15" i="20"/>
  <c r="DK39" i="20"/>
  <c r="DK38" i="20"/>
  <c r="DK16" i="20"/>
  <c r="DK17" i="20"/>
  <c r="DK29" i="20"/>
  <c r="DK45" i="20"/>
  <c r="DK12" i="20"/>
  <c r="DK33" i="20"/>
  <c r="DK21" i="20"/>
  <c r="DK28" i="20"/>
  <c r="DK48" i="20" l="1"/>
  <c r="DK38" i="19"/>
  <c r="DK40" i="19" l="1"/>
  <c r="DK41" i="19"/>
  <c r="DK39" i="19"/>
  <c r="DK8" i="26" l="1"/>
  <c r="DK42" i="19"/>
  <c r="DK33" i="9"/>
  <c r="DK14" i="23"/>
  <c r="DK18" i="26" l="1" a="1"/>
  <c r="DK18" i="26" s="1"/>
  <c r="DK10" i="26"/>
  <c r="DK11" i="26" s="1"/>
  <c r="DK16" i="26" a="1"/>
  <c r="DK16" i="26" s="1"/>
  <c r="DK35" i="9"/>
  <c r="DK36" i="9" s="1"/>
  <c r="DK19" i="26" l="1"/>
  <c r="DK17" i="17"/>
  <c r="DK22" i="16"/>
  <c r="DK45" i="19"/>
  <c r="DK16" i="17"/>
  <c r="DK21" i="16"/>
  <c r="DK44" i="19"/>
  <c r="DK17" i="26"/>
  <c r="DK13" i="26"/>
  <c r="DK17" i="23"/>
  <c r="DK19" i="23"/>
  <c r="DK37" i="9"/>
  <c r="DK40" i="9"/>
  <c r="DK38" i="9"/>
  <c r="DK41" i="9"/>
  <c r="DK39" i="9"/>
  <c r="DK18" i="17" l="1"/>
  <c r="DK46" i="19"/>
  <c r="DK15" i="26"/>
  <c r="DK12" i="22"/>
  <c r="DK20" i="16"/>
  <c r="DK23" i="16" s="1"/>
  <c r="DK15" i="23" l="1"/>
  <c r="DK30" i="16"/>
  <c r="DK31" i="16" s="1"/>
  <c r="DK32" i="16" s="1"/>
  <c r="DK13" i="19"/>
  <c r="DK14" i="19" s="1"/>
  <c r="DK49" i="19"/>
  <c r="DK50" i="19" s="1"/>
  <c r="DK51" i="19" s="1"/>
  <c r="DK24" i="17"/>
  <c r="DK25" i="17" s="1"/>
  <c r="DK26" i="17" s="1"/>
  <c r="DK17" i="22"/>
  <c r="DK18" i="22" s="1"/>
  <c r="DK19" i="22" s="1"/>
  <c r="DK20" i="22" l="1"/>
  <c r="DK9" i="19"/>
  <c r="DK8" i="19"/>
  <c r="DK27" i="17"/>
  <c r="DK55" i="19"/>
  <c r="DK8" i="23" s="1"/>
  <c r="DK10" i="19"/>
  <c r="DK7" i="19"/>
  <c r="DK33" i="16"/>
  <c r="DK11" i="19" l="1"/>
  <c r="DK53" i="19" s="1"/>
  <c r="DK6" i="23"/>
  <c r="DK35" i="16"/>
  <c r="DK36" i="16" s="1"/>
  <c r="DK34" i="16"/>
  <c r="DK7" i="23"/>
  <c r="DK29" i="17"/>
  <c r="DK30" i="17" s="1"/>
  <c r="DK28" i="17"/>
  <c r="DK22" i="22"/>
  <c r="DK23" i="22" s="1"/>
  <c r="DK9" i="23"/>
  <c r="DK21" i="22"/>
  <c r="DL16" i="19" l="1"/>
  <c r="DL17" i="19" s="1"/>
  <c r="DK10" i="23"/>
  <c r="DL20" i="19" l="1"/>
  <c r="DL19" i="19"/>
  <c r="DL21" i="19"/>
  <c r="DL12" i="26" s="1"/>
  <c r="DK12" i="23"/>
  <c r="DK13" i="23" s="1"/>
  <c r="DK11" i="23"/>
  <c r="DL14" i="26" l="1"/>
  <c r="DL22" i="19"/>
  <c r="DL24" i="19" s="1"/>
  <c r="DL30" i="19" s="1"/>
  <c r="DL29" i="19" l="1"/>
  <c r="DL47" i="19" s="1"/>
  <c r="DL25" i="19"/>
  <c r="DO56" i="19" s="1"/>
  <c r="DM27" i="19" l="1"/>
  <c r="DL16" i="23"/>
  <c r="DL35" i="19"/>
  <c r="DL18" i="23" s="1"/>
  <c r="DL48" i="19"/>
  <c r="DO65" i="19"/>
  <c r="DR57" i="19"/>
  <c r="DO66" i="19"/>
  <c r="DO43" i="19"/>
  <c r="DL30" i="9" l="1"/>
  <c r="DL31" i="9" s="1"/>
  <c r="DL32" i="9" s="1"/>
  <c r="DL36" i="19"/>
  <c r="DL47" i="20" s="1"/>
  <c r="DO59" i="19"/>
  <c r="DL42" i="20"/>
  <c r="DL33" i="20"/>
  <c r="DL41" i="20"/>
  <c r="DL37" i="20"/>
  <c r="DL46" i="20"/>
  <c r="DL29" i="20"/>
  <c r="DL24" i="20"/>
  <c r="DL9" i="20"/>
  <c r="DL38" i="20"/>
  <c r="DL13" i="20"/>
  <c r="DL10" i="20"/>
  <c r="DL30" i="20"/>
  <c r="DL12" i="20"/>
  <c r="DL28" i="20" l="1"/>
  <c r="DL23" i="20"/>
  <c r="DL25" i="20"/>
  <c r="DL18" i="20"/>
  <c r="DL43" i="20"/>
  <c r="DL19" i="20"/>
  <c r="DL26" i="20"/>
  <c r="DL11" i="20"/>
  <c r="DL17" i="20"/>
  <c r="DL44" i="20"/>
  <c r="DL20" i="20"/>
  <c r="DL21" i="20"/>
  <c r="DL45" i="20"/>
  <c r="DL22" i="20"/>
  <c r="DL35" i="20"/>
  <c r="DL36" i="20"/>
  <c r="DL16" i="20"/>
  <c r="DL8" i="20"/>
  <c r="DL31" i="20"/>
  <c r="DL39" i="20"/>
  <c r="DL40" i="20"/>
  <c r="DL15" i="20"/>
  <c r="DL34" i="20"/>
  <c r="DL27" i="20"/>
  <c r="DL14" i="20"/>
  <c r="DL32" i="20"/>
  <c r="DL48" i="20" l="1"/>
  <c r="DL38" i="19"/>
  <c r="DL39" i="19" s="1"/>
  <c r="DL41" i="19" l="1"/>
  <c r="DL40" i="19"/>
  <c r="DL8" i="26"/>
  <c r="DL42" i="19"/>
  <c r="DL33" i="9"/>
  <c r="DL14" i="23"/>
  <c r="DL18" i="26" l="1" a="1"/>
  <c r="DL18" i="26" s="1"/>
  <c r="DL10" i="26"/>
  <c r="DL11" i="26" s="1"/>
  <c r="DL16" i="26" a="1"/>
  <c r="DL16" i="26" s="1"/>
  <c r="DL17" i="26" s="1"/>
  <c r="DL35" i="9"/>
  <c r="DL36" i="9" s="1"/>
  <c r="DL38" i="9" s="1"/>
  <c r="DL19" i="26" l="1"/>
  <c r="DL17" i="17"/>
  <c r="DL22" i="16"/>
  <c r="DL45" i="19"/>
  <c r="DL13" i="26"/>
  <c r="DL17" i="23"/>
  <c r="DL16" i="17"/>
  <c r="DL21" i="16"/>
  <c r="DL44" i="19"/>
  <c r="DL40" i="9"/>
  <c r="DL39" i="9"/>
  <c r="DL41" i="9"/>
  <c r="DL12" i="22" s="1"/>
  <c r="DL20" i="16"/>
  <c r="DL19" i="23"/>
  <c r="DL37" i="9"/>
  <c r="DL46" i="19" l="1"/>
  <c r="DL18" i="17"/>
  <c r="DL24" i="17" s="1"/>
  <c r="DL25" i="17" s="1"/>
  <c r="DL26" i="17" s="1"/>
  <c r="DL23" i="16"/>
  <c r="DL30" i="16" s="1"/>
  <c r="DL31" i="16" s="1"/>
  <c r="DL32" i="16" s="1"/>
  <c r="DL15" i="26"/>
  <c r="DL17" i="22"/>
  <c r="DL18" i="22" s="1"/>
  <c r="DL19" i="22" s="1"/>
  <c r="DL13" i="19" l="1"/>
  <c r="DL14" i="19" s="1"/>
  <c r="DL15" i="23"/>
  <c r="DL49" i="19"/>
  <c r="DL50" i="19" s="1"/>
  <c r="DL51" i="19" s="1"/>
  <c r="DL55" i="19" s="1"/>
  <c r="DL8" i="23" s="1"/>
  <c r="DL7" i="19"/>
  <c r="DL33" i="16"/>
  <c r="DL20" i="22"/>
  <c r="DL9" i="19"/>
  <c r="DL8" i="19"/>
  <c r="DL27" i="17"/>
  <c r="DL10" i="19" l="1"/>
  <c r="DL11" i="19" s="1"/>
  <c r="DL53" i="19" s="1"/>
  <c r="DM16" i="19" s="1"/>
  <c r="DL7" i="23"/>
  <c r="DL29" i="17"/>
  <c r="DL30" i="17" s="1"/>
  <c r="DL28" i="17"/>
  <c r="DL9" i="23"/>
  <c r="DL22" i="22"/>
  <c r="DL23" i="22" s="1"/>
  <c r="DL21" i="22"/>
  <c r="DL6" i="23"/>
  <c r="DL35" i="16"/>
  <c r="DL36" i="16" s="1"/>
  <c r="DL34" i="16"/>
  <c r="DL10" i="23" l="1"/>
  <c r="DL12" i="23" s="1"/>
  <c r="DL13" i="23" s="1"/>
  <c r="DM17" i="19"/>
  <c r="DM20" i="19" l="1"/>
  <c r="DM19" i="19"/>
  <c r="DM21" i="19"/>
  <c r="DL11" i="23"/>
  <c r="DM22" i="19" l="1"/>
  <c r="DM24" i="19" s="1"/>
  <c r="DM12" i="26"/>
  <c r="DM14" i="26"/>
  <c r="DM30" i="19" l="1"/>
  <c r="DM29" i="19"/>
  <c r="DM25" i="19"/>
  <c r="DN27" i="19" l="1"/>
  <c r="DP56" i="19"/>
  <c r="DM35" i="19"/>
  <c r="DM47" i="19"/>
  <c r="DM16" i="23"/>
  <c r="DM48" i="19" l="1"/>
  <c r="DM18" i="23"/>
  <c r="DM36" i="19"/>
  <c r="DM47" i="20" s="1"/>
  <c r="DM30" i="9"/>
  <c r="DM31" i="9" s="1"/>
  <c r="DM32" i="9" s="1"/>
  <c r="DP66" i="19"/>
  <c r="DP65" i="19"/>
  <c r="DS57" i="19"/>
  <c r="DP43" i="19"/>
  <c r="DP59" i="19" l="1"/>
  <c r="DM29" i="20"/>
  <c r="DM34" i="20"/>
  <c r="DM21" i="20"/>
  <c r="DM19" i="20"/>
  <c r="DM38" i="20"/>
  <c r="DM12" i="20"/>
  <c r="DM30" i="20"/>
  <c r="DM33" i="20"/>
  <c r="DM10" i="20"/>
  <c r="DM43" i="20"/>
  <c r="DM35" i="20"/>
  <c r="DM40" i="20"/>
  <c r="DM15" i="20"/>
  <c r="DM28" i="20"/>
  <c r="DM9" i="20"/>
  <c r="DM8" i="20"/>
  <c r="DM37" i="20"/>
  <c r="DM18" i="20"/>
  <c r="DM24" i="20"/>
  <c r="DM22" i="20"/>
  <c r="DM17" i="20"/>
  <c r="DM42" i="20"/>
  <c r="DM26" i="20"/>
  <c r="DM11" i="20"/>
  <c r="DM14" i="20"/>
  <c r="DM46" i="20"/>
  <c r="DM16" i="20"/>
  <c r="DM36" i="20"/>
  <c r="DM31" i="20"/>
  <c r="DM45" i="20"/>
  <c r="DM44" i="20"/>
  <c r="DM20" i="20"/>
  <c r="DM13" i="20"/>
  <c r="DM41" i="20"/>
  <c r="DM27" i="20"/>
  <c r="DM39" i="20"/>
  <c r="DM23" i="20"/>
  <c r="DM25" i="20"/>
  <c r="DM32" i="20"/>
  <c r="DM48" i="20" l="1"/>
  <c r="DM38" i="19"/>
  <c r="DM39" i="19" l="1"/>
  <c r="DM40" i="19"/>
  <c r="DM41" i="19"/>
  <c r="DM8" i="26" l="1"/>
  <c r="DM42" i="19"/>
  <c r="DM33" i="9"/>
  <c r="DM14" i="23"/>
  <c r="DM18" i="26" l="1" a="1"/>
  <c r="DM18" i="26" s="1"/>
  <c r="DM10" i="26"/>
  <c r="DM11" i="26" s="1"/>
  <c r="DM16" i="26" a="1"/>
  <c r="DM16" i="26" s="1"/>
  <c r="DM35" i="9"/>
  <c r="DM36" i="9" s="1"/>
  <c r="DM19" i="26" l="1"/>
  <c r="DM17" i="17"/>
  <c r="DM22" i="16"/>
  <c r="DM45" i="19"/>
  <c r="DM16" i="17"/>
  <c r="DM21" i="16"/>
  <c r="DM44" i="19"/>
  <c r="DM17" i="23"/>
  <c r="DM13" i="26"/>
  <c r="DM17" i="26"/>
  <c r="DM19" i="23"/>
  <c r="DM37" i="9"/>
  <c r="DM40" i="9"/>
  <c r="DM38" i="9"/>
  <c r="DM20" i="16" s="1"/>
  <c r="DM41" i="9"/>
  <c r="DM12" i="22" s="1"/>
  <c r="DM39" i="9"/>
  <c r="DM23" i="16" l="1"/>
  <c r="DM46" i="19"/>
  <c r="DM49" i="19" s="1"/>
  <c r="DM50" i="19" s="1"/>
  <c r="DM51" i="19" s="1"/>
  <c r="DM18" i="17"/>
  <c r="DM24" i="17" s="1"/>
  <c r="DM25" i="17" s="1"/>
  <c r="DM26" i="17" s="1"/>
  <c r="DM15" i="26"/>
  <c r="DM17" i="22"/>
  <c r="DM18" i="22" s="1"/>
  <c r="DM19" i="22" s="1"/>
  <c r="DM15" i="23" l="1"/>
  <c r="DM13" i="19"/>
  <c r="DM14" i="19" s="1"/>
  <c r="DM30" i="16"/>
  <c r="DM31" i="16" s="1"/>
  <c r="DM32" i="16" s="1"/>
  <c r="DM7" i="19" s="1"/>
  <c r="DM55" i="19"/>
  <c r="DM8" i="23" s="1"/>
  <c r="DM10" i="19"/>
  <c r="DM8" i="19"/>
  <c r="DM27" i="17"/>
  <c r="DM20" i="22"/>
  <c r="DM9" i="19"/>
  <c r="DM33" i="16" l="1"/>
  <c r="DM6" i="23" s="1"/>
  <c r="DM9" i="23"/>
  <c r="DM22" i="22"/>
  <c r="DM23" i="22" s="1"/>
  <c r="DM21" i="22"/>
  <c r="DM7" i="23"/>
  <c r="DM29" i="17"/>
  <c r="DM30" i="17" s="1"/>
  <c r="DM28" i="17"/>
  <c r="DM11" i="19"/>
  <c r="DM53" i="19" s="1"/>
  <c r="DN16" i="19" s="1"/>
  <c r="DM34" i="16" l="1"/>
  <c r="DM35" i="16"/>
  <c r="DM36" i="16" s="1"/>
  <c r="DN17" i="19"/>
  <c r="DM10" i="23"/>
  <c r="DN19" i="19" l="1"/>
  <c r="DN21" i="19"/>
  <c r="DN20" i="19"/>
  <c r="DM12" i="23"/>
  <c r="DM13" i="23" s="1"/>
  <c r="DM11" i="23"/>
  <c r="DN22" i="19" l="1"/>
  <c r="DN24" i="19" s="1"/>
  <c r="DN12" i="26"/>
  <c r="DN14" i="26"/>
  <c r="DN30" i="19" l="1"/>
  <c r="DN29" i="19"/>
  <c r="DN25" i="19"/>
  <c r="DQ56" i="19" l="1"/>
  <c r="DO27" i="19"/>
  <c r="DN35" i="19"/>
  <c r="DN47" i="19"/>
  <c r="DN16" i="23"/>
  <c r="DN48" i="19" l="1"/>
  <c r="DN18" i="23"/>
  <c r="DN36" i="19"/>
  <c r="DN47" i="20" s="1"/>
  <c r="DN30" i="9"/>
  <c r="DN31" i="9" s="1"/>
  <c r="DN32" i="9" s="1"/>
  <c r="DQ65" i="19"/>
  <c r="DQ66" i="19"/>
  <c r="DQ43" i="19"/>
  <c r="DQ59" i="19" l="1"/>
  <c r="DN28" i="20"/>
  <c r="DN23" i="20"/>
  <c r="DN38" i="20"/>
  <c r="DN46" i="20"/>
  <c r="DN18" i="20"/>
  <c r="DN14" i="20"/>
  <c r="DN35" i="20"/>
  <c r="DN15" i="20"/>
  <c r="DN43" i="20"/>
  <c r="DN40" i="20"/>
  <c r="DN44" i="20"/>
  <c r="DN32" i="20"/>
  <c r="DN36" i="20"/>
  <c r="DN19" i="20"/>
  <c r="DN45" i="20"/>
  <c r="DN20" i="20"/>
  <c r="DN16" i="20"/>
  <c r="DN10" i="20"/>
  <c r="DN27" i="20"/>
  <c r="DN13" i="20"/>
  <c r="DN30" i="20"/>
  <c r="DN25" i="20"/>
  <c r="DN17" i="20"/>
  <c r="DN41" i="20"/>
  <c r="DN12" i="20"/>
  <c r="DN26" i="20"/>
  <c r="DN42" i="20"/>
  <c r="DN31" i="20"/>
  <c r="DN29" i="20"/>
  <c r="DN8" i="20"/>
  <c r="DN11" i="20"/>
  <c r="DN34" i="20"/>
  <c r="DN33" i="20"/>
  <c r="DN22" i="20"/>
  <c r="DN24" i="20"/>
  <c r="DN21" i="20"/>
  <c r="DN39" i="20"/>
  <c r="DN37" i="20"/>
  <c r="DN9" i="20"/>
  <c r="DN48" i="20" l="1"/>
  <c r="DN38" i="19"/>
  <c r="DN39" i="19" l="1"/>
  <c r="DN41" i="19"/>
  <c r="DN40" i="19"/>
  <c r="DN8" i="26" l="1"/>
  <c r="DN42" i="19"/>
  <c r="DN14" i="23"/>
  <c r="DN33" i="9"/>
  <c r="DN18" i="26" l="1" a="1"/>
  <c r="DN18" i="26" s="1"/>
  <c r="DN10" i="26"/>
  <c r="DN11" i="26" s="1"/>
  <c r="DN16" i="26" a="1"/>
  <c r="DN16" i="26" s="1"/>
  <c r="DN17" i="26" s="1"/>
  <c r="DN35" i="9"/>
  <c r="DN36" i="9" s="1"/>
  <c r="DN40" i="9" s="1"/>
  <c r="DN19" i="26" l="1"/>
  <c r="DN17" i="17"/>
  <c r="DN22" i="16"/>
  <c r="DN45" i="19"/>
  <c r="DN16" i="17"/>
  <c r="DN21" i="16"/>
  <c r="DN44" i="19"/>
  <c r="DN13" i="26"/>
  <c r="DN17" i="23"/>
  <c r="DN38" i="9"/>
  <c r="DN20" i="16" s="1"/>
  <c r="DN19" i="23"/>
  <c r="DN37" i="9"/>
  <c r="DN39" i="9"/>
  <c r="DN41" i="9"/>
  <c r="DN12" i="22" s="1"/>
  <c r="DN18" i="17" l="1"/>
  <c r="DN24" i="17" s="1"/>
  <c r="DN25" i="17" s="1"/>
  <c r="DN26" i="17" s="1"/>
  <c r="DN23" i="16"/>
  <c r="DN30" i="16" s="1"/>
  <c r="DN31" i="16" s="1"/>
  <c r="DN32" i="16" s="1"/>
  <c r="DN46" i="19"/>
  <c r="DN49" i="19" s="1"/>
  <c r="DN50" i="19" s="1"/>
  <c r="DN51" i="19" s="1"/>
  <c r="DN15" i="26"/>
  <c r="DN17" i="22"/>
  <c r="DN18" i="22" s="1"/>
  <c r="DN19" i="22" s="1"/>
  <c r="DN55" i="19" l="1"/>
  <c r="DN8" i="23" s="1"/>
  <c r="DN10" i="19"/>
  <c r="DN7" i="19"/>
  <c r="DN33" i="16"/>
  <c r="DN34" i="16" s="1"/>
  <c r="DN15" i="23"/>
  <c r="DN13" i="19"/>
  <c r="DN14" i="19" s="1"/>
  <c r="DN20" i="22"/>
  <c r="DN9" i="19"/>
  <c r="DN8" i="19"/>
  <c r="DN27" i="17"/>
  <c r="DN35" i="16" l="1"/>
  <c r="DN36" i="16" s="1"/>
  <c r="DN6" i="23"/>
  <c r="DN11" i="19"/>
  <c r="DN53" i="19" s="1"/>
  <c r="DN7" i="23"/>
  <c r="DN29" i="17"/>
  <c r="DN30" i="17" s="1"/>
  <c r="DN28" i="17"/>
  <c r="DN9" i="23"/>
  <c r="DN22" i="22"/>
  <c r="DN23" i="22" s="1"/>
  <c r="DN21" i="22"/>
  <c r="DO16" i="19" l="1"/>
  <c r="DO17" i="19" s="1"/>
  <c r="DN10" i="23"/>
  <c r="DN11" i="23" s="1"/>
  <c r="DO20" i="19" l="1"/>
  <c r="DO21" i="19"/>
  <c r="DO12" i="26" s="1"/>
  <c r="DO19" i="19"/>
  <c r="DN12" i="23"/>
  <c r="DN13" i="23" s="1"/>
  <c r="DO22" i="19" l="1"/>
  <c r="DO24" i="19" s="1"/>
  <c r="DO29" i="19" s="1"/>
  <c r="DO14" i="26"/>
  <c r="DO30" i="19" l="1"/>
  <c r="DO16" i="23" s="1"/>
  <c r="DO25" i="19"/>
  <c r="DP27" i="19" s="1"/>
  <c r="DO47" i="19"/>
  <c r="DR56" i="19" l="1"/>
  <c r="DR43" i="19" s="1"/>
  <c r="DO35" i="19"/>
  <c r="DO30" i="9" s="1"/>
  <c r="DO31" i="9" s="1"/>
  <c r="DO32" i="9" s="1"/>
  <c r="DO48" i="19"/>
  <c r="DR66" i="19" l="1"/>
  <c r="DR65" i="19"/>
  <c r="DO36" i="19"/>
  <c r="DO47" i="20" s="1"/>
  <c r="DO18" i="23"/>
  <c r="DO19" i="20"/>
  <c r="DO30" i="20"/>
  <c r="DO25" i="20"/>
  <c r="DO16" i="20"/>
  <c r="DO23" i="20"/>
  <c r="DO36" i="20"/>
  <c r="DO32" i="20"/>
  <c r="DO33" i="20"/>
  <c r="DO40" i="20"/>
  <c r="DO11" i="20"/>
  <c r="DO17" i="20"/>
  <c r="DO13" i="20"/>
  <c r="DO37" i="20"/>
  <c r="DO24" i="20"/>
  <c r="DO41" i="20"/>
  <c r="DO46" i="20" l="1"/>
  <c r="DO31" i="20"/>
  <c r="DO44" i="20"/>
  <c r="DO38" i="20"/>
  <c r="DO14" i="20"/>
  <c r="DO34" i="20"/>
  <c r="DR59" i="19"/>
  <c r="DO10" i="20"/>
  <c r="DO20" i="20"/>
  <c r="DO21" i="20"/>
  <c r="DO8" i="20"/>
  <c r="DO18" i="20"/>
  <c r="DO27" i="20"/>
  <c r="DO15" i="20"/>
  <c r="DO26" i="20"/>
  <c r="DO9" i="20"/>
  <c r="DO42" i="20"/>
  <c r="DO43" i="20"/>
  <c r="DO39" i="20"/>
  <c r="DO22" i="20"/>
  <c r="DO35" i="20"/>
  <c r="DO28" i="20"/>
  <c r="DO12" i="20"/>
  <c r="DO45" i="20"/>
  <c r="DO29" i="20"/>
  <c r="DO48" i="20" l="1"/>
  <c r="DO38" i="19"/>
  <c r="DO39" i="19" s="1"/>
  <c r="DO41" i="19" l="1"/>
  <c r="DO40" i="19"/>
  <c r="DO8" i="26"/>
  <c r="DO42" i="19"/>
  <c r="DO33" i="9"/>
  <c r="DO14" i="23"/>
  <c r="DO18" i="26" l="1" a="1"/>
  <c r="DO18" i="26" s="1"/>
  <c r="DO10" i="26"/>
  <c r="DO11" i="26" s="1"/>
  <c r="DO16" i="26" a="1"/>
  <c r="DO16" i="26" s="1"/>
  <c r="DO17" i="26" s="1"/>
  <c r="DO35" i="9"/>
  <c r="DO36" i="9" s="1"/>
  <c r="DO38" i="9" s="1"/>
  <c r="DO20" i="16" s="1"/>
  <c r="DO19" i="26" l="1"/>
  <c r="DO17" i="17"/>
  <c r="DO22" i="16"/>
  <c r="DO45" i="19"/>
  <c r="DO16" i="17"/>
  <c r="DO21" i="16"/>
  <c r="DO44" i="19"/>
  <c r="DO13" i="26"/>
  <c r="DO17" i="23"/>
  <c r="DO19" i="23"/>
  <c r="DO37" i="9"/>
  <c r="DO40" i="9"/>
  <c r="DO41" i="9"/>
  <c r="DO12" i="22" s="1"/>
  <c r="DO39" i="9"/>
  <c r="DO18" i="17" l="1"/>
  <c r="DO24" i="17" s="1"/>
  <c r="DO25" i="17" s="1"/>
  <c r="DO26" i="17" s="1"/>
  <c r="DO46" i="19"/>
  <c r="DO49" i="19" s="1"/>
  <c r="DO50" i="19" s="1"/>
  <c r="DO51" i="19" s="1"/>
  <c r="DO23" i="16"/>
  <c r="DO30" i="16" s="1"/>
  <c r="DO31" i="16" s="1"/>
  <c r="DO32" i="16" s="1"/>
  <c r="DO15" i="26"/>
  <c r="DO17" i="22"/>
  <c r="DO18" i="22" s="1"/>
  <c r="DO19" i="22" s="1"/>
  <c r="DO7" i="19" l="1"/>
  <c r="DO33" i="16"/>
  <c r="DO6" i="23" s="1"/>
  <c r="DO15" i="23"/>
  <c r="DO13" i="19"/>
  <c r="DO14" i="19" s="1"/>
  <c r="DO8" i="19"/>
  <c r="DO27" i="17"/>
  <c r="DO55" i="19"/>
  <c r="DO8" i="23" s="1"/>
  <c r="DO10" i="19"/>
  <c r="DO20" i="22"/>
  <c r="DO9" i="19"/>
  <c r="DO34" i="16" l="1"/>
  <c r="DO35" i="16"/>
  <c r="DO36" i="16" s="1"/>
  <c r="DO11" i="19"/>
  <c r="DO53" i="19" s="1"/>
  <c r="DO7" i="23"/>
  <c r="DO29" i="17"/>
  <c r="DO30" i="17" s="1"/>
  <c r="DO28" i="17"/>
  <c r="DO9" i="23"/>
  <c r="DO22" i="22"/>
  <c r="DO23" i="22" s="1"/>
  <c r="DO21" i="22"/>
  <c r="DP16" i="19" l="1"/>
  <c r="DP17" i="19" s="1"/>
  <c r="DO10" i="23"/>
  <c r="DO11" i="23" s="1"/>
  <c r="DP20" i="19" l="1"/>
  <c r="DP21" i="19"/>
  <c r="DP19" i="19"/>
  <c r="DO12" i="23"/>
  <c r="DO13" i="23" s="1"/>
  <c r="DP22" i="19" l="1"/>
  <c r="DP24" i="19" s="1"/>
  <c r="DP30" i="19" s="1"/>
  <c r="DP14" i="26"/>
  <c r="DP12" i="26"/>
  <c r="DP25" i="19" l="1"/>
  <c r="DQ27" i="19" s="1"/>
  <c r="DP29" i="19"/>
  <c r="DP16" i="23" s="1"/>
  <c r="DP47" i="19" l="1"/>
  <c r="DP48" i="19" s="1"/>
  <c r="DP35" i="19"/>
  <c r="DP18" i="23" s="1"/>
  <c r="DS56" i="19"/>
  <c r="DS66" i="19" s="1"/>
  <c r="DS43" i="19" l="1"/>
  <c r="DS65" i="19"/>
  <c r="DS59" i="19" s="1"/>
  <c r="DP36" i="19"/>
  <c r="DP47" i="20" s="1"/>
  <c r="DP30" i="9"/>
  <c r="DP31" i="9" s="1"/>
  <c r="DP32" i="9" s="1"/>
  <c r="DP34" i="20"/>
  <c r="DP33" i="20"/>
  <c r="DP32" i="20"/>
  <c r="DP31" i="20"/>
  <c r="DP30" i="20" l="1"/>
  <c r="DP38" i="20"/>
  <c r="DP17" i="20"/>
  <c r="DP45" i="20"/>
  <c r="DP16" i="20"/>
  <c r="DP42" i="20"/>
  <c r="DP24" i="20"/>
  <c r="DP12" i="20"/>
  <c r="DP35" i="20"/>
  <c r="DP43" i="20"/>
  <c r="DP27" i="20"/>
  <c r="DP44" i="20"/>
  <c r="DP23" i="20"/>
  <c r="DP40" i="20"/>
  <c r="DP25" i="20"/>
  <c r="DP22" i="20"/>
  <c r="DP26" i="20"/>
  <c r="DP29" i="20"/>
  <c r="DP36" i="20"/>
  <c r="DP28" i="20"/>
  <c r="DP46" i="20"/>
  <c r="DP13" i="20"/>
  <c r="DP21" i="20"/>
  <c r="DP11" i="20"/>
  <c r="DP14" i="20"/>
  <c r="DP9" i="20"/>
  <c r="DP19" i="20"/>
  <c r="DP10" i="20"/>
  <c r="DP18" i="20"/>
  <c r="DP39" i="20"/>
  <c r="DP8" i="20"/>
  <c r="DP41" i="20"/>
  <c r="DP20" i="20"/>
  <c r="DP37" i="20"/>
  <c r="DP15" i="20"/>
  <c r="DP38" i="19" l="1"/>
  <c r="DP41" i="19" s="1"/>
  <c r="DP48" i="20"/>
  <c r="DP40" i="19" l="1"/>
  <c r="DP39" i="19"/>
  <c r="DP33" i="9" s="1"/>
  <c r="DP8" i="26"/>
  <c r="DP14" i="23" l="1"/>
  <c r="DP42" i="19"/>
  <c r="DP18" i="26" a="1"/>
  <c r="DP18" i="26" s="1"/>
  <c r="DP10" i="26"/>
  <c r="DP11" i="26" s="1"/>
  <c r="DP16" i="26" a="1"/>
  <c r="DP16" i="26" s="1"/>
  <c r="DP35" i="9"/>
  <c r="DP36" i="9" s="1"/>
  <c r="DP19" i="26" l="1"/>
  <c r="DP17" i="17"/>
  <c r="DP22" i="16"/>
  <c r="DP45" i="19"/>
  <c r="DP16" i="17"/>
  <c r="DP21" i="16"/>
  <c r="DP44" i="19"/>
  <c r="DP17" i="26"/>
  <c r="DP13" i="26"/>
  <c r="DP17" i="23"/>
  <c r="DP19" i="23"/>
  <c r="DP37" i="9"/>
  <c r="DP38" i="9"/>
  <c r="DP20" i="16" s="1"/>
  <c r="DP39" i="9"/>
  <c r="DP40" i="9"/>
  <c r="DP41" i="9"/>
  <c r="DP12" i="22" s="1"/>
  <c r="DP46" i="19" l="1"/>
  <c r="DP49" i="19" s="1"/>
  <c r="DP50" i="19" s="1"/>
  <c r="DP51" i="19" s="1"/>
  <c r="DP18" i="17"/>
  <c r="DP24" i="17" s="1"/>
  <c r="DP25" i="17" s="1"/>
  <c r="DP26" i="17" s="1"/>
  <c r="DP23" i="16"/>
  <c r="DP30" i="16" s="1"/>
  <c r="DP31" i="16" s="1"/>
  <c r="DP32" i="16" s="1"/>
  <c r="DP15" i="26"/>
  <c r="DP17" i="22"/>
  <c r="DP18" i="22" s="1"/>
  <c r="DP19" i="22" s="1"/>
  <c r="DP15" i="23" l="1"/>
  <c r="DP13" i="19"/>
  <c r="DP14" i="19" s="1"/>
  <c r="DP20" i="22"/>
  <c r="DP9" i="19"/>
  <c r="DP7" i="19"/>
  <c r="DP33" i="16"/>
  <c r="DP8" i="19"/>
  <c r="DP27" i="17"/>
  <c r="DP55" i="19"/>
  <c r="DP8" i="23" s="1"/>
  <c r="DP10" i="19"/>
  <c r="DP7" i="23" l="1"/>
  <c r="DP29" i="17"/>
  <c r="DP30" i="17" s="1"/>
  <c r="DP28" i="17"/>
  <c r="DP6" i="23"/>
  <c r="DP35" i="16"/>
  <c r="DP36" i="16" s="1"/>
  <c r="DP34" i="16"/>
  <c r="DP11" i="19"/>
  <c r="DP53" i="19" s="1"/>
  <c r="DQ16" i="19" s="1"/>
  <c r="DP9" i="23"/>
  <c r="DP22" i="22"/>
  <c r="DP23" i="22" s="1"/>
  <c r="DP21" i="22"/>
  <c r="DQ17" i="19" l="1"/>
  <c r="DP10" i="23"/>
  <c r="DQ20" i="19" l="1"/>
  <c r="DQ19" i="19"/>
  <c r="DQ21" i="19"/>
  <c r="DP12" i="23"/>
  <c r="DP13" i="23" s="1"/>
  <c r="DP11" i="23"/>
  <c r="DQ22" i="19" l="1"/>
  <c r="DQ24" i="19" s="1"/>
  <c r="DQ12" i="26"/>
  <c r="DQ14" i="26"/>
  <c r="DQ30" i="19" l="1"/>
  <c r="DQ29" i="19"/>
  <c r="DQ25" i="19"/>
  <c r="DQ47" i="19" l="1"/>
  <c r="DQ16" i="23"/>
  <c r="DR27" i="19"/>
  <c r="DQ35" i="19"/>
  <c r="DQ18" i="23" l="1"/>
  <c r="DQ36" i="19"/>
  <c r="DQ47" i="20" s="1"/>
  <c r="DQ30" i="9"/>
  <c r="DQ31" i="9" s="1"/>
  <c r="DQ32" i="9" s="1"/>
  <c r="DQ48" i="19"/>
  <c r="DQ10" i="20" l="1"/>
  <c r="DQ36" i="20"/>
  <c r="DQ14" i="20"/>
  <c r="DQ46" i="20"/>
  <c r="DQ34" i="20"/>
  <c r="DQ8" i="20"/>
  <c r="DQ9" i="20"/>
  <c r="DQ30" i="20"/>
  <c r="DQ35" i="20"/>
  <c r="DQ38" i="20"/>
  <c r="DQ42" i="20"/>
  <c r="DQ25" i="20"/>
  <c r="DQ44" i="20"/>
  <c r="DQ20" i="20"/>
  <c r="DQ13" i="20"/>
  <c r="DQ40" i="20"/>
  <c r="DQ39" i="20"/>
  <c r="DQ22" i="20"/>
  <c r="DQ24" i="20"/>
  <c r="DQ18" i="20"/>
  <c r="DQ17" i="20"/>
  <c r="DQ43" i="20"/>
  <c r="DQ26" i="20"/>
  <c r="DQ45" i="20"/>
  <c r="DQ41" i="20"/>
  <c r="DQ33" i="20"/>
  <c r="DQ21" i="20"/>
  <c r="DQ28" i="20"/>
  <c r="DQ32" i="20"/>
  <c r="DQ11" i="20"/>
  <c r="DQ15" i="20"/>
  <c r="DQ27" i="20"/>
  <c r="DQ29" i="20"/>
  <c r="DQ19" i="20"/>
  <c r="DQ12" i="20"/>
  <c r="DQ37" i="20"/>
  <c r="DQ31" i="20"/>
  <c r="DQ16" i="20"/>
  <c r="DQ23" i="20"/>
  <c r="DQ48" i="20" l="1"/>
  <c r="DQ38" i="19"/>
  <c r="DQ40" i="19" l="1"/>
  <c r="DQ41" i="19"/>
  <c r="DQ39" i="19"/>
  <c r="DQ8" i="26" l="1"/>
  <c r="DQ42" i="19"/>
  <c r="DQ14" i="23"/>
  <c r="DQ33" i="9"/>
  <c r="DQ18" i="26" l="1" a="1"/>
  <c r="DQ18" i="26" s="1"/>
  <c r="DQ10" i="26"/>
  <c r="DQ11" i="26" s="1"/>
  <c r="DQ16" i="26" a="1"/>
  <c r="DQ16" i="26" s="1"/>
  <c r="DQ17" i="26" s="1"/>
  <c r="DQ35" i="9"/>
  <c r="DQ36" i="9" s="1"/>
  <c r="DQ39" i="9" s="1"/>
  <c r="DQ19" i="26" l="1"/>
  <c r="DQ17" i="17"/>
  <c r="DQ22" i="16"/>
  <c r="DQ45" i="19"/>
  <c r="DQ13" i="26"/>
  <c r="DQ17" i="23"/>
  <c r="DQ16" i="17"/>
  <c r="DQ21" i="16"/>
  <c r="DQ44" i="19"/>
  <c r="DQ19" i="23"/>
  <c r="DQ37" i="9"/>
  <c r="DQ40" i="9"/>
  <c r="DQ38" i="9"/>
  <c r="DQ20" i="16" s="1"/>
  <c r="DQ41" i="9"/>
  <c r="DQ12" i="22" s="1"/>
  <c r="DQ46" i="19" l="1"/>
  <c r="DQ49" i="19" s="1"/>
  <c r="DQ50" i="19" s="1"/>
  <c r="DQ51" i="19" s="1"/>
  <c r="DQ23" i="16"/>
  <c r="DQ30" i="16" s="1"/>
  <c r="DQ31" i="16" s="1"/>
  <c r="DQ32" i="16" s="1"/>
  <c r="DQ18" i="17"/>
  <c r="DQ24" i="17" s="1"/>
  <c r="DQ25" i="17" s="1"/>
  <c r="DQ26" i="17" s="1"/>
  <c r="DQ15" i="26"/>
  <c r="DQ17" i="22"/>
  <c r="DQ18" i="22" s="1"/>
  <c r="DQ19" i="22" s="1"/>
  <c r="DQ27" i="17" l="1"/>
  <c r="DQ7" i="23" s="1"/>
  <c r="DQ8" i="19"/>
  <c r="DQ15" i="23"/>
  <c r="DQ13" i="19"/>
  <c r="DQ14" i="19" s="1"/>
  <c r="DQ7" i="19"/>
  <c r="DQ33" i="16"/>
  <c r="DQ55" i="19"/>
  <c r="DQ8" i="23" s="1"/>
  <c r="DQ10" i="19"/>
  <c r="DQ20" i="22"/>
  <c r="DQ9" i="19"/>
  <c r="DQ28" i="17" l="1"/>
  <c r="DQ29" i="17"/>
  <c r="DQ30" i="17" s="1"/>
  <c r="DQ9" i="23"/>
  <c r="DQ22" i="22"/>
  <c r="DQ23" i="22" s="1"/>
  <c r="DQ21" i="22"/>
  <c r="DQ6" i="23"/>
  <c r="DQ35" i="16"/>
  <c r="DQ36" i="16" s="1"/>
  <c r="DQ34" i="16"/>
  <c r="DQ11" i="19"/>
  <c r="DQ53" i="19" s="1"/>
  <c r="DR16" i="19" s="1"/>
  <c r="DQ10" i="23" l="1"/>
  <c r="DQ12" i="23" s="1"/>
  <c r="DQ13" i="23" s="1"/>
  <c r="DR17" i="19"/>
  <c r="DR20" i="19" l="1"/>
  <c r="DR21" i="19"/>
  <c r="DR19" i="19"/>
  <c r="DQ11" i="23"/>
  <c r="DR22" i="19" l="1"/>
  <c r="DR24" i="19" s="1"/>
  <c r="DR12" i="26"/>
  <c r="DR14" i="26"/>
  <c r="DR30" i="19" l="1"/>
  <c r="DR29" i="19"/>
  <c r="DR25" i="19"/>
  <c r="DS27" i="19" l="1"/>
  <c r="DR35" i="19"/>
  <c r="DR47" i="19"/>
  <c r="DR16" i="23"/>
  <c r="DR48" i="19" l="1"/>
  <c r="DR18" i="23"/>
  <c r="DR36" i="19"/>
  <c r="DR47" i="20" s="1"/>
  <c r="DR30" i="9"/>
  <c r="DR31" i="9" s="1"/>
  <c r="DR32" i="9" s="1"/>
  <c r="DR9" i="20" l="1"/>
  <c r="DR8" i="20"/>
  <c r="DR36" i="20"/>
  <c r="DR37" i="20"/>
  <c r="DR16" i="20"/>
  <c r="DR17" i="20"/>
  <c r="DR19" i="20"/>
  <c r="DR42" i="20"/>
  <c r="DR20" i="20"/>
  <c r="DR18" i="20"/>
  <c r="DR31" i="20"/>
  <c r="DR11" i="20"/>
  <c r="DR38" i="20"/>
  <c r="DR24" i="20"/>
  <c r="DR14" i="20"/>
  <c r="DR34" i="20"/>
  <c r="DR28" i="20"/>
  <c r="DR43" i="20"/>
  <c r="DR29" i="20"/>
  <c r="DR15" i="20"/>
  <c r="DR40" i="20"/>
  <c r="DR27" i="20"/>
  <c r="DR10" i="20"/>
  <c r="DR33" i="20"/>
  <c r="DR13" i="20"/>
  <c r="DR23" i="20"/>
  <c r="DR44" i="20"/>
  <c r="DR46" i="20"/>
  <c r="DR39" i="20"/>
  <c r="DR26" i="20"/>
  <c r="DR12" i="20"/>
  <c r="DR32" i="20"/>
  <c r="DR41" i="20"/>
  <c r="DR35" i="20"/>
  <c r="DR45" i="20"/>
  <c r="DR25" i="20"/>
  <c r="DR22" i="20"/>
  <c r="DR21" i="20"/>
  <c r="DR30" i="20"/>
  <c r="DR48" i="20" l="1"/>
  <c r="DR38" i="19"/>
  <c r="DR41" i="19" l="1"/>
  <c r="DR40" i="19"/>
  <c r="DR39" i="19"/>
  <c r="DR8" i="26" l="1"/>
  <c r="DR42" i="19"/>
  <c r="DR33" i="9"/>
  <c r="DR14" i="23"/>
  <c r="DR18" i="26" l="1" a="1"/>
  <c r="DR18" i="26" s="1"/>
  <c r="DR10" i="26"/>
  <c r="DR11" i="26" s="1"/>
  <c r="DR16" i="26" a="1"/>
  <c r="DR16" i="26" s="1"/>
  <c r="DR17" i="26" s="1"/>
  <c r="DR35" i="9"/>
  <c r="DR36" i="9" s="1"/>
  <c r="DR39" i="9" s="1"/>
  <c r="DR17" i="17" l="1"/>
  <c r="DR22" i="16"/>
  <c r="DR45" i="19"/>
  <c r="DR19" i="26"/>
  <c r="DR16" i="17"/>
  <c r="DR21" i="16"/>
  <c r="DR44" i="19"/>
  <c r="DR13" i="26"/>
  <c r="DR17" i="23"/>
  <c r="DR19" i="23"/>
  <c r="DR37" i="9"/>
  <c r="DR40" i="9"/>
  <c r="DR38" i="9"/>
  <c r="DR20" i="16" s="1"/>
  <c r="DR41" i="9"/>
  <c r="DR12" i="22" s="1"/>
  <c r="DR23" i="16" l="1"/>
  <c r="DR46" i="19"/>
  <c r="DR49" i="19" s="1"/>
  <c r="DR50" i="19" s="1"/>
  <c r="DR51" i="19" s="1"/>
  <c r="DR18" i="17"/>
  <c r="DR24" i="17" s="1"/>
  <c r="DR25" i="17" s="1"/>
  <c r="DR26" i="17" s="1"/>
  <c r="DR15" i="26"/>
  <c r="DR17" i="22"/>
  <c r="DR18" i="22" s="1"/>
  <c r="DR19" i="22" s="1"/>
  <c r="DR8" i="19" l="1"/>
  <c r="DR27" i="17"/>
  <c r="DR29" i="17" s="1"/>
  <c r="DR30" i="17" s="1"/>
  <c r="DR15" i="23"/>
  <c r="DR13" i="19"/>
  <c r="DR14" i="19" s="1"/>
  <c r="DR30" i="16"/>
  <c r="DR31" i="16" s="1"/>
  <c r="DR32" i="16" s="1"/>
  <c r="DR33" i="16" s="1"/>
  <c r="DR20" i="22"/>
  <c r="DR9" i="19"/>
  <c r="DR55" i="19"/>
  <c r="DR8" i="23" s="1"/>
  <c r="DR10" i="19"/>
  <c r="DR7" i="23" l="1"/>
  <c r="DR28" i="17"/>
  <c r="DR7" i="19"/>
  <c r="DR11" i="19" s="1"/>
  <c r="DR53" i="19" s="1"/>
  <c r="DS16" i="19" s="1"/>
  <c r="DR9" i="23"/>
  <c r="DR22" i="22"/>
  <c r="DR23" i="22" s="1"/>
  <c r="DR21" i="22"/>
  <c r="DR6" i="23"/>
  <c r="DR35" i="16"/>
  <c r="DR36" i="16" s="1"/>
  <c r="DR34" i="16"/>
  <c r="DR10" i="23" l="1"/>
  <c r="DR12" i="23" s="1"/>
  <c r="DR13" i="23" s="1"/>
  <c r="DS17" i="19"/>
  <c r="DS21" i="19" l="1"/>
  <c r="DS19" i="19"/>
  <c r="DS20" i="19"/>
  <c r="DR11" i="23"/>
  <c r="DS22" i="19" l="1"/>
  <c r="DS12" i="26"/>
  <c r="DS14" i="26"/>
  <c r="DS24" i="19" l="1"/>
  <c r="DS30" i="19" s="1"/>
  <c r="M23" i="26"/>
  <c r="DS29" i="19" l="1"/>
  <c r="C24" i="23" s="1"/>
  <c r="DS25" i="19"/>
  <c r="C58" i="19" s="1"/>
  <c r="G49" i="18"/>
  <c r="C37" i="20" s="1"/>
  <c r="G58" i="18"/>
  <c r="C46" i="20" s="1"/>
  <c r="G51" i="18"/>
  <c r="C39" i="20" s="1"/>
  <c r="G39" i="18"/>
  <c r="C27" i="20" s="1"/>
  <c r="G24" i="18"/>
  <c r="C12" i="20" s="1"/>
  <c r="G40" i="18"/>
  <c r="C28" i="20" s="1"/>
  <c r="G34" i="18"/>
  <c r="C22" i="20" s="1"/>
  <c r="G44" i="18"/>
  <c r="C32" i="20" s="1"/>
  <c r="G25" i="18"/>
  <c r="C13" i="20" s="1"/>
  <c r="G36" i="18"/>
  <c r="C24" i="20" s="1"/>
  <c r="G38" i="18"/>
  <c r="C26" i="20" s="1"/>
  <c r="G37" i="18"/>
  <c r="C25" i="20" s="1"/>
  <c r="G56" i="18"/>
  <c r="C44" i="20" s="1"/>
  <c r="G46" i="18"/>
  <c r="C34" i="20" s="1"/>
  <c r="G32" i="18"/>
  <c r="C20" i="20" s="1"/>
  <c r="G53" i="18"/>
  <c r="C41" i="20" s="1"/>
  <c r="G59" i="18"/>
  <c r="C47" i="20" s="1"/>
  <c r="G50" i="18"/>
  <c r="C38" i="20" s="1"/>
  <c r="G26" i="18"/>
  <c r="C14" i="20" s="1"/>
  <c r="G47" i="18"/>
  <c r="C35" i="20" s="1"/>
  <c r="G20" i="18"/>
  <c r="C8" i="20" s="1"/>
  <c r="G48" i="18"/>
  <c r="C36" i="20" s="1"/>
  <c r="G35" i="18"/>
  <c r="C23" i="20" s="1"/>
  <c r="G22" i="18"/>
  <c r="C10" i="20" s="1"/>
  <c r="G21" i="18"/>
  <c r="C9" i="20" s="1"/>
  <c r="G30" i="18"/>
  <c r="C18" i="20" s="1"/>
  <c r="G54" i="18"/>
  <c r="C42" i="20" s="1"/>
  <c r="G42" i="18"/>
  <c r="C30" i="20" s="1"/>
  <c r="G29" i="18"/>
  <c r="C17" i="20" s="1"/>
  <c r="G33" i="18"/>
  <c r="C21" i="20" s="1"/>
  <c r="G52" i="18"/>
  <c r="C40" i="20" s="1"/>
  <c r="G43" i="18"/>
  <c r="C31" i="20" s="1"/>
  <c r="G27" i="18"/>
  <c r="C15" i="20" s="1"/>
  <c r="G28" i="18"/>
  <c r="C16" i="20" s="1"/>
  <c r="G45" i="18"/>
  <c r="C33" i="20" s="1"/>
  <c r="G41" i="18"/>
  <c r="C29" i="20" s="1"/>
  <c r="G31" i="18"/>
  <c r="C19" i="20" s="1"/>
  <c r="G55" i="18"/>
  <c r="C43" i="20" s="1"/>
  <c r="G57" i="18"/>
  <c r="C45" i="20" s="1"/>
  <c r="G23" i="18"/>
  <c r="C11" i="20" s="1"/>
  <c r="DS35" i="19"/>
  <c r="DS16" i="23"/>
  <c r="D31" i="31"/>
  <c r="D181" i="31" s="1"/>
  <c r="C60" i="19"/>
  <c r="DS47" i="19" l="1"/>
  <c r="DS48" i="19" s="1"/>
  <c r="W145" i="24" s="1"/>
  <c r="W147" i="24" s="1"/>
  <c r="E31" i="31"/>
  <c r="E181" i="31" s="1"/>
  <c r="C31" i="31"/>
  <c r="C181" i="31" s="1"/>
  <c r="D13" i="25"/>
  <c r="C10" i="31"/>
  <c r="DS18" i="23"/>
  <c r="C59" i="19"/>
  <c r="DS36" i="19"/>
  <c r="DS47" i="20" s="1"/>
  <c r="M92" i="20" s="1"/>
  <c r="N92" i="20" s="1"/>
  <c r="DS30" i="9"/>
  <c r="DS31" i="9" s="1"/>
  <c r="DS32" i="9" s="1"/>
  <c r="C22" i="23"/>
  <c r="D29" i="31" s="1"/>
  <c r="D182" i="31" s="1"/>
  <c r="D183" i="31" s="1"/>
  <c r="M43" i="23"/>
  <c r="L21" i="25" s="1"/>
  <c r="E29" i="31" l="1"/>
  <c r="E182" i="31" s="1"/>
  <c r="E183" i="31" s="1"/>
  <c r="C29" i="31"/>
  <c r="C182" i="31" s="1"/>
  <c r="C183" i="31" s="1"/>
  <c r="M182" i="20"/>
  <c r="N182" i="20" s="1"/>
  <c r="M137" i="20"/>
  <c r="N137" i="20" s="1"/>
  <c r="C37" i="23"/>
  <c r="C38" i="23" s="1"/>
  <c r="C8" i="31"/>
  <c r="DS27" i="20"/>
  <c r="DS35" i="20"/>
  <c r="DS33" i="20"/>
  <c r="DS19" i="20"/>
  <c r="DS38" i="20"/>
  <c r="DS8" i="20"/>
  <c r="DS26" i="20"/>
  <c r="DS32" i="20"/>
  <c r="DS42" i="20"/>
  <c r="DS44" i="20"/>
  <c r="DS41" i="20"/>
  <c r="DS23" i="20"/>
  <c r="DS29" i="20"/>
  <c r="DS15" i="20"/>
  <c r="DS18" i="20"/>
  <c r="DS24" i="20"/>
  <c r="DS22" i="20"/>
  <c r="DS10" i="20"/>
  <c r="DS9" i="20"/>
  <c r="DS20" i="20"/>
  <c r="DS34" i="20"/>
  <c r="DS16" i="20"/>
  <c r="DS43" i="20"/>
  <c r="DS36" i="20"/>
  <c r="DS12" i="20"/>
  <c r="DS17" i="20"/>
  <c r="DS13" i="20"/>
  <c r="DS46" i="20"/>
  <c r="DS28" i="20"/>
  <c r="DS21" i="20"/>
  <c r="DS11" i="20"/>
  <c r="DS40" i="20"/>
  <c r="DS30" i="20"/>
  <c r="DS37" i="20"/>
  <c r="DS14" i="20"/>
  <c r="DS45" i="20"/>
  <c r="DS31" i="20"/>
  <c r="DS25" i="20"/>
  <c r="DS39" i="20"/>
  <c r="M45" i="23"/>
  <c r="L17" i="25" s="1"/>
  <c r="C33" i="23"/>
  <c r="D22" i="31" s="1"/>
  <c r="E22" i="31" l="1"/>
  <c r="C22" i="31"/>
  <c r="D7" i="25"/>
  <c r="M76" i="20"/>
  <c r="N76" i="20" s="1"/>
  <c r="M121" i="20"/>
  <c r="N121" i="20" s="1"/>
  <c r="M166" i="20"/>
  <c r="N166" i="20" s="1"/>
  <c r="M67" i="20"/>
  <c r="N67" i="20" s="1"/>
  <c r="M157" i="20"/>
  <c r="N157" i="20" s="1"/>
  <c r="M112" i="20"/>
  <c r="N112" i="20" s="1"/>
  <c r="M69" i="20"/>
  <c r="N69" i="20" s="1"/>
  <c r="M114" i="20"/>
  <c r="N114" i="20" s="1"/>
  <c r="M159" i="20"/>
  <c r="N159" i="20" s="1"/>
  <c r="M63" i="20"/>
  <c r="N63" i="20" s="1"/>
  <c r="M153" i="20"/>
  <c r="N153" i="20" s="1"/>
  <c r="M108" i="20"/>
  <c r="N108" i="20" s="1"/>
  <c r="M171" i="20"/>
  <c r="N171" i="20" s="1"/>
  <c r="M126" i="20"/>
  <c r="N126" i="20" s="1"/>
  <c r="M81" i="20"/>
  <c r="N81" i="20" s="1"/>
  <c r="M172" i="20"/>
  <c r="N172" i="20" s="1"/>
  <c r="M82" i="20"/>
  <c r="N82" i="20" s="1"/>
  <c r="M127" i="20"/>
  <c r="N127" i="20" s="1"/>
  <c r="M105" i="20"/>
  <c r="N105" i="20" s="1"/>
  <c r="M150" i="20"/>
  <c r="N150" i="20" s="1"/>
  <c r="M60" i="20"/>
  <c r="N60" i="20" s="1"/>
  <c r="M109" i="20"/>
  <c r="N109" i="20" s="1"/>
  <c r="M64" i="20"/>
  <c r="N64" i="20" s="1"/>
  <c r="M154" i="20"/>
  <c r="N154" i="20" s="1"/>
  <c r="M75" i="20"/>
  <c r="N75" i="20" s="1"/>
  <c r="M165" i="20"/>
  <c r="N165" i="20" s="1"/>
  <c r="M120" i="20"/>
  <c r="N120" i="20" s="1"/>
  <c r="M178" i="20"/>
  <c r="N178" i="20" s="1"/>
  <c r="M133" i="20"/>
  <c r="N133" i="20" s="1"/>
  <c r="M88" i="20"/>
  <c r="N88" i="20" s="1"/>
  <c r="M119" i="20"/>
  <c r="N119" i="20" s="1"/>
  <c r="M74" i="20"/>
  <c r="N74" i="20" s="1"/>
  <c r="M164" i="20"/>
  <c r="N164" i="20" s="1"/>
  <c r="M168" i="20"/>
  <c r="N168" i="20" s="1"/>
  <c r="M123" i="20"/>
  <c r="N123" i="20" s="1"/>
  <c r="M78" i="20"/>
  <c r="N78" i="20" s="1"/>
  <c r="M73" i="20"/>
  <c r="N73" i="20" s="1"/>
  <c r="M163" i="20"/>
  <c r="N163" i="20" s="1"/>
  <c r="M118" i="20"/>
  <c r="N118" i="20" s="1"/>
  <c r="M91" i="20"/>
  <c r="N91" i="20" s="1"/>
  <c r="M181" i="20"/>
  <c r="N181" i="20" s="1"/>
  <c r="M136" i="20"/>
  <c r="N136" i="20" s="1"/>
  <c r="M90" i="20"/>
  <c r="N90" i="20" s="1"/>
  <c r="M135" i="20"/>
  <c r="N135" i="20" s="1"/>
  <c r="M180" i="20"/>
  <c r="N180" i="20" s="1"/>
  <c r="DS48" i="20"/>
  <c r="DS38" i="19"/>
  <c r="M53" i="20"/>
  <c r="M98" i="20"/>
  <c r="M143" i="20"/>
  <c r="M106" i="20"/>
  <c r="N106" i="20" s="1"/>
  <c r="M61" i="20"/>
  <c r="N61" i="20" s="1"/>
  <c r="M151" i="20"/>
  <c r="N151" i="20" s="1"/>
  <c r="M170" i="20"/>
  <c r="N170" i="20" s="1"/>
  <c r="M80" i="20"/>
  <c r="N80" i="20" s="1"/>
  <c r="M125" i="20"/>
  <c r="N125" i="20" s="1"/>
  <c r="M87" i="20"/>
  <c r="N87" i="20" s="1"/>
  <c r="M177" i="20"/>
  <c r="N177" i="20" s="1"/>
  <c r="M132" i="20"/>
  <c r="N132" i="20" s="1"/>
  <c r="M100" i="20"/>
  <c r="N100" i="20" s="1"/>
  <c r="M145" i="20"/>
  <c r="N145" i="20" s="1"/>
  <c r="M55" i="20"/>
  <c r="N55" i="20" s="1"/>
  <c r="M103" i="20"/>
  <c r="N103" i="20" s="1"/>
  <c r="M58" i="20"/>
  <c r="N58" i="20" s="1"/>
  <c r="M148" i="20"/>
  <c r="N148" i="20" s="1"/>
  <c r="M149" i="20"/>
  <c r="N149" i="20" s="1"/>
  <c r="M104" i="20"/>
  <c r="N104" i="20" s="1"/>
  <c r="M59" i="20"/>
  <c r="N59" i="20" s="1"/>
  <c r="M162" i="20"/>
  <c r="N162" i="20" s="1"/>
  <c r="M117" i="20"/>
  <c r="N117" i="20" s="1"/>
  <c r="M72" i="20"/>
  <c r="N72" i="20" s="1"/>
  <c r="M129" i="20"/>
  <c r="N129" i="20" s="1"/>
  <c r="M174" i="20"/>
  <c r="N174" i="20" s="1"/>
  <c r="M84" i="20"/>
  <c r="N84" i="20" s="1"/>
  <c r="M54" i="20"/>
  <c r="N54" i="20" s="1"/>
  <c r="M144" i="20"/>
  <c r="N144" i="20" s="1"/>
  <c r="M99" i="20"/>
  <c r="N99" i="20" s="1"/>
  <c r="M115" i="20"/>
  <c r="N115" i="20" s="1"/>
  <c r="M160" i="20"/>
  <c r="N160" i="20" s="1"/>
  <c r="M70" i="20"/>
  <c r="N70" i="20" s="1"/>
  <c r="M77" i="20"/>
  <c r="N77" i="20" s="1"/>
  <c r="M167" i="20"/>
  <c r="N167" i="20" s="1"/>
  <c r="M122" i="20"/>
  <c r="N122" i="20" s="1"/>
  <c r="M116" i="20"/>
  <c r="N116" i="20" s="1"/>
  <c r="M161" i="20"/>
  <c r="N161" i="20" s="1"/>
  <c r="M71" i="20"/>
  <c r="N71" i="20" s="1"/>
  <c r="M107" i="20"/>
  <c r="N107" i="20" s="1"/>
  <c r="M152" i="20"/>
  <c r="N152" i="20" s="1"/>
  <c r="M62" i="20"/>
  <c r="N62" i="20" s="1"/>
  <c r="M102" i="20"/>
  <c r="N102" i="20" s="1"/>
  <c r="M57" i="20"/>
  <c r="N57" i="20" s="1"/>
  <c r="M147" i="20"/>
  <c r="N147" i="20" s="1"/>
  <c r="M83" i="20"/>
  <c r="N83" i="20" s="1"/>
  <c r="M128" i="20"/>
  <c r="N128" i="20" s="1"/>
  <c r="M173" i="20"/>
  <c r="N173" i="20" s="1"/>
  <c r="M85" i="20"/>
  <c r="N85" i="20" s="1"/>
  <c r="M175" i="20"/>
  <c r="N175" i="20" s="1"/>
  <c r="M130" i="20"/>
  <c r="N130" i="20" s="1"/>
  <c r="M158" i="20"/>
  <c r="N158" i="20" s="1"/>
  <c r="M68" i="20"/>
  <c r="N68" i="20" s="1"/>
  <c r="M113" i="20"/>
  <c r="N113" i="20" s="1"/>
  <c r="M101" i="20"/>
  <c r="N101" i="20" s="1"/>
  <c r="M146" i="20"/>
  <c r="N146" i="20" s="1"/>
  <c r="M56" i="20"/>
  <c r="N56" i="20" s="1"/>
  <c r="M169" i="20"/>
  <c r="N169" i="20" s="1"/>
  <c r="M124" i="20"/>
  <c r="N124" i="20" s="1"/>
  <c r="M79" i="20"/>
  <c r="N79" i="20" s="1"/>
  <c r="M176" i="20"/>
  <c r="N176" i="20" s="1"/>
  <c r="M86" i="20"/>
  <c r="N86" i="20" s="1"/>
  <c r="M131" i="20"/>
  <c r="N131" i="20" s="1"/>
  <c r="M111" i="20"/>
  <c r="N111" i="20" s="1"/>
  <c r="M66" i="20"/>
  <c r="N66" i="20" s="1"/>
  <c r="M156" i="20"/>
  <c r="N156" i="20" s="1"/>
  <c r="M65" i="20"/>
  <c r="N65" i="20" s="1"/>
  <c r="M155" i="20"/>
  <c r="N155" i="20" s="1"/>
  <c r="M110" i="20"/>
  <c r="N110" i="20" s="1"/>
  <c r="M89" i="20"/>
  <c r="N89" i="20" s="1"/>
  <c r="M179" i="20"/>
  <c r="N179" i="20" s="1"/>
  <c r="M134" i="20"/>
  <c r="N134" i="20" s="1"/>
  <c r="M93" i="20" l="1"/>
  <c r="N53" i="20"/>
  <c r="N93" i="20" s="1"/>
  <c r="M183" i="20"/>
  <c r="N143" i="20"/>
  <c r="N183" i="20" s="1"/>
  <c r="DS41" i="19"/>
  <c r="DS39" i="19"/>
  <c r="DS40" i="19"/>
  <c r="M138" i="20"/>
  <c r="N98" i="20"/>
  <c r="N138" i="20" s="1"/>
  <c r="DS8" i="26" l="1"/>
  <c r="DS42" i="19"/>
  <c r="W125" i="24" s="1"/>
  <c r="DS14" i="23"/>
  <c r="DS33" i="9"/>
  <c r="W72" i="24"/>
  <c r="W75" i="24" s="1"/>
  <c r="W110" i="24"/>
  <c r="DS18" i="26" l="1" a="1"/>
  <c r="DS18" i="26" s="1"/>
  <c r="DS10" i="26"/>
  <c r="DS11" i="26" s="1"/>
  <c r="DS16" i="26" a="1"/>
  <c r="DS16" i="26" s="1"/>
  <c r="DS17" i="26" s="1"/>
  <c r="DS35" i="9"/>
  <c r="DS36" i="9" s="1"/>
  <c r="W171" i="24"/>
  <c r="M40" i="23"/>
  <c r="L18" i="25" s="1"/>
  <c r="W172" i="24"/>
  <c r="L50" i="31" l="1"/>
  <c r="D27" i="31"/>
  <c r="C27" i="31"/>
  <c r="L49" i="31"/>
  <c r="L51" i="31"/>
  <c r="E27" i="31"/>
  <c r="DS19" i="26"/>
  <c r="DS17" i="17"/>
  <c r="DS22" i="16"/>
  <c r="DS45" i="19"/>
  <c r="DS16" i="17"/>
  <c r="DS21" i="16"/>
  <c r="DS44" i="19"/>
  <c r="C25" i="26"/>
  <c r="DS13" i="26"/>
  <c r="M21" i="26"/>
  <c r="DS17" i="23"/>
  <c r="DS19" i="23"/>
  <c r="DS37" i="9"/>
  <c r="DS39" i="9"/>
  <c r="DS40" i="9"/>
  <c r="DS38" i="9"/>
  <c r="W173" i="24"/>
  <c r="DS41" i="9"/>
  <c r="DS18" i="17" l="1"/>
  <c r="W113" i="24"/>
  <c r="W114" i="24" s="1"/>
  <c r="W116" i="24" s="1"/>
  <c r="W117" i="24" s="1"/>
  <c r="DS46" i="19"/>
  <c r="W126" i="24" s="1"/>
  <c r="W128" i="24"/>
  <c r="M44" i="23"/>
  <c r="L22" i="25" s="1"/>
  <c r="L40" i="31" s="1"/>
  <c r="C34" i="23"/>
  <c r="D23" i="31" s="1"/>
  <c r="DS15" i="26"/>
  <c r="M22" i="26"/>
  <c r="DS20" i="16"/>
  <c r="DS23" i="16" s="1"/>
  <c r="W136" i="24"/>
  <c r="W138" i="24"/>
  <c r="W137" i="24"/>
  <c r="DS12" i="22"/>
  <c r="W139" i="24"/>
  <c r="E23" i="31" l="1"/>
  <c r="E24" i="31" s="1"/>
  <c r="C23" i="31"/>
  <c r="C24" i="31" s="1"/>
  <c r="L41" i="31"/>
  <c r="L45" i="31" s="1"/>
  <c r="L39" i="31"/>
  <c r="L43" i="31" s="1"/>
  <c r="L44" i="31"/>
  <c r="D24" i="31"/>
  <c r="D8" i="25"/>
  <c r="C35" i="23"/>
  <c r="C16" i="31"/>
  <c r="DS49" i="19"/>
  <c r="DS50" i="19" s="1"/>
  <c r="W155" i="24" s="1"/>
  <c r="C62" i="19"/>
  <c r="DS15" i="23"/>
  <c r="DS30" i="16"/>
  <c r="DS31" i="16" s="1"/>
  <c r="W153" i="24" s="1"/>
  <c r="DS13" i="19"/>
  <c r="DS14" i="19" s="1"/>
  <c r="DS17" i="22"/>
  <c r="DS18" i="22" s="1"/>
  <c r="W156" i="24" s="1"/>
  <c r="DS24" i="17"/>
  <c r="DS25" i="17" s="1"/>
  <c r="W154" i="24" s="1"/>
  <c r="W140" i="24"/>
  <c r="W129" i="24" l="1"/>
  <c r="W131" i="24" s="1"/>
  <c r="W176" i="24"/>
  <c r="DS19" i="22"/>
  <c r="DS32" i="16"/>
  <c r="C36" i="23"/>
  <c r="M41" i="23"/>
  <c r="L19" i="25" s="1"/>
  <c r="DS26" i="17"/>
  <c r="DS51" i="19"/>
  <c r="W157" i="24"/>
  <c r="W159" i="24" s="1"/>
  <c r="L53" i="31" l="1"/>
  <c r="D28" i="31"/>
  <c r="C28" i="31"/>
  <c r="L52" i="31"/>
  <c r="L54" i="31"/>
  <c r="E28" i="31"/>
  <c r="W149" i="24"/>
  <c r="W162" i="24" s="1"/>
  <c r="W132" i="24"/>
  <c r="DS7" i="19"/>
  <c r="DS33" i="16"/>
  <c r="DS55" i="19"/>
  <c r="DS10" i="19"/>
  <c r="DS8" i="19"/>
  <c r="DS27" i="17"/>
  <c r="DS20" i="22"/>
  <c r="DS9" i="19"/>
  <c r="W150" i="24" l="1"/>
  <c r="DS8" i="23"/>
  <c r="C61" i="19"/>
  <c r="C51" i="23" s="1"/>
  <c r="DS6" i="23"/>
  <c r="DS35" i="16"/>
  <c r="DS36" i="16" s="1"/>
  <c r="C46" i="16" s="1"/>
  <c r="F49" i="23" s="1"/>
  <c r="C43" i="16"/>
  <c r="C49" i="23" s="1"/>
  <c r="C44" i="16"/>
  <c r="D49" i="23" s="1"/>
  <c r="DS34" i="16"/>
  <c r="C45" i="16" s="1"/>
  <c r="E49" i="23" s="1"/>
  <c r="DS9" i="23"/>
  <c r="DS22" i="22"/>
  <c r="DS23" i="22" s="1"/>
  <c r="C30" i="22" s="1"/>
  <c r="F52" i="23" s="1"/>
  <c r="C27" i="22"/>
  <c r="C52" i="23" s="1"/>
  <c r="C28" i="22"/>
  <c r="D52" i="23" s="1"/>
  <c r="DS21" i="22"/>
  <c r="C29" i="22" s="1"/>
  <c r="E52" i="23" s="1"/>
  <c r="W175" i="24"/>
  <c r="W177" i="24" s="1"/>
  <c r="D179" i="24" s="1"/>
  <c r="W163" i="24"/>
  <c r="DS7" i="23"/>
  <c r="DS29" i="17"/>
  <c r="DS30" i="17" s="1"/>
  <c r="C37" i="17" s="1"/>
  <c r="F50" i="23" s="1"/>
  <c r="C38" i="17"/>
  <c r="C50" i="23" s="1"/>
  <c r="C39" i="17"/>
  <c r="D50" i="23" s="1"/>
  <c r="DS28" i="17"/>
  <c r="C36" i="17" s="1"/>
  <c r="E50" i="23" s="1"/>
  <c r="DS11" i="19"/>
  <c r="DS53" i="19" s="1"/>
  <c r="C63" i="19" s="1"/>
  <c r="DS10" i="23" l="1"/>
  <c r="DS12" i="23" l="1"/>
  <c r="DS13" i="23" s="1"/>
  <c r="C29" i="23" s="1"/>
  <c r="C25" i="23"/>
  <c r="D32" i="31" s="1"/>
  <c r="C27" i="23"/>
  <c r="C26" i="23"/>
  <c r="D33" i="31" s="1"/>
  <c r="M42" i="23"/>
  <c r="L20" i="25" s="1"/>
  <c r="L56" i="31" s="1"/>
  <c r="C60" i="23"/>
  <c r="DS11" i="23"/>
  <c r="C28" i="23" s="1"/>
  <c r="D34" i="31" l="1"/>
  <c r="E33" i="31"/>
  <c r="C33" i="31"/>
  <c r="E32" i="31"/>
  <c r="C32" i="31"/>
  <c r="E34" i="31"/>
  <c r="C34" i="31"/>
  <c r="L57" i="31"/>
  <c r="L55" i="31"/>
  <c r="C11" i="31"/>
  <c r="C13" i="31"/>
  <c r="D10" i="25"/>
  <c r="C12" i="31"/>
  <c r="D11" i="25"/>
  <c r="C62" i="23"/>
  <c r="C63" i="23" s="1"/>
  <c r="C65" i="23" s="1"/>
  <c r="D35" i="31" s="1"/>
  <c r="C73" i="23"/>
  <c r="C72" i="23"/>
  <c r="C71" i="23"/>
  <c r="C69" i="23"/>
  <c r="C70" i="23"/>
  <c r="D9" i="25"/>
  <c r="C30" i="23"/>
  <c r="C14" i="31" s="1"/>
  <c r="E35" i="31" l="1"/>
  <c r="C35" i="31"/>
  <c r="C15" i="3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B1" authorId="0" shapeId="0" xr:uid="{00000000-0006-0000-1600-000001000000}">
      <text>
        <r>
          <rPr>
            <sz val="10"/>
            <rFont val="Arial"/>
            <family val="2"/>
          </rPr>
          <t>Esta hoja responde: como vale el proyecto y cuando se recupera la inversion (flujo de caja, VPN, TIR, payback) a nivel mensual y consolidado, a 120 meses. Para margenes y rentabilidad por capa/formato/producto, ver PL.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B1" authorId="0" shapeId="0" xr:uid="{00000000-0006-0000-1700-000001000000}">
      <text>
        <r>
          <rPr>
            <sz val="10"/>
            <rFont val="Arial"/>
            <family val="2"/>
          </rPr>
          <t>Esta hoja responde: de donde sale la rentabilidad, y que margen deja cada capa/formato/producto. Para flujo de caja, VPN, TIR y payback, ver CONSOLIDADO. Ver CONTROL DE CUADRE al final de esta pestana. Nota: el Ano 1 incluye los meses de arranque de construccion (sin ventas) dentro de sus primeros meses.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<sst xmlns="http://schemas.openxmlformats.org/spreadsheetml/2006/main" count="3434" uniqueCount="2019">
  <si>
    <t>PROYECTO MOY'S — MODELO FINANCIERO</t>
  </si>
  <si>
    <t>Cómo leer este modelo: una guía en orden de lectura, capítulo por capítulo. Clic en cualquier nombre de pestaña para ir directo a ella.</t>
  </si>
  <si>
    <t>PRÓLOGO — DÓNDE ESTÁS PARADO</t>
  </si>
  <si>
    <t>Antes de cualquier detalle, la premisa completa del proyecto en un solo panel.</t>
  </si>
  <si>
    <t>LEEME</t>
  </si>
  <si>
    <t>El manifiesto del libro: propósito del modelo y la leyenda de colores que aplica a todas las pestañas (azul = editable, negro = fórmula, verde = vínculo a otra hoja).</t>
  </si>
  <si>
    <t>SUP_CONTROL</t>
  </si>
  <si>
    <t>El panel de control: escenario de consumo, qué capas están encendidas, tasa de descuento, tope de expansión. Sin esto, nada de lo que sigue tiene contexto.</t>
  </si>
  <si>
    <t>ACTO 1 — EL PRODUCTO: ¿QUÉ VENDE MOY'S?</t>
  </si>
  <si>
    <t>Antes de hablar de plata, hay que entender el negocio.</t>
  </si>
  <si>
    <t>SUP_MENU</t>
  </si>
  <si>
    <t>El catálogo: 17 productos, agrupados en 7 plataformas (Asado, Broaster, Value meal, Crudo marinado, Familiar, Porkbelly, Adicionales).</t>
  </si>
  <si>
    <t>SUP_PRECIOS</t>
  </si>
  <si>
    <t>A qué precio se vende cada producto, y qué margen deja.</t>
  </si>
  <si>
    <t>SUP_COSTOS</t>
  </si>
  <si>
    <t>SUP_VOLUMEN</t>
  </si>
  <si>
    <t>Cuánto pollo vende una tienda al mes, según el escenario y el formato.</t>
  </si>
  <si>
    <t>ACTO 2 — EL COSTO DE OPERAR</t>
  </si>
  <si>
    <t>Ya sabes cuánto vende una tienda. Ahora, cuánto cuesta tenerla abierta.</t>
  </si>
  <si>
    <t>SUP_OPEX</t>
  </si>
  <si>
    <t>Nómina, renta y gastos variables de una tienda, por formato.</t>
  </si>
  <si>
    <t>SUP_OVERHEAD</t>
  </si>
  <si>
    <t>Un nivel más arriba: cuánto cuesta la oficina central que sostiene a todas las tiendas.</t>
  </si>
  <si>
    <t>SUP_TECNOLOGIA</t>
  </si>
  <si>
    <t>Sistemas de punto de venta y el fondo tecnológico central.</t>
  </si>
  <si>
    <t>ACTO 3 — LA INVERSIÓN: CONSTRUIR EL ESCENARIO</t>
  </si>
  <si>
    <t>Antes de que exista una sola tienda, hay que construirla.</t>
  </si>
  <si>
    <t>SUP_CAPEX_PLANTA</t>
  </si>
  <si>
    <t>SUP_CAPEX_VENTANA</t>
  </si>
  <si>
    <t>La inversión del formato más barato y replicable (~40 m²).</t>
  </si>
  <si>
    <t>SUP_CAPEX_DINEIN</t>
  </si>
  <si>
    <t>La inversión del formato con salón (~80 m²).</t>
  </si>
  <si>
    <t>SUP_CAPEX_FLAGSHIP</t>
  </si>
  <si>
    <t>SUP_PRODUCCION</t>
  </si>
  <si>
    <t>ACTO 4 — LOS PROTAGONISTAS: LAS CUATRO CAPAS</t>
  </si>
  <si>
    <t>Aquí es donde la historia se mueve. Cuatro apuestas, cada una con su propia lógica.</t>
  </si>
  <si>
    <t>CAPA1_PILOTO</t>
  </si>
  <si>
    <t>El arranque: 10 tiendas, la apuesta inicial que valida si el concepto funciona.</t>
  </si>
  <si>
    <t>CAPA2_FLAGSHIP</t>
  </si>
  <si>
    <t>La apuesta grande y arriesgada: un solo local, mucho más caro, que no se paga solo.</t>
  </si>
  <si>
    <t>SUP_C3_EXPANSION</t>
  </si>
  <si>
    <t>Los supuestos de cómo madura y se canibaliza una tienda nueva de expansión.</t>
  </si>
  <si>
    <t>CAPA3_EXPANSION</t>
  </si>
  <si>
    <t>El clímax de crecimiento: el motor que decide, mes a mes, si hay caja suficiente para abrir la siguiente tienda.</t>
  </si>
  <si>
    <t>CAPA3_PDV_DETALLE</t>
  </si>
  <si>
    <t>Las 39 tiendas de la expansión, una por una — formato y mes de apertura de cada una.</t>
  </si>
  <si>
    <t>SUP_C4_RETAIL</t>
  </si>
  <si>
    <t>Los supuestos de una subtrama opcional: una línea de venta al detalle.</t>
  </si>
  <si>
    <t>CAPA4_RETAIL</t>
  </si>
  <si>
    <t>El canal retail — existe en el modelo, pero hoy está apagado.</t>
  </si>
  <si>
    <t>ACTO 5 — EL DESENLACE: ¿VALIÓ LA PENA?</t>
  </si>
  <si>
    <t>Aquí se junta todo. Dos ángulos del mismo final, que se validan entre sí.</t>
  </si>
  <si>
    <t>CONSOLIDADO</t>
  </si>
  <si>
    <t>El flujo de caja del proyecto completo: inversión, VPN, TIR, payback.</t>
  </si>
  <si>
    <t>PL</t>
  </si>
  <si>
    <t>El mismo desenlace visto con otro lente: de dónde sale exactamente la rentabilidad — margen por capa, por formato, por tipo de producto.</t>
  </si>
  <si>
    <t>CAPA3_DASHBOARD</t>
  </si>
  <si>
    <t>PROD_DEMANDA</t>
  </si>
  <si>
    <t>El chequeo final: ¿la planta alcanza para toda la demanda que generó la historia?</t>
  </si>
  <si>
    <t>APÉNDICE</t>
  </si>
  <si>
    <t>Consulta puntual, no lectura corrida.</t>
  </si>
  <si>
    <t>CHECKLIST_V2</t>
  </si>
  <si>
    <t>La lista de requisitos que el modelo debía cumplir.</t>
  </si>
  <si>
    <t>VentureMe · Fábrica de Consultoría Inteligente — Cliente: JHS Agroindustria / Agropecuaria El Dorado 2013 C.A.</t>
  </si>
  <si>
    <t>Propósito</t>
  </si>
  <si>
    <t>Código de colores</t>
  </si>
  <si>
    <t>Texto AZUL = celda editable (input) · Texto NEGRO = fórmula (no editar) · Texto VERDE = vínculo a otra hoja · Fondo ÁMBAR = palanca clave del negocio. Todas las hojas de supuestos comparten el mismo color de etiqueta (azul VentureMe).</t>
  </si>
  <si>
    <t>Menú propuesto MOY'S basado en la oferta de los competidores relevados (19 marcas / 696 productos), mezcla de formatos y conversión de pollos → unidades vendidas por producto.</t>
  </si>
  <si>
    <t>Política de precios: precio con IVA editable por producto, precio neto (sin IVA 16%), costo (vínculo a fichas), margen unitario y %, ingreso y margen de contribución mensual por producto y participación en ventas.</t>
  </si>
  <si>
    <t>El pilar del modelo (bottom-up): pollos/mes por PDV con evidencia de campo, tres escenarios (Básico / Medio / Alto), elasticidad-precio editable que ajusta el volumen si cambia el precio, uplift por formato y salidas de red.</t>
  </si>
  <si>
    <t>Cadena de cálculo</t>
  </si>
  <si>
    <t>SUP_VOLUMEN (pollos, con elasticidad sobre el precio de SUP_PRECIOS) → SUP_MENU (unidades por producto) → SUP_PRECIOS (ingreso y margen de contribución) ← SUP_COSTOS (fichas). CAPEX alimentará el FCD en la Etapa 2.</t>
  </si>
  <si>
    <t>Reglas del modelo</t>
  </si>
  <si>
    <t>Fuentes</t>
  </si>
  <si>
    <t>Nota de confidencialidad</t>
  </si>
  <si>
    <t>Documento confidencial de uso exclusivo JHS / VentureMe. Cifras de planeación: los equipos de mayor sensibilidad (horno espiral, IQF, freidoras Broaster) requieren cotización formal antes de comprometer capital.</t>
  </si>
  <si>
    <t>ACTUALIZACIÓN V2 — MODELO POR CAPAS</t>
  </si>
  <si>
    <t>• V2 convierte el libro en un modelo de proyecto por CAPAS activables desde SUP_CONTROL (segunda pestaña): escenario maestro + switches 1/0.</t>
  </si>
  <si>
    <t>• CAPA 1 (pestaña verde): piloto con mezcla editable 7 ventanas + 3 dine-in y planta Fase 1, evaluado a 36 meses.</t>
  </si>
  <si>
    <t>• CAPA 2 (naranja): flagship de 400 m² / 150 sillas con mes de apertura editable — enciéndalo/apáguelo y compare CONSOLIDADO para decidir con números.</t>
  </si>
  <si>
    <t>• CAPA 3 (morado): expansión autofinanciada con el flujo de caja libre (waterfall: gastos → impuestos → reserva de 30 días → planta → nuevos PDV), hasta el tope de cadena, con ramp-up, canibalización editable y detalle PDV por PDV.</t>
  </si>
  <si>
    <t>• PRODUCCIÓN (verde azulado): demanda de pollo de la cadena vs capacidad por fase; la planta se amplía sola desde el waterfall al superar el 85% de utilización.</t>
  </si>
  <si>
    <t>• CAPA 4 (café): línea retail de prelistos (nuggets, hamburguesas, preformados) como capítulo aparte.</t>
  </si>
  <si>
    <t>• CONSOLIDADO (dorado): FCD del proyecto completo — VPN, TIR, payback e inversión cambian al mover switches y escenario.</t>
  </si>
  <si>
    <t>• Los escenarios de volumen ventana son ahora un input directo de la dirección: 1.848 / 3.028 / 4.209 pollos/mes (SUP_VOLUMEN fila 16). El flagship vende el doble de una ventana.</t>
  </si>
  <si>
    <t>• SISTEMAS (azul marino): SUP_TECNOLOGIA (POS por formato editable + fondo tecnológico) y SUP_OVERHEAD (estructura corporativa con dilución en % de ingresos) sustituyen el fijo genérico de planta del modelo v1.</t>
  </si>
  <si>
    <t>• Regla de colores intacta: azul = editable · negro = fórmula · verde = vínculo · ámbar = palanca. Sin totales quemados.</t>
  </si>
  <si>
    <t>SUP_CONTROL — PANEL MAESTRO DEL MODELO POR CAPAS MOY'S</t>
  </si>
  <si>
    <t>Encienda o apague cada capa (1 = activa, 0 = apagada), elija el escenario y todo el libro cae en cascada hasta CONSOLIDADO.</t>
  </si>
  <si>
    <t>Azul = celda editable (input) · Negro = fórmula · Verde = vínculo a otra hoja · Fondo ámbar = palanca clave</t>
  </si>
  <si>
    <t>1. ESCENARIO DE CONSUMO DE POLLO (aplica a TODAS las capas)</t>
  </si>
  <si>
    <t>Escenario activo (1 = Básico · 2 = Medio · 3 = Alto)</t>
  </si>
  <si>
    <t>Palanca maestra: 1 = BÁSICO (1.848 pollos/mes/ventana) · 2 = MEDIO (3.028) · 3 = ALTO (4.209)</t>
  </si>
  <si>
    <t>Nombre del escenario activo</t>
  </si>
  <si>
    <t>Pollos/mes por PDV VENTANA — escenario activo (con elasticidad)</t>
  </si>
  <si>
    <t>Vínculo a SUP_VOLUMEN fila 23: input de dirección × ajuste por elasticidad-precio</t>
  </si>
  <si>
    <t>2. SWITCHES DE CAPAS (1 = encendida · 0 = apagada) — simule el proyecto capa por capa</t>
  </si>
  <si>
    <t>CAPA 1 — Piloto 10 PDV (mezcla editable en SUP_VOLUMEN §6)</t>
  </si>
  <si>
    <t>Piloto con planta Fase 1. Hoja CAPA1_PILOTO (pestaña VERDE).</t>
  </si>
  <si>
    <t>CAPA 2 — Flagship 400 m² / 150 sillas</t>
  </si>
  <si>
    <t>Unidad bandera independiente con CAPEX propio. Hojas NARANJAS. Apáguela para medir el proyecto sin flagship.</t>
  </si>
  <si>
    <t>CAPA 3 — Expansión en cascada con FCL (hasta tope de cadena)</t>
  </si>
  <si>
    <t>Nuevos PDV financiados SOLO con el excedente de caja operativa (waterfall). Hojas MORADAS.</t>
  </si>
  <si>
    <t>CAPA 4 — Línea retail de prelistos (nuggets, hamburguesas, preformados)</t>
  </si>
  <si>
    <t>Canal B2C nuevo con línea de preformados en planta. Hojas CAFÉ. Capítulo aparte.</t>
  </si>
  <si>
    <t>3. PARÁMETROS DE SIMULACIÓN (editables)</t>
  </si>
  <si>
    <t>Mes de apertura del FLAGSHIP (capa 2) — usar ≥ 4</t>
  </si>
  <si>
    <t>El CAPEX del flagship se despliega en los 3 meses previos a la apertura. Cambie el mes y mida el impacto en CONSOLIDADO.</t>
  </si>
  <si>
    <t>Capital de trabajo INICIAL — meses de gastos fijos de la red del piloto</t>
  </si>
  <si>
    <t>Se invierte en el mes 1 junto con la planta (spec: caja inicial de 3 meses de gastos fijos, editable).</t>
  </si>
  <si>
    <t>Capital de trabajo por PDV NUEVO — meses de gastos fijos del PDV</t>
  </si>
  <si>
    <t>Cada apertura (flagship y expansión) carga su propio capital de trabajo (default 1 mes, editable).</t>
  </si>
  <si>
    <t>Reserva mínima de caja del waterfall (días de gastos operativos)</t>
  </si>
  <si>
    <t>Antes de invertir en un PDV nuevo, la caja debe cubrir gastos operativos + esta reserva (spec: 30 días).</t>
  </si>
  <si>
    <t>Tope de PDV de la cadena (Gran Caracas)</t>
  </si>
  <si>
    <t>Techo de saturación del mercado según spec (incluye piloto + flagship + expansión).</t>
  </si>
  <si>
    <t>Horizonte de evaluación de la capa 1 (meses)</t>
  </si>
  <si>
    <t>Retorno del piloto a 36 meses; la planta se dimensiona para más capacidad y no se recupera en este plazo.</t>
  </si>
  <si>
    <t>Horizonte consolidado del proyecto (meses)</t>
  </si>
  <si>
    <t>10 años según spec de la capa 3.</t>
  </si>
  <si>
    <t>4. ECONOMÍA POR POLLO EQUIVALENTE (vínculos — mezcla de menú constante entre formatos)</t>
  </si>
  <si>
    <t>Ingreso neto por pollo equivalente (USD, sin IVA)</t>
  </si>
  <si>
    <t>Ingreso total del PDV ventana MEDIO ÷ pollos del PDV ventana MEDIO. La mezcla de menú es idéntica entre formatos: solo escala el volumen.</t>
  </si>
  <si>
    <t>Margen de contribución por pollo equivalente (USD)</t>
  </si>
  <si>
    <t>Margen (ingreso neto − costo directo de fichas técnicas) por pollo. Cae de SUP_PRECIOS/SUP_COSTOS.</t>
  </si>
  <si>
    <t>Kilos por pollo (peso vivo crudo)</t>
  </si>
  <si>
    <t>Vínculo a SUP_COSTOS.</t>
  </si>
  <si>
    <t>5. FINANZAS (editables)</t>
  </si>
  <si>
    <t>Tasa de descuento anual en USD (%)</t>
  </si>
  <si>
    <t>Costo de capital en USD con riesgo Venezuela (rango 20–35%). Palanca del VPN.</t>
  </si>
  <si>
    <t>Tasa de descuento mensual equivalente</t>
  </si>
  <si>
    <t>ISLR (%) sobre EBIT positivo del mes</t>
  </si>
  <si>
    <t>Tarifa 3 ISLR Venezuela. Conservador: sin arrastre de pérdidas fiscales.</t>
  </si>
  <si>
    <t>IVA (%) — solo informativo (los ingresos del modelo son netos de IVA)</t>
  </si>
  <si>
    <t>6. INGRESO ADICIONAL DEL FLAGSHIP (menú ampliado)</t>
  </si>
  <si>
    <t>Ingreso adicional por productos nuevos del menú (% sobre ingreso de pollo)</t>
  </si>
  <si>
    <t>Contornos ampliados, combos infantiles, bebidas de dispensador (equipo en comodato del proveedor) y otros nuevos productos: +5% editable.</t>
  </si>
  <si>
    <t>Margen de contribución del ingreso adicional (%)</t>
  </si>
  <si>
    <t>Mezcla de bebidas de dispensador (margen alto) y contornos/combos infantiles (margen medio).</t>
  </si>
  <si>
    <t>7. MAPA DE CAPAS Y COLORES DE PESTAÑA</t>
  </si>
  <si>
    <t>AZUL MARINO</t>
  </si>
  <si>
    <t>Este panel: escenario, switches y parámetros.</t>
  </si>
  <si>
    <t>VERDE</t>
  </si>
  <si>
    <t>Capa 1 — piloto 10 PDV + planta Fase 1, evaluación a 36 meses.</t>
  </si>
  <si>
    <t>NARANJA</t>
  </si>
  <si>
    <t>SUP_CAPEX_FLAGSHIP · CAPA2_FLAGSHIP</t>
  </si>
  <si>
    <t>Capa 2 — flagship 400 m²: CAPEX propio y proyección con mes de apertura editable.</t>
  </si>
  <si>
    <t>MORADO</t>
  </si>
  <si>
    <t>SUP_C3_EXPANSION · CAPA3_EXPANSION · CAPA3_PDV_DETALLE · CAPA3_DASHBOARD</t>
  </si>
  <si>
    <t>Capa 3 — expansión en cascada con FCL, ramp-up, canibalización y dashboard.</t>
  </si>
  <si>
    <t>VERDE AZULADO</t>
  </si>
  <si>
    <t>SUP_PRODUCCION · PROD_DEMANDA</t>
  </si>
  <si>
    <t>Modelo de producción: demanda de pollo, capacidad por fase y fases de inversión de planta.</t>
  </si>
  <si>
    <t>CAFÉ</t>
  </si>
  <si>
    <t>SUP_C4_RETAIL · CAPA4_RETAIL</t>
  </si>
  <si>
    <t>Capa 4 — línea retail de prelistos (capítulo aparte).</t>
  </si>
  <si>
    <t>DORADO</t>
  </si>
  <si>
    <t>Proyecto completo: suma de capas activas, VPN, TIR y payback del proyecto.</t>
  </si>
  <si>
    <t>SUP_MENU — MENÚ PROPUESTO Y PARTICIPACIÓN EN VENTAS</t>
  </si>
  <si>
    <t>Construido sobre la oferta de los competidores más importantes (19 marcas / 696 productos relevados). Convierte los pollos de SUP_VOLUMEN en unidades vendidas por producto.</t>
  </si>
  <si>
    <t>1. CATÁLOGO DEL MENÚ MOY'S</t>
  </si>
  <si>
    <t>ID</t>
  </si>
  <si>
    <t>Categoría</t>
  </si>
  <si>
    <t>Producto</t>
  </si>
  <si>
    <t>Contenido</t>
  </si>
  <si>
    <t>Referencia competitiva</t>
  </si>
  <si>
    <t>AS-01</t>
  </si>
  <si>
    <t>Asado</t>
  </si>
  <si>
    <t>Pollo entero asado + 4 contornos</t>
  </si>
  <si>
    <t>1 pollo asado (Mojo, Miel o Pimienta) + 2 papas fritas + 2 hallaquitas + guasacaca</t>
  </si>
  <si>
    <t>Banda popular pollo entero 10,99–14,99; Rincón Criollo 12,00 (incl. contornos)</t>
  </si>
  <si>
    <t>AS-02</t>
  </si>
  <si>
    <t>Pollo entero asado + 4 contornos + refresco 1L</t>
  </si>
  <si>
    <t>AS-01 + refresco de 1 litro</t>
  </si>
  <si>
    <t>Combo entrada popular 12,99–15,00 (Don Brasas / Campanario)</t>
  </si>
  <si>
    <t>AS-03</t>
  </si>
  <si>
    <t>Medio pollo asado + 2 contornos</t>
  </si>
  <si>
    <t>1/2 pollo asado + 1 papa frita + 1 hallaquita + guasacaca</t>
  </si>
  <si>
    <t>Medio pollo solo 6,00–9,00 (Rincón Criollo piso 6,00)</t>
  </si>
  <si>
    <t>AS-04</t>
  </si>
  <si>
    <t>Medio pollo asado + 2 contornos + refresco 1L</t>
  </si>
  <si>
    <t>AS-03 + refresco de 1 litro</t>
  </si>
  <si>
    <t>Medio pollo con contornos zona popular ~8–10</t>
  </si>
  <si>
    <t>AS-05</t>
  </si>
  <si>
    <t>2 piezas asado + 1 contorno</t>
  </si>
  <si>
    <t>2 presas de asado + 1 papa frita (o hallaquita)</t>
  </si>
  <si>
    <t>Dorado 3 pzas + papas 4,29; MOY'S por debajo</t>
  </si>
  <si>
    <t>BR-01</t>
  </si>
  <si>
    <t>Broaster</t>
  </si>
  <si>
    <t>8 piezas broaster + 4 contornos</t>
  </si>
  <si>
    <t>8 piezas apanadas (pollo entero, corte 9 pzas en planta) + 2 papas + 2 hallaquitas</t>
  </si>
  <si>
    <t>Broaster 8 pzas 12,99–13,49 (Chiki-Riki / Broaster Express)</t>
  </si>
  <si>
    <t>BR-02</t>
  </si>
  <si>
    <t>8 piezas broaster + 4 contornos + refresco 1L</t>
  </si>
  <si>
    <t>BR-01 + refresco de 1 litro</t>
  </si>
  <si>
    <t>Combos broaster completos 13,99–18,99</t>
  </si>
  <si>
    <t>BR-03</t>
  </si>
  <si>
    <t>4 piezas broaster + 2 contornos</t>
  </si>
  <si>
    <t>4 piezas apanadas + 1 papa + 1 hallaquita</t>
  </si>
  <si>
    <t>Mitad del combo 8 pzas del mercado</t>
  </si>
  <si>
    <t>BR-04</t>
  </si>
  <si>
    <t>2 piezas broaster + 1 contorno</t>
  </si>
  <si>
    <t>2 piezas apanadas + 1 papa frita</t>
  </si>
  <si>
    <t>Dorado Mix 2 pzas + papas 3,29 (ancla de la categoría)</t>
  </si>
  <si>
    <t>VM-01</t>
  </si>
  <si>
    <t>Value meal</t>
  </si>
  <si>
    <t>Pieza frita en salsa + papas (value meal)</t>
  </si>
  <si>
    <t>1 pieza de asado aprovechada, frita y bañada en salsa (mojo o teriyaki) + papas</t>
  </si>
  <si>
    <t>Ancla de valor H3; piso Dorado 0,99–1,29</t>
  </si>
  <si>
    <t>CM-01</t>
  </si>
  <si>
    <t>Crudo marinado</t>
  </si>
  <si>
    <t>Bandeja 550 g pollo crudo marinado</t>
  </si>
  <si>
    <t>550 g piezas marinadas (3 sabores) en bandeja, para cocinar en casa</t>
  </si>
  <si>
    <t>Pollo crudo retail VE ~2,5–3,0 USD/kg; bandeja marinada competitiva</t>
  </si>
  <si>
    <t>FM-01</t>
  </si>
  <si>
    <t>Familiar</t>
  </si>
  <si>
    <t>Combo Familiar MOY'S</t>
  </si>
  <si>
    <t>1 pollo asado + 8 piezas broaster + 2 papas + 2 hallaquitas + 2 guasacacas + refresco 1L</t>
  </si>
  <si>
    <t>Familiares 2 pollos 24,99–27,49; MOY'S rompe la banda</t>
  </si>
  <si>
    <t>PB-01</t>
  </si>
  <si>
    <t>Porkbelly</t>
  </si>
  <si>
    <t>Porkbelly 250 g picado + papas</t>
  </si>
  <si>
    <t>250 g de porkbelly al horno, picado + 1 papa frita</t>
  </si>
  <si>
    <t>Premium sin comparable directo; captura ticket (bondiola/porkbelly)</t>
  </si>
  <si>
    <t>PB-02</t>
  </si>
  <si>
    <t>Porkbelly 500 g picado + papas</t>
  </si>
  <si>
    <t>500 g de porkbelly al horno, picado + 2 papas fritas</t>
  </si>
  <si>
    <t>Premium familiar</t>
  </si>
  <si>
    <t>AD-01</t>
  </si>
  <si>
    <t>Adicional</t>
  </si>
  <si>
    <t>Refresco 1 litro</t>
  </si>
  <si>
    <t>Bebida gaseosa 1L (attach)</t>
  </si>
  <si>
    <t>Refresco 1L incluido en combos competencia; venta suelta</t>
  </si>
  <si>
    <t>AD-02</t>
  </si>
  <si>
    <t>Papas fritas adicionales</t>
  </si>
  <si>
    <t>Ración 80 g papa prefrita importada</t>
  </si>
  <si>
    <t>Chiki-Riki 0,99 (piso); resto 2,99–9,00</t>
  </si>
  <si>
    <t>AD-03</t>
  </si>
  <si>
    <t>Hallaquitas adicionales (x4)</t>
  </si>
  <si>
    <t>Ración de 4 hallaquitas</t>
  </si>
  <si>
    <t>Arepitas/hallaquitas 0,90–3,99</t>
  </si>
  <si>
    <t>Los tres marinados del asado (Mojo ajo-limón, Miel, Pimienta) y los sabores de temporada (in &amp; outs) no cambian el precio: son identidad de producto, no SKU de precio.</t>
  </si>
  <si>
    <t>2. MEZCLA DE FORMATOS Y ATTACH (editables)</t>
  </si>
  <si>
    <t>Asado — % de pollos vendidos como ENTERO</t>
  </si>
  <si>
    <t>Formato ancla del volumen</t>
  </si>
  <si>
    <t>Asado — % de pollos vendidos como MEDIO pollo</t>
  </si>
  <si>
    <t>2 medios por pollo</t>
  </si>
  <si>
    <t>Asado — % de pollos vendidos en combos de 2 PIEZAS</t>
  </si>
  <si>
    <t>4 combos de 2 piezas por pollo (8 presas)</t>
  </si>
  <si>
    <t>CONTROL asado (debe ser 100%)</t>
  </si>
  <si>
    <t>Broaster — % de piezas en combos de 8 PIEZAS</t>
  </si>
  <si>
    <t>Combo pollo entero broaster</t>
  </si>
  <si>
    <t>Broaster — % de piezas en combos de 4 PIEZAS</t>
  </si>
  <si>
    <t>Broaster — % de piezas en combos de 2 PIEZAS</t>
  </si>
  <si>
    <t>Ancla vs. Dorado 2 pzas 3,29</t>
  </si>
  <si>
    <t>CONTROL broaster (debe ser 100%)</t>
  </si>
  <si>
    <t>% de combos que salen CON refresco 1L</t>
  </si>
  <si>
    <t>Attach de bebida en combos enteros y medios</t>
  </si>
  <si>
    <t>Attach refresco 1L ADICIONAL (sobre transacciones)</t>
  </si>
  <si>
    <t>Venta suelta de bebida</t>
  </si>
  <si>
    <t>Attach papas ADICIONALES (sobre transacciones)</t>
  </si>
  <si>
    <t>La palanca de ticket de la categoría</t>
  </si>
  <si>
    <t>Attach hallaquitas ADICIONALES (sobre transacciones)</t>
  </si>
  <si>
    <t>Porkbelly 250 g — unidades/mes por PDV ventana (esc. MEDIO)</t>
  </si>
  <si>
    <t>Premium de la vertical cerdo; sin base de pollos — input directo</t>
  </si>
  <si>
    <t>Porkbelly 500 g — unidades/mes por PDV ventana (esc. MEDIO)</t>
  </si>
  <si>
    <t>3. CONVERSIÓN POLLOS → PLATAFORMAS (PDV VENTANA, escenario MEDIO)</t>
  </si>
  <si>
    <t>Pollos totales/mes (SUP_VOLUMEN, ventana, MEDIO)</t>
  </si>
  <si>
    <t>Pollos destinados a ASADO</t>
  </si>
  <si>
    <t>Los % por plataforma se editan en SUP_VOLUMEN sección 5</t>
  </si>
  <si>
    <t>Pollos destinados a BROASTER</t>
  </si>
  <si>
    <t>Pollos destinados a VALUE MEAL (aprovechamiento)</t>
  </si>
  <si>
    <t>Pollos destinados a CRUDO MARINADO</t>
  </si>
  <si>
    <t>Pollos destinados a COMBO FAMILIAR</t>
  </si>
  <si>
    <t>4. UNIDADES VENDIDAS POR PRODUCTO Y FORMATO DE PDV (unidades/mes)</t>
  </si>
  <si>
    <t>VENTANA</t>
  </si>
  <si>
    <t>DINE-IN</t>
  </si>
  <si>
    <t>FLAGSHIP</t>
  </si>
  <si>
    <t>Lógica de conversión</t>
  </si>
  <si>
    <t>Pollos asado × % entero × (1 − attach refresco)</t>
  </si>
  <si>
    <t>Pollos asado × % entero × attach refresco</t>
  </si>
  <si>
    <t>Pollos asado × % medio × 2 medios/pollo × (1 − attach)</t>
  </si>
  <si>
    <t>Pollos asado × % medio × 2 × attach</t>
  </si>
  <si>
    <t>Pollos asado × % piezas × 4 combos de 2 pzas por pollo</t>
  </si>
  <si>
    <t>Piezas (pollos×9) × % 8pz ÷ 8 × (1 − attach)</t>
  </si>
  <si>
    <t>Piezas × % 8pz ÷ 8 × attach</t>
  </si>
  <si>
    <t>Piezas × % 4pz ÷ 4</t>
  </si>
  <si>
    <t>Piezas × % 2pz ÷ 2</t>
  </si>
  <si>
    <t>Pollos VM × 8 presas por ave (1 pieza por value meal)</t>
  </si>
  <si>
    <t>Pollos crudo × 2,0 kg ÷ 0,55 kg por bandeja</t>
  </si>
  <si>
    <t>Pollos familiar ÷ 1,89 pollos-equivalentes por combo</t>
  </si>
  <si>
    <t>Input directo (sección 2)</t>
  </si>
  <si>
    <t>Transacciones × attach refresco adicional</t>
  </si>
  <si>
    <t>Transacciones × attach papas</t>
  </si>
  <si>
    <t>Transacciones × attach hallaquitas</t>
  </si>
  <si>
    <t>Transacciones combo/mes (base del attach)</t>
  </si>
  <si>
    <t>Suma de unidades AS + BR + VM + CM + FM + PB (excluye adicionales)</t>
  </si>
  <si>
    <t>Nota: DINE-IN y FLAGSHIP escalan la misma mezcla con los uplifts de SUP_VOLUMEN. SUP_PRECIOS usa la columna VENTANA (escenario MEDIO) como PDV representativo; la Etapa 2 multiplica por la mezcla de red.</t>
  </si>
  <si>
    <t>SUP_PRECIOS — POLÍTICA DE PRECIOS, MÁRGENES Y CONTRIBUCIÓN</t>
  </si>
  <si>
    <t>Edite el precio CON IVA; el modelo descuenta el IVA (solo afecta flujo de caja), trae el costo de las fichas y calcula margen e ingreso por producto según el volumen del menú.</t>
  </si>
  <si>
    <t>IVA (%)</t>
  </si>
  <si>
    <t>Los ingresos y márgenes se calculan NETOS de IVA: el IVA es caja que no es propiedad del negocio.</t>
  </si>
  <si>
    <t>PDV representativo de esta tabla</t>
  </si>
  <si>
    <t>VENTANA · escenario MEDIO (vínculo a SUP_MENU)</t>
  </si>
  <si>
    <t>Benchmark competitivo</t>
  </si>
  <si>
    <t>Precio con IVA (USD)</t>
  </si>
  <si>
    <t>Precio neto (USD)</t>
  </si>
  <si>
    <t>Costo (USD)</t>
  </si>
  <si>
    <t>Margen (USD)</t>
  </si>
  <si>
    <t>Margen %</t>
  </si>
  <si>
    <t>Unidades /mes</t>
  </si>
  <si>
    <t>Ingreso neto /mes</t>
  </si>
  <si>
    <t>Margen contrib. /mes</t>
  </si>
  <si>
    <t>% ingreso</t>
  </si>
  <si>
    <t>% margen</t>
  </si>
  <si>
    <t>TOTAL PDV VENTANA (escenario MEDIO)</t>
  </si>
  <si>
    <t>Debe caer en la banda esperada de Venezuela (40–50%); la palanca de integración vertical (precio de transferencia I01) lo lleva a 50–60%.</t>
  </si>
  <si>
    <t>Ticket promedio neto por transacción (USD)</t>
  </si>
  <si>
    <t>Reglas de la arquitectura de precio (sección 8.7 de la estrategia): transversalidad de precio en todas las zonas (patrón Dorado) · value combo de entrada 0,99–1,29 que ancla percepción y tráfico · combo insignia 11,90 rompe la banda popular (10,99–14,99) · premium porkbelly captura ticket · crudo marinado a precio retail para el ama de casa.</t>
  </si>
  <si>
    <t>SUP_COSTOS — FICHAS TÉCNICAS DE COSTO DE PRODUCTO</t>
  </si>
  <si>
    <t>El alma del negocio: cada producto tiene su receta completa costeada. Edite insumos y supuestos; todas las fichas recalculan en cascada.</t>
  </si>
  <si>
    <t>1. SUPUESTOS GENERALES DE PRODUCTO (editables)</t>
  </si>
  <si>
    <t>Peso promedio pollo crudo beneficiado (kg)</t>
  </si>
  <si>
    <t>Campo: aves de 2,0–2,2 kg del centro de la campana de producción</t>
  </si>
  <si>
    <t>Piezas por pollo — corte broaster en planta</t>
  </si>
  <si>
    <t>Corte de 9 piezas en planta: 8 al combo + beneficio de costo (la 9ª alimenta piezas sueltas/VM)</t>
  </si>
  <si>
    <t>Piezas por pollo — asado (presas)</t>
  </si>
  <si>
    <t>Despresado estándar del asado en PDV</t>
  </si>
  <si>
    <t>Pollo crudo por bandeja marinada (kg)</t>
  </si>
  <si>
    <t>Bandeja de 550 g (spec de la dirección)</t>
  </si>
  <si>
    <t>Merma de cocción porkbelly (%)</t>
  </si>
  <si>
    <t>Horneado: merma 25% → 250 g cocidos exigen ~333 g crudos</t>
  </si>
  <si>
    <t>Factor de costo del aprovechamiento (value meal)</t>
  </si>
  <si>
    <t>La pieza del VM proviene de merma del asado no vendida: se le asigna 60% del costo pleno (el asado ya absorbió parte). Palanca editable.</t>
  </si>
  <si>
    <t>Margen de error de las fichas (%)</t>
  </si>
  <si>
    <t>Colchón sobre el costo teórico: desperdicio, variaciones de porción y de precio de insumos</t>
  </si>
  <si>
    <t>2. TABLA DE INSUMOS (costos unitarios editables — cotizar con compras JHS)</t>
  </si>
  <si>
    <t>Código</t>
  </si>
  <si>
    <t>Insumo</t>
  </si>
  <si>
    <t>Unidad</t>
  </si>
  <si>
    <t>Fuente / nota</t>
  </si>
  <si>
    <t>I01</t>
  </si>
  <si>
    <t>Pollo crudo beneficiado — precio de transferencia JHS</t>
  </si>
  <si>
    <t>USD/kg</t>
  </si>
  <si>
    <t>Palanca de integración vertical. Ref.: TIALBA facturaba pieza marinada a 0,65 USD (≈2,9 USD/kg con margen); JHS integrado debe estar por debajo. EDITAR con precio de transferencia definido por la dirección.</t>
  </si>
  <si>
    <t>I02</t>
  </si>
  <si>
    <t>USD/kg pollo</t>
  </si>
  <si>
    <t>Marinado por tumbler al vacío; costo de mezcla por kg de ave</t>
  </si>
  <si>
    <t>I03</t>
  </si>
  <si>
    <t>Apanado (predust + batter + breading)</t>
  </si>
  <si>
    <t>Línea de 3 capas en planta; consumo por kg de pieza</t>
  </si>
  <si>
    <t>I04</t>
  </si>
  <si>
    <t>Aceite de fritura (absorción + reposición)</t>
  </si>
  <si>
    <t>USD/pieza</t>
  </si>
  <si>
    <t>I05</t>
  </si>
  <si>
    <t>I06</t>
  </si>
  <si>
    <t>USD/und</t>
  </si>
  <si>
    <t>I07</t>
  </si>
  <si>
    <t>Porkbelly crudo (panceta con piel)</t>
  </si>
  <si>
    <t>Vertical cerdo JHS; precio de transferencia de planeación</t>
  </si>
  <si>
    <t>I08</t>
  </si>
  <si>
    <t>Refresco 1 litro (costo)</t>
  </si>
  <si>
    <t>I09</t>
  </si>
  <si>
    <t>Salsa value meal (mojo / teriyaki, porción)</t>
  </si>
  <si>
    <t>USD/porción</t>
  </si>
  <si>
    <t>Baño de salsa del frito de aprovechamiento (H3)</t>
  </si>
  <si>
    <t>I10</t>
  </si>
  <si>
    <t>Bolsa / empaque de combo</t>
  </si>
  <si>
    <t>Bolsa impresa MOY'S + papel grado alimentario</t>
  </si>
  <si>
    <t>I11</t>
  </si>
  <si>
    <t>Caja combo familiar</t>
  </si>
  <si>
    <t>Estuche familiar impreso</t>
  </si>
  <si>
    <t>I12</t>
  </si>
  <si>
    <t>Bandeja + film (crudo marinado)</t>
  </si>
  <si>
    <t>Bandeja PET + film para bandeja de 550 g</t>
  </si>
  <si>
    <t>I13</t>
  </si>
  <si>
    <t>Etiqueta (crudo marinado)</t>
  </si>
  <si>
    <t>Etiqueta con sabor, peso, lote y fecha</t>
  </si>
  <si>
    <t>I14</t>
  </si>
  <si>
    <t>Servilleta</t>
  </si>
  <si>
    <t>Impresa</t>
  </si>
  <si>
    <t>I15</t>
  </si>
  <si>
    <t>Sachet de ketchup / salsa</t>
  </si>
  <si>
    <t>Sachet 8 g</t>
  </si>
  <si>
    <t>I16</t>
  </si>
  <si>
    <t>Gas de cocción (por pollo asado)</t>
  </si>
  <si>
    <t>USD/pollo</t>
  </si>
  <si>
    <t>Horno rostizador a gas; consumo prorrateado por ave</t>
  </si>
  <si>
    <t>I17</t>
  </si>
  <si>
    <t>Energía de acabado de fritura (por combo)</t>
  </si>
  <si>
    <t>USD/combo</t>
  </si>
  <si>
    <t>Freidora abierta de acabado (~90 s) en PDV</t>
  </si>
  <si>
    <t>I18</t>
  </si>
  <si>
    <t>Guasacaca (porción)</t>
  </si>
  <si>
    <t>Salsa insignia incluida en combos de asado (estándar de la categoría)</t>
  </si>
  <si>
    <t>I19</t>
  </si>
  <si>
    <t>Bolsa papel individual / pieza</t>
  </si>
  <si>
    <t>Empaques de porción individual</t>
  </si>
  <si>
    <t>I20</t>
  </si>
  <si>
    <t>Par-freído + energía de planta (por pieza)</t>
  </si>
  <si>
    <t>Costo variable de proceso en planta (par-freído + horno espiral + IQF) por pieza</t>
  </si>
  <si>
    <t>3. RESUMEN DE COSTOS FINALES (alimenta SUP_PRECIOS — no editar)</t>
  </si>
  <si>
    <t>Costo final (USD)</t>
  </si>
  <si>
    <t>Ficha (fila)</t>
  </si>
  <si>
    <t>Ver ficha en fila 277</t>
  </si>
  <si>
    <t>PL-AS</t>
  </si>
  <si>
    <t>FICHA — Pollo asado marinado (costo por ave — auxiliar)</t>
  </si>
  <si>
    <t>Componente</t>
  </si>
  <si>
    <t>Cantidad</t>
  </si>
  <si>
    <t>Costo unit.</t>
  </si>
  <si>
    <t>Costo total</t>
  </si>
  <si>
    <t>Nota</t>
  </si>
  <si>
    <t>Pollo crudo beneficiado</t>
  </si>
  <si>
    <t>kg</t>
  </si>
  <si>
    <t>Insumos de marinado</t>
  </si>
  <si>
    <t>Gas de cocción (horno rostizador)</t>
  </si>
  <si>
    <t>pollo</t>
  </si>
  <si>
    <t>Subtotal costo teórico</t>
  </si>
  <si>
    <t>Margen de error (supuesto general)</t>
  </si>
  <si>
    <t>COSTO FINAL</t>
  </si>
  <si>
    <t>Auxiliar: costo del pollo asado listo (marinado por tumbler al vacío en planta + horneado en PDV). Las fichas de asado usan fracciones de este costo.</t>
  </si>
  <si>
    <t>PZ-BR</t>
  </si>
  <si>
    <t>FICHA — Pieza broaster prefrita en planta (costo por pieza — auxiliar)</t>
  </si>
  <si>
    <t>Pollo crudo (2 kg ÷ 9 piezas = 222 g/pieza)</t>
  </si>
  <si>
    <t>Beneficio del corte 9 piezas: 8 piezas = 1.777 g de ave, no un pollo completo</t>
  </si>
  <si>
    <t>Apanado (predust+batter+breading)</t>
  </si>
  <si>
    <t>Aceite de fritura</t>
  </si>
  <si>
    <t>pieza</t>
  </si>
  <si>
    <t>Par-freído + energía de planta</t>
  </si>
  <si>
    <t>Auxiliar Modelo A (Opción 2A): pieza apanada, par-freída y cocida en planta; acabado ~90 s en PDV.</t>
  </si>
  <si>
    <t>FICHA — Pollo entero asado + 4 contornos</t>
  </si>
  <si>
    <t>Pollo asado marinado (fracción de ave)</t>
  </si>
  <si>
    <t>Hallaquitas</t>
  </si>
  <si>
    <t>und</t>
  </si>
  <si>
    <t>Guasacaca</t>
  </si>
  <si>
    <t>porción</t>
  </si>
  <si>
    <t>Bolsa de combo</t>
  </si>
  <si>
    <t>Servilletas</t>
  </si>
  <si>
    <t>Sachets ketchup</t>
  </si>
  <si>
    <t>El combo insignia. Con IVA a 11,90 rompe la banda popular (10,99–14,99) según la estrategia de precio disruptivo.</t>
  </si>
  <si>
    <t>FICHA — Pollo entero asado + 4 contornos + refresco 1L</t>
  </si>
  <si>
    <t>Refresco 1L</t>
  </si>
  <si>
    <t>FICHA — Medio pollo asado + 2 contornos</t>
  </si>
  <si>
    <t>Hallaquita</t>
  </si>
  <si>
    <t>Sachet ketchup</t>
  </si>
  <si>
    <t>FICHA — Medio pollo asado + 2 contornos + refresco 1L</t>
  </si>
  <si>
    <t>FICHA — 2 piezas asado + 1 contorno</t>
  </si>
  <si>
    <t>Pollo asado marinado (2 de 8 presas)</t>
  </si>
  <si>
    <t>Bolsa papel individual</t>
  </si>
  <si>
    <t>FICHA — 8 piezas broaster + 4 contornos</t>
  </si>
  <si>
    <t>Piezas broaster prefritas (planta)</t>
  </si>
  <si>
    <t>Empaque</t>
  </si>
  <si>
    <t>Energía de acabado (freidora abierta PDV)</t>
  </si>
  <si>
    <t>combo</t>
  </si>
  <si>
    <t>8 piezas = 8/9 de ave (1.777 g crudo + apanado): el beneficio de costo del corte de 9 piezas en planta.</t>
  </si>
  <si>
    <t>FICHA — 8 piezas broaster + 4 contornos + refresco 1L</t>
  </si>
  <si>
    <t>FICHA — 4 piezas broaster + 2 contornos</t>
  </si>
  <si>
    <t>FICHA — 2 piezas broaster + 1 contorno</t>
  </si>
  <si>
    <t>Compite contra el ancla Dorado (2 pzas + papas 3,29).</t>
  </si>
  <si>
    <t>FICHA — Pieza frita en salsa + papas (value meal)</t>
  </si>
  <si>
    <t>Pieza de asado aprovechada (factor de costo)</t>
  </si>
  <si>
    <t>Merma del asado no vendida: 60% del costo pleno (editable en supuesto general)</t>
  </si>
  <si>
    <t>Salsa (mojo / teriyaki)</t>
  </si>
  <si>
    <t>Aceite de re-fritura</t>
  </si>
  <si>
    <t>Energía de acabado</t>
  </si>
  <si>
    <t>Value meal H3: genera tráfico y convierte merma en venta; margen deliberadamente delgado.</t>
  </si>
  <si>
    <t>FICHA — Bandeja 550 g pollo crudo marinado</t>
  </si>
  <si>
    <t>Pollo crudo (bandeja)</t>
  </si>
  <si>
    <t>Bandeja + film</t>
  </si>
  <si>
    <t>Etiqueta</t>
  </si>
  <si>
    <t>H4 — producto del ama de casa: sale directo de cava, sin estación de cocción. Margen retail, no QSR.</t>
  </si>
  <si>
    <t>FICHA — Combo Familiar MOY'S</t>
  </si>
  <si>
    <t>Pollo asado marinado</t>
  </si>
  <si>
    <t>Piezas broaster prefritas</t>
  </si>
  <si>
    <t>Cubre las dos ocasiones (asado + broaster) en una sola compra familiar; consume 1,89 pollos-equivalentes.</t>
  </si>
  <si>
    <t>FICHA — Porkbelly 250 g picado + papas</t>
  </si>
  <si>
    <t>Porkbelly crudo (250 g cocidos ÷ (1−merma))</t>
  </si>
  <si>
    <t>Gas de horneado (prorrateo)</t>
  </si>
  <si>
    <t>pollo-equiv</t>
  </si>
  <si>
    <t>Premium de la vertical cerdo: se hornea en la MISMA estación del asado — cero equipo adicional.</t>
  </si>
  <si>
    <t>FICHA — Porkbelly 500 g picado + papas</t>
  </si>
  <si>
    <t>Porkbelly crudo (500 g cocidos ÷ (1−merma))</t>
  </si>
  <si>
    <t>FICHA — Refresco 1 litro</t>
  </si>
  <si>
    <t>FICHA — Papas fritas adicionales</t>
  </si>
  <si>
    <t>Energía de fritura (prorrateo)</t>
  </si>
  <si>
    <t>FICHA — Hallaquitas adicionales (x4)</t>
  </si>
  <si>
    <t>SUP_VOLUMEN — PROYECCIÓN DE POLLOS POR PUNTO DE VENTA</t>
  </si>
  <si>
    <t>El pilar bottom-up del proyecto: pollos/mes por PDV con evidencia de campo, tres escenarios y elasticidad-precio editable.</t>
  </si>
  <si>
    <t>1. EVIDENCIA DE CAMPO (Gran Caracas, 13–21 jul 2026)</t>
  </si>
  <si>
    <t>Pollos/semana por PDV — monoproducto (ajustado al 60% de la semana pico)</t>
  </si>
  <si>
    <t>Pollos/semana por PDV — cadena multiproducto (mixto)</t>
  </si>
  <si>
    <t>MOY'S vende asado + broaster + VM + porkbelly + crudo en todos los puntos (≈ +33% vs monoproducto)</t>
  </si>
  <si>
    <t>Semanas por mes</t>
  </si>
  <si>
    <t>Pico observado en top performers (pollos/día, fin de semana)</t>
  </si>
  <si>
    <t>Filas de 600–1.000 pollos/día en los puntos de mayor rotación — referencia de techo, NO de proyección</t>
  </si>
  <si>
    <t>Pollos/mes evidencia — monoproducto</t>
  </si>
  <si>
    <t>Pollos/mes evidencia — multiproducto (base MOY'S)</t>
  </si>
  <si>
    <t>PE</t>
  </si>
  <si>
    <t>2. ESCENARIOS DE VOLUMEN (PDV VENTANA, antes de elasticidad)</t>
  </si>
  <si>
    <t>BÁSICO</t>
  </si>
  <si>
    <t>MEDIO</t>
  </si>
  <si>
    <t>ALTO</t>
  </si>
  <si>
    <t>Factor implícito sobre la evidencia multiproducto (informativo)</t>
  </si>
  <si>
    <t>Los escenarios pasan a ser un input directo de la dirección (fila 16); este factor solo informa su relación con la evidencia de campo.</t>
  </si>
  <si>
    <t>Pollos/mes por PDV VENTANA (INPUT dirección — volumen TOTAL combinado asado + broaster; techo del formato)</t>
  </si>
  <si>
    <t>3. ELASTICIDAD-PRECIO (ajusta el volumen si cambia el precio del combo insignia)</t>
  </si>
  <si>
    <t>Precio de referencia del combo pollo entero (con IVA)</t>
  </si>
  <si>
    <t>Precio al que se observó/valida la evidencia de volumen (precio disruptivo de la estrategia)</t>
  </si>
  <si>
    <t>Precio actual del combo AS-01 (vínculo a SUP_PRECIOS)</t>
  </si>
  <si>
    <t>Elasticidad-precio de la demanda (por escenario)</t>
  </si>
  <si>
    <t>Ver fuentes en la sección 7. Más negativo = consumidor más sensible al precio (NSE C/D)</t>
  </si>
  <si>
    <t>Factor de ajuste por elasticidad = (P actual / P ref) ^ elasticidad</t>
  </si>
  <si>
    <t>POLLOS/MES AJUSTADOS — PDV VENTANA</t>
  </si>
  <si>
    <t>Si sube el precio en SUP_PRECIOS, el volumen cae según la elasticidad — y viceversa</t>
  </si>
  <si>
    <t>4. VOLUMEN POR FORMATO DE PDV</t>
  </si>
  <si>
    <t>Uplift de venta DINE-IN sobre ventana (%)</t>
  </si>
  <si>
    <t>Spec de la dirección: salón + permanencia + ticket</t>
  </si>
  <si>
    <t>Uplift de venta FLAGSHIP sobre ventana (%)</t>
  </si>
  <si>
    <t>Spec de la dirección: el FLAGSHIP vende el DOBLE de una tienda ventana (uplift 100%).</t>
  </si>
  <si>
    <t>Pollos/mes por PDV</t>
  </si>
  <si>
    <t>VENTANA (to-go)</t>
  </si>
  <si>
    <t>DINE-IN (in-line)</t>
  </si>
  <si>
    <t>5. DISTRIBUCIÓN DEL VOLUMEN POR PLATAFORMA (% de pollos equivalentes — editable)</t>
  </si>
  <si>
    <t>Pollo asado (a la brasa)</t>
  </si>
  <si>
    <t>H1 validada: el asado lidera la categoría (relación asado:broaster ≈ 3:1 en el mercado; MOY'S balancea con broaster propio)</t>
  </si>
  <si>
    <t>Pollo broaster (prefrito en planta)</t>
  </si>
  <si>
    <t>H2: apanado con acabado 90 s (Modelo A)</t>
  </si>
  <si>
    <t>Value meal frito en salsa</t>
  </si>
  <si>
    <t>H3: aprovechamiento del asado — tráfico</t>
  </si>
  <si>
    <t>Crudo marinado (bandeja)</t>
  </si>
  <si>
    <t>H4: producto del ama de casa; sale de cava sin cocción</t>
  </si>
  <si>
    <t>Combo familiar (asado + broaster)</t>
  </si>
  <si>
    <t>Cubre la ocasión familiar; consume 1,89 pollos-equivalentes por combo</t>
  </si>
  <si>
    <t>CONTROL — la suma debe ser 100%</t>
  </si>
  <si>
    <t>Si no suma 100%, ajuste los porcentajes: el modelo reparte TODOS los pollos proyectados</t>
  </si>
  <si>
    <t>6. SALIDAS DE RED (mezcla del piloto — editable)</t>
  </si>
  <si>
    <t>N° de tiendas VENTANA en el piloto</t>
  </si>
  <si>
    <t>Mezcla base capa 1: 7 ventanas + 3 dine-in (editable; p. ej. 7-2 si se abre flagship). El flagship entra por el switch de la CAPA 2 en SUP_CONTROL.</t>
  </si>
  <si>
    <t>N° de tiendas DINE-IN en el piloto</t>
  </si>
  <si>
    <t>N° de tiendas FLAGSHIP en el piloto</t>
  </si>
  <si>
    <t>Salidas de red (10 PDV)</t>
  </si>
  <si>
    <t>Pollos/mes de la RED</t>
  </si>
  <si>
    <t>La red del piloto es la semilla del canal: escalar a N tiendas multiplica esta salida</t>
  </si>
  <si>
    <t>Kilos de pollo/mes de la RED (peso vivo crudo)</t>
  </si>
  <si>
    <t>Toneladas/mes de la RED</t>
  </si>
  <si>
    <t>% del mandato de 200 ton/mes que absorbe el piloto</t>
  </si>
  <si>
    <t>Venta neta estimada/mes — PDV VENTANA, escenario MEDIO (vínculo a SUP_PRECIOS)</t>
  </si>
  <si>
    <t>Margen de contribución/mes — PDV VENTANA, escenario MEDIO</t>
  </si>
  <si>
    <t>Venta neta estimada/mes de la RED (escenario MEDIO)</t>
  </si>
  <si>
    <t>Aproximación lineal: la mezcla de productos es idéntica entre formatos; solo escala el volumen</t>
  </si>
  <si>
    <t>7. FUENTES DE ELASTICIDAD-PRECIO (soporte del supuesto)</t>
  </si>
  <si>
    <t>• Andreyeva, Long &amp; Brownell (2010), American Journal of Public Health — revisión sistemática de 160 estudios EE. UU.: elasticidad promedio de aves −0,68 (IC 95%: 0,44–0,92).</t>
  </si>
  <si>
    <t>• Gallet (2010) y meta-análisis regionales de demanda de carnes: el pollo es la carne MENOS elástica del portafolio de proteínas en mercados desarrollados.</t>
  </si>
  <si>
    <t>• Estudios LatAm (p. ej. demanda avícola Perú, 2024–2025; IFPRI E-FooD): en segmentos de menor ingreso el pollo se comporta como bien elástico (|ε| ≥ 1) — consistente con el consumidor NSE C/D venezolano que 'valida el precio del producto, no el costo del servicio'.</t>
  </si>
  <si>
    <t>• Aplicación MOY'S: Básico −0,7 (mercado maduro/menos sensible) · Medio −1,0 (elasticidad unitaria, punto de partida prudente para QSR de valor) · Alto −1,3 (guerra de precios / hipersensibilidad). Forma funcional de elasticidad constante: V = V₀ × (P/P₀)^ε.</t>
  </si>
  <si>
    <t>• Límite metodológico: no existe medición econométrica propia del mercado venezolano; la elasticidad es un supuesto de planeación editable. La Fase B puede calibrarla con el test A/B de precio del piloto (11,90 vs 12,90).</t>
  </si>
  <si>
    <t>SUP_OPEX — GASTOS OPERATIVOS POR FORMATO DE PDV Y PLANTA</t>
  </si>
  <si>
    <t>Nómina, renta y gastos variables por formato (fuente: Modelo_Piloto v1 y bandas de mercado QSR Caracas jul-2026). Alimenta todas las capas.</t>
  </si>
  <si>
    <t>1. NÓMINA POR FORMATO (salarios USD/mes editables · dotación editable)</t>
  </si>
  <si>
    <t>Cargo</t>
  </si>
  <si>
    <t>Salario</t>
  </si>
  <si>
    <t>Gerente de tienda (flagship)</t>
  </si>
  <si>
    <t>Administrador / cajero</t>
  </si>
  <si>
    <t>Operario de cocina</t>
  </si>
  <si>
    <t>Ensamblador / despacho</t>
  </si>
  <si>
    <t>Aseo de salón</t>
  </si>
  <si>
    <t>Coordinador drive-thru / delivery (flagship)</t>
  </si>
  <si>
    <t>Nómina base mensual</t>
  </si>
  <si>
    <t>Factor de carga laboral patronal (%)</t>
  </si>
  <si>
    <t>IVSS + RPE + FAOV + INCES + pensiones + provisiones LOTTT (~40% validado en DD).</t>
  </si>
  <si>
    <t>Nómina cargada mensual</t>
  </si>
  <si>
    <t>2. RENTA POR FORMATO</t>
  </si>
  <si>
    <t>Superficie (m²)</t>
  </si>
  <si>
    <t>Renta (USD/m²/mes)</t>
  </si>
  <si>
    <t>Pad freestanding grande: mejor tarifa por superficie; incluye zona de estacionamiento y parque en el canon.</t>
  </si>
  <si>
    <t>Renta mensual (USD)</t>
  </si>
  <si>
    <t>HCM colectivo mensual por PDV (1 admin a tarifa coordinador + resto operativos)</t>
  </si>
  <si>
    <t>3. GASTO FIJO MENSUAL TOTAL POR FORMATO (nómina cargada + renta)</t>
  </si>
  <si>
    <t>GASTO FIJO MENSUAL POR PDV</t>
  </si>
  <si>
    <t>4. GASTOS VARIABLES (% del ingreso neto — editables)</t>
  </si>
  <si>
    <t>Servicios (electricidad, agua, gas, telecom)</t>
  </si>
  <si>
    <t>Mantenimiento</t>
  </si>
  <si>
    <t>Otros gastos (IGTF, seguridad, empaques no costeados)</t>
  </si>
  <si>
    <t>Comisiones de medios de pago</t>
  </si>
  <si>
    <t>TOTAL GASTOS VARIABLES (% del ingreso)</t>
  </si>
  <si>
    <t>Comisión ponderada canal DELIVERY (solo flagship, % del ingreso)</t>
  </si>
  <si>
    <t>Mezcla delivery directo + apps (~15% de las ventas × ~20% de comisión de app).</t>
  </si>
  <si>
    <t>5. PLANTA — GASTO FIJO (SUSTITUIDO POR EL OVERHEAD CORPORATIVO)</t>
  </si>
  <si>
    <t>Gasto fijo de planta v1 (5.000/mes) — SUSTITUIDO: la administración de planta y de cadena vive ahora en SUP_OVERHEAD</t>
  </si>
  <si>
    <t>El rubro genérico de 5.000 del modelo v1 se reemplaza por la estructura corporativa completa (SUP_OVERHEAD): piso directivo + supervisión de zona + presupuesto en % de ingresos.</t>
  </si>
  <si>
    <t>El fijo incremental de las fases 2 y 3 de planta (personal de producción) se mantiene en SUP_PRODUCCION C58.</t>
  </si>
  <si>
    <t>6. CURVA DE MADURACIÓN DEL PILOTO Y FLAGSHIP (% de venta plena)</t>
  </si>
  <si>
    <t>Mes 1 de apertura</t>
  </si>
  <si>
    <t>Mes 2</t>
  </si>
  <si>
    <t>Mes 3 en adelante</t>
  </si>
  <si>
    <t>Práctica QSR mercados emergentes (spec original del piloto). La capa 3 usa su propia curva de acreditación en SUP_C3_EXPANSION.</t>
  </si>
  <si>
    <t>7. VIDAS ÚTILES (depreciación lineal)</t>
  </si>
  <si>
    <t>CAPEX de tiendas y planta (años)</t>
  </si>
  <si>
    <t>Simplificación del modelo v2: todo el CAPEX se deprecia a 10 años (120 meses). Preoperativos incluidos por materialidad.</t>
  </si>
  <si>
    <t>HCM COLECTIVO (seguro de salud) — USD por empleado/mes</t>
  </si>
  <si>
    <t>Operativo de tienda</t>
  </si>
  <si>
    <t>Coordinador / analista / administrador de PDV</t>
  </si>
  <si>
    <t>Gerente / director</t>
  </si>
  <si>
    <t>Dotación: el Administrador de PDV cuenta como coordinador ($35); el resto del staff de tienda como operativo ($20). En corporativo: gerentes y directores $100; coordinadores y analistas $35.</t>
  </si>
  <si>
    <t>SUP_OVERHEAD — ESTRUCTURA CORPORATIVA (SUSTITUYE EL FIJO GENÉRICO DE PLANTA v1)</t>
  </si>
  <si>
    <t>Piso directivo desde el día 1 + supervisión de zona por cada 10 tiendas + presupuesto de overhead en % de ingresos que SE DILUYE en porcentaje pero CRECE en valor absoluto (financia calidad, auditoría, contraloría y nuevos cargos). El overhead del mes se asigna a las capas activas por su participación en ingresos.</t>
  </si>
  <si>
    <t>1. ESTRUCTURA MÍNIMA CORPORATIVA — DESDE EL DÍA 1 (salarios USD/mes editables)</t>
  </si>
  <si>
    <t>Gerente General</t>
  </si>
  <si>
    <t>Director de Expansión</t>
  </si>
  <si>
    <t>Coordinador de Mercadeo</t>
  </si>
  <si>
    <t>Analista de Operaciones</t>
  </si>
  <si>
    <t>Subtotal salarios de estructura</t>
  </si>
  <si>
    <t>Carga laboral patronal (vínculo a SUP_OPEX)</t>
  </si>
  <si>
    <t>PISO MENSUAL CARGADO DE LA ESTRUCTURA</t>
  </si>
  <si>
    <t>Hasta la tienda 10, los PDV reportan directamente al Gerente General y al Director de Expansión.</t>
  </si>
  <si>
    <t>Coordinador de Entrenamiento (anexo Perfiles_Cargos v2 — desde mes 1)</t>
  </si>
  <si>
    <t>2. SUPERVISIÓN DE ZONA (crece con la cadena)</t>
  </si>
  <si>
    <t>Analista de RRHH y Selección (anexo Perfiles_Cargos v2 — desde mes 1)</t>
  </si>
  <si>
    <t>Salario mensual del supervisor de zona (USD)</t>
  </si>
  <si>
    <t>Tiendas por supervisor (zona)</t>
  </si>
  <si>
    <t>Un supervisor por cada 10 tiendas; se contratan al superar el umbral y crecen con la cadena.</t>
  </si>
  <si>
    <t>PDV con reporte directo a la dirección (umbral sin supervisores)</t>
  </si>
  <si>
    <t>HCM colectivo del piso corporativo (2 gerencia/dirección + 4 coordinación/análisis)</t>
  </si>
  <si>
    <t>3. PRESUPUESTO DE OVERHEAD EN % DE INGRESOS POR AÑO (editable — se diluye en % y crece en USD)</t>
  </si>
  <si>
    <t>HCM colectivo por supervisor de zona (nivel coordinación)</t>
  </si>
  <si>
    <t>Año</t>
  </si>
  <si>
    <t>% de overhead sobre ingresos de la cadena</t>
  </si>
  <si>
    <t>El overhead del mes = MAX(estructura mínima, % del año × ingresos). El excedente sobre la estructura es la partida corporativa para calidad, auditoría, contraloría, entrenamiento y nuevos cargos. Benchmark QSR: G&amp;A 3–6% de ventas en cadenas maduras; el modelo parte en 8% y se diluye hasta un piso de 4% — baja en porcentaje pero nunca en valor absoluto.</t>
  </si>
  <si>
    <t>4. TECNOLOGÍA RECURRENTE</t>
  </si>
  <si>
    <t>Mantenimiento y evolución tecnológica mensual (vínculo a SUP_TECNOLOGIA)</t>
  </si>
  <si>
    <t>Mes de arranque del piso directivo corporativo (editable — hoy: 1 mes antes de la 1ra apertura del piloto)</t>
  </si>
  <si>
    <t>5. CÁLCULO MENSUAL DEL OVERHEAD Y ASIGNACIÓN POR CAPA</t>
  </si>
  <si>
    <t>Mes</t>
  </si>
  <si>
    <t>PDV totales de la cadena</t>
  </si>
  <si>
    <t>Supervisores de zona (1 por cada 10 tiendas al superar el umbral)</t>
  </si>
  <si>
    <t>Estructura mínima del mes (piso + supervisores cargados + tecnología)</t>
  </si>
  <si>
    <t>Ingresos de la cadena (capas activas)</t>
  </si>
  <si>
    <t>% de overhead objetivo del año</t>
  </si>
  <si>
    <t>Presupuesto por % de ingresos</t>
  </si>
  <si>
    <t>OVERHEAD CORPORATIVO DEL MES = MAX(estructura, presupuesto)</t>
  </si>
  <si>
    <t>Partida corporativa adicional (calidad, auditoría, contraloría, entrenamiento)</t>
  </si>
  <si>
    <t>Overhead asignado a CAPA 1 (por participación en ingresos)</t>
  </si>
  <si>
    <t>Overhead asignado a CAPA 2</t>
  </si>
  <si>
    <t>Overhead asignado a CAPA 3</t>
  </si>
  <si>
    <t>Overhead asignado a CAPA 4</t>
  </si>
  <si>
    <t>Antes de la primera venta, todo el overhead se asigna a la capa 1 (la estructura arranca con el proyecto). El overhead reduce el EBITDA de cada capa y, por lo tanto, el pool del waterfall.</t>
  </si>
  <si>
    <t>SUP_TECNOLOGIA — SISTEMAS DE INFORMACIÓN DEL PROYECTO MOY'S</t>
  </si>
  <si>
    <t>POS por punto de venta (valor y número de cajas editables por formato) + fondo tecnológico central: planeación de la demanda, página web, app de pedidos, nube y BI.</t>
  </si>
  <si>
    <t>1. PUNTO DE VENTA — SISTEMA POS (editable)</t>
  </si>
  <si>
    <t>Valor por caja POS (hardware + software + impresora fiscal), USD</t>
  </si>
  <si>
    <t>Licencia + terminal + periféricos por caja. Hallazgo de campo: la caja es el cuello de botella del servicio — POS ágil es palanca de throughput.</t>
  </si>
  <si>
    <t>Número de cajas por formato</t>
  </si>
  <si>
    <t>Cajas por PDV (editable)</t>
  </si>
  <si>
    <t>CAPEX POS por PDV (cae al CAPEX de cada formato)</t>
  </si>
  <si>
    <t>Estas cifras alimentan la fila "Sistema POS" de SUP_CAPEX_VENTANA, SUP_CAPEX_DINEIN y SUP_CAPEX_FLAGSHIP: cada apertura carga sus cajas automáticamente.</t>
  </si>
  <si>
    <t>2. FONDO TECNOLÓGICO CENTRAL (una sola vez — editable)</t>
  </si>
  <si>
    <t>Software de planeación de la demanda (forecasting + inventarios + compras)</t>
  </si>
  <si>
    <t>Planifica el pollo de la cadena contra la capacidad de planta; insumo del S&amp;OP.</t>
  </si>
  <si>
    <t>Página web corporativa + pedidos web</t>
  </si>
  <si>
    <t>App de pedidos (iOS/Android) + integración con POS y delivery</t>
  </si>
  <si>
    <t>Canal propio de pedidos: reduce dependencia de apps de terceros y su comisión.</t>
  </si>
  <si>
    <t>Infraestructura de nube, BI y ciberseguridad</t>
  </si>
  <si>
    <t>Tableros de venta diaria por PDV en línea.</t>
  </si>
  <si>
    <t>Contingencia digital (integraciones, fiscal, imprevistos)</t>
  </si>
  <si>
    <t>TOTAL FONDO TECNOLÓGICO</t>
  </si>
  <si>
    <t>Mes de inversión del fondo</t>
  </si>
  <si>
    <t>Se invierte durante la construcción de la planta para arrancar el piloto con sistemas en línea. Cae en la inversión de la capa 1.</t>
  </si>
  <si>
    <t>3. EVOLUCIÓN Y MANTENIMIENTO TECNOLÓGICO (recurrente)</t>
  </si>
  <si>
    <t>Mantenimiento y evolución anual (% del fondo)</t>
  </si>
  <si>
    <t>Licencias, soporte, releases de la app y del forecasting.</t>
  </si>
  <si>
    <t>Gasto tecnológico mensual (entra al overhead corporativo)</t>
  </si>
  <si>
    <t>SUP_CAPEX_PLANTA — CENTRO DE PRODUCCIÓN (TEJERÍAS)</t>
  </si>
  <si>
    <t>Línea Modelo A (Opción 2A): marinado, despiece 9 piezas, apanado, par-freído, horno espiral, IQF y empaque. Catálogo editable — cifras de planeación, cotización formal pendiente.</t>
  </si>
  <si>
    <t>1. SUPUESTOS DE IMPORTACIÓN Y OBRA (editables — palanca del modelo)</t>
  </si>
  <si>
    <t>Flete internacional (% sobre FOB)</t>
  </si>
  <si>
    <t>Ref.: contenedor 40' China → Pto. Cabello</t>
  </si>
  <si>
    <t>Arancel + gastos de nacionalización (% sobre CIF)</t>
  </si>
  <si>
    <t>Fijado por la investigación (45%). PALANCA: exoneración de bienes de capital puede llevarlo a 2%/0% + IVA exento</t>
  </si>
  <si>
    <t>FACTOR NACIONALIZADO (multiplica el FOB)</t>
  </si>
  <si>
    <t>Costo puesto en Venezuela = FOB × este factor (1,64x base)</t>
  </si>
  <si>
    <t>Factor con exoneración BK (informativo)</t>
  </si>
  <si>
    <t>Verificar partida por partida con agente aduanal — ahorro potencial USD 100–200k</t>
  </si>
  <si>
    <t>Instalación y puesta en marcha de planta (% del equipo)</t>
  </si>
  <si>
    <t>Montaje, eléctrico trifásico, frío, vapor</t>
  </si>
  <si>
    <t>Contingencia sobre CAPEX (%)</t>
  </si>
  <si>
    <t>Imprevistos de obra, repuestos de arranque. Aplica también a los CAPEX de PDV.</t>
  </si>
  <si>
    <t>2. CATÁLOGO DE EQUIPOS DE PLANTA (FOB / costo local editables)</t>
  </si>
  <si>
    <t>Equipo / línea</t>
  </si>
  <si>
    <t>Origen</t>
  </si>
  <si>
    <t>FOB (USD)</t>
  </si>
  <si>
    <t>Costo local (USD)</t>
  </si>
  <si>
    <t>Costo VE (USD)</t>
  </si>
  <si>
    <t>Cant.</t>
  </si>
  <si>
    <t>Total (USD)</t>
  </si>
  <si>
    <t>Nota / fuente</t>
  </si>
  <si>
    <t>P01</t>
  </si>
  <si>
    <t>Tumbler de marinado al vacío 500 L + bomba</t>
  </si>
  <si>
    <t>China</t>
  </si>
  <si>
    <t>P11</t>
  </si>
  <si>
    <t>Local</t>
  </si>
  <si>
    <t>P05</t>
  </si>
  <si>
    <t>P06</t>
  </si>
  <si>
    <t>P07</t>
  </si>
  <si>
    <t>P08</t>
  </si>
  <si>
    <t>Abatidor + congelador IQF espiral compacto</t>
  </si>
  <si>
    <t>P02</t>
  </si>
  <si>
    <t>P04</t>
  </si>
  <si>
    <t>Mesas, básculas y utilería de planta</t>
  </si>
  <si>
    <t>P10</t>
  </si>
  <si>
    <t>Subtotal equipo de planta</t>
  </si>
  <si>
    <t>Instalación y puesta en marcha</t>
  </si>
  <si>
    <t>Contingencia</t>
  </si>
  <si>
    <t>Nota del comité: multiplicar el equipo crítico ×1 planta es siempre superior a ×10 tiendas (capex, calidad y escalabilidad). La misma línea habilita prelistos apanados y preformados para retail (Fases 2–3) con inversión incremental.</t>
  </si>
  <si>
    <t>SUP_CAPEX_VENTANA — PUNTO DE VENTA — FORMATO VENTANA / TO-GO</t>
  </si>
  <si>
    <t>1. SUPUESTOS DEL LOCAL (editables)</t>
  </si>
  <si>
    <t>Superficie del local (m²)</t>
  </si>
  <si>
    <t>Costo de adecuación (USD por m²)</t>
  </si>
  <si>
    <t>Obra civil, eléctrica, plomería y acabados (modelo v2; doc. de entrega usó 400/m² como piso)</t>
  </si>
  <si>
    <t>Gastos preoperativos por tienda (USD)</t>
  </si>
  <si>
    <t>Permisos, legales, entrenamiento y mercadeo de apertura</t>
  </si>
  <si>
    <t>Factor de nacionalización (vínculo a planta)</t>
  </si>
  <si>
    <t>Contingencia (vínculo a planta)</t>
  </si>
  <si>
    <t>2. EQUIPAMIENTO DEL PUNTO DE VENTA (FOB / costo local editables)</t>
  </si>
  <si>
    <t>Ítem</t>
  </si>
  <si>
    <t>L01</t>
  </si>
  <si>
    <t>L02</t>
  </si>
  <si>
    <t>Nevera / cava de refrigeración (freezer-pull y atemperado)</t>
  </si>
  <si>
    <t>Avalúo Pollo Cool USD 3.000</t>
  </si>
  <si>
    <t>L03</t>
  </si>
  <si>
    <t>Nevera exhibidora de bebidas + exhibición crudo marinado</t>
  </si>
  <si>
    <t>Mercado local; incluye frío de exhibición del crudo (H4)</t>
  </si>
  <si>
    <t>L04</t>
  </si>
  <si>
    <t>Campana extractora 2 m + ductería</t>
  </si>
  <si>
    <t>Avalúo Pollo Cool USD 2.000</t>
  </si>
  <si>
    <t>L05</t>
  </si>
  <si>
    <t>Mesas de trabajo acero inox (juego x3)</t>
  </si>
  <si>
    <t>Avalúo: USD 400–600 c/u</t>
  </si>
  <si>
    <t>L06</t>
  </si>
  <si>
    <t>Fregadero industrial + trampa de grasas</t>
  </si>
  <si>
    <t>Estación de lavado (espadas y utensilios)</t>
  </si>
  <si>
    <t>L07</t>
  </si>
  <si>
    <t>Sistema POS: cajas (hardware + software + impresora fiscal) — ver SUP_TECNOLOGIA</t>
  </si>
  <si>
    <t>Valor por caja y número de cajas por formato editables en SUP_TECNOLOGIA.</t>
  </si>
  <si>
    <t>L08</t>
  </si>
  <si>
    <t>Aviso exterior + branding de fachada MOY'S</t>
  </si>
  <si>
    <t>Fabricación local: cajas de luz, tótem, marquesina (flagship: fachada premium)</t>
  </si>
  <si>
    <t>L12</t>
  </si>
  <si>
    <t>Equipo de cómputo / back office</t>
  </si>
  <si>
    <t>Avalúo USD 200–500</t>
  </si>
  <si>
    <t>L13</t>
  </si>
  <si>
    <t>Menaje, bandejas, gastronorm, empaque inicial</t>
  </si>
  <si>
    <t>Arranque</t>
  </si>
  <si>
    <t>E05</t>
  </si>
  <si>
    <t>Menu boards digitales (3 pantallas 43" + player)</t>
  </si>
  <si>
    <t>Ancla local: TV 43" USD 260 c/u (avalúo)</t>
  </si>
  <si>
    <t>E09</t>
  </si>
  <si>
    <t>Kit espadas / canastas + balanza + utensilios</t>
  </si>
  <si>
    <t>Consumibles de arranque</t>
  </si>
  <si>
    <t>E01</t>
  </si>
  <si>
    <t>E02</t>
  </si>
  <si>
    <t>L14</t>
  </si>
  <si>
    <t>Estufa 2 puestos (hallaquitas)</t>
  </si>
  <si>
    <t>Zona de fritos y estufa</t>
  </si>
  <si>
    <t>E04</t>
  </si>
  <si>
    <t>Vitrina caliente exhibidora 1,2 m</t>
  </si>
  <si>
    <t>E07</t>
  </si>
  <si>
    <t>Baño maría con humedad (hallaquitas)</t>
  </si>
  <si>
    <t>Humedad para hallaquitas</t>
  </si>
  <si>
    <t>E08</t>
  </si>
  <si>
    <t>Mantenedor de fritos calor seco (papa)</t>
  </si>
  <si>
    <t>Calor seco, no húmedo</t>
  </si>
  <si>
    <t>L11</t>
  </si>
  <si>
    <t>Mini split 12.000 BTU</t>
  </si>
  <si>
    <t>Ref. mercado local</t>
  </si>
  <si>
    <t>Subtotal equipo por tienda</t>
  </si>
  <si>
    <t>Adecuación del local (m² × USD/m²)</t>
  </si>
  <si>
    <t>Gastos preoperativos</t>
  </si>
  <si>
    <t>Subtotal tienda</t>
  </si>
  <si>
    <t>CAPEX TOTAL POR TIENDA</t>
  </si>
  <si>
    <t>SUP_CAPEX_DINEIN — PUNTO DE VENTA — FORMATO DINE-IN (IN-LINE)</t>
  </si>
  <si>
    <t>L10</t>
  </si>
  <si>
    <t>Aire acondicionado 5 ton (salón)</t>
  </si>
  <si>
    <t>L09</t>
  </si>
  <si>
    <t>Mobiliario de comedor (12 juegos mesa + sillas)</t>
  </si>
  <si>
    <t>Avalúo ~USD 160/juego</t>
  </si>
  <si>
    <t>SUP_CAPEX_FLAGSHIP — RESTAURANTE BANDERA MOY'S (400 m² / 150 SILLAS)</t>
  </si>
  <si>
    <t>1. SUPUESTOS DEL LOCAL Y OBRA (editables)</t>
  </si>
  <si>
    <t>Superficie construida (m²)</t>
  </si>
  <si>
    <t>Salón 150 sillas (~180 m²) + cocina y BOH (~120 m²) + baños/servicios (~40 m²) + zona infantil interior (~60 m²).</t>
  </si>
  <si>
    <t>Sillas del salón</t>
  </si>
  <si>
    <t>Benchmark flagship QSR de pollo (KFC/Popeyes flagship LatAm: 120–180 asientos).</t>
  </si>
  <si>
    <t>Puestos de estacionamiento</t>
  </si>
  <si>
    <t>Spec de la dirección.</t>
  </si>
  <si>
    <t>Costo de adecuación interior (USD por m²)</t>
  </si>
  <si>
    <t>Obra exterior — estacionamiento y vialidad interna (USD)</t>
  </si>
  <si>
    <t>Obra exterior — carril drive-thru + canopy + señalización vial (USD)</t>
  </si>
  <si>
    <t>Obra exterior — cerramiento y piso de seguridad del parque infantil (USD)</t>
  </si>
  <si>
    <t>Gastos preoperativos (USD)</t>
  </si>
  <si>
    <t>Permisos, legales, entrenamiento de dotación ampliada y mercadeo de apertura de la bandera.</t>
  </si>
  <si>
    <t>Instalación y puesta en marcha de equipos (% del equipo)</t>
  </si>
  <si>
    <t>2. EQUIPAMIENTO DEL FLAGSHIP (FOB / costo local editables)</t>
  </si>
  <si>
    <t>POS</t>
  </si>
  <si>
    <t>BB1</t>
  </si>
  <si>
    <t>Dispensadores de bebida postmix (2 torres)</t>
  </si>
  <si>
    <t>Comodato</t>
  </si>
  <si>
    <t>Los provee el proveedor de bebidas en comodato — CAPEX cero (spec).</t>
  </si>
  <si>
    <t>Subtotal equipo del flagship</t>
  </si>
  <si>
    <t>Adecuación interior (m² × USD/m²)</t>
  </si>
  <si>
    <t>Subtotal flagship</t>
  </si>
  <si>
    <t>Benchmark: un flagship freestanding de la categoría pollo QSR (KFC/Popeyes/El Pollo Loco) cuesta 6–12× una unidad in-line compacta; este CAPEX queda dentro de esa banda frente a la ventana de ~USD 77k.</t>
  </si>
  <si>
    <t>SUP_PRODUCCION — CAPACIDAD DE PLANTA POR FASE Y PLAN DE INVERSIÓN</t>
  </si>
  <si>
    <t>Modelo de capacidad por estación (cuello de botella), fases de ampliación disparadas por utilización, y propuesta de localización en Riofrío (FRIAGRO, Las Tejerías).</t>
  </si>
  <si>
    <t>1. PARÁMETROS OPERATIVOS DE PLANTA (editables)</t>
  </si>
  <si>
    <t>Horas efectivas de proceso por día</t>
  </si>
  <si>
    <t>2 turnos completos con alistamiento y limpieza descontados. La cadena de 50 PDV exige doble turno.</t>
  </si>
  <si>
    <t>Días de proceso por mes</t>
  </si>
  <si>
    <t>Eficiencia global de línea — OEE (%)</t>
  </si>
  <si>
    <t>Arranques, cambios de formato y microparadas. Editable: cada punto de OEE es capacidad gratis.</t>
  </si>
  <si>
    <t>2. CAPACIDAD DEL TUMBLER DE MARINADO (todo el pollo pasa por marinado)</t>
  </si>
  <si>
    <t>Volumen del tumbler (litros)</t>
  </si>
  <si>
    <t>P01 del CAPEX de planta.</t>
  </si>
  <si>
    <t>Carga por batch (kg por litro)</t>
  </si>
  <si>
    <t>Regla de la industria para tumbling al vacío de pieza con hueso: ~50% del volumen.</t>
  </si>
  <si>
    <t>Minutos por ciclo de marinado al vacío</t>
  </si>
  <si>
    <t>Ciclo corto de absorción con vacío.</t>
  </si>
  <si>
    <t>Cambios de marinado por día (3 sabores)</t>
  </si>
  <si>
    <t>Lavado y cambio de salmuera entre sabores.</t>
  </si>
  <si>
    <t>Minutos por cambio de marinado</t>
  </si>
  <si>
    <t>Kg por batch</t>
  </si>
  <si>
    <t>Batches por día</t>
  </si>
  <si>
    <t>CAPACIDAD DEL TUMBLER (ton/mes por unidad)</t>
  </si>
  <si>
    <t>Un tumbler de 500 L marina ~65 t/mes en 2 turnos: la estación de marinado es el primer cuello real de la Fase 1.</t>
  </si>
  <si>
    <t>3. CAPACIDAD POR ESTACIÓN — FASE 1 (kg/h nominales editables)</t>
  </si>
  <si>
    <t>Estación</t>
  </si>
  <si>
    <t>kg/h nominal</t>
  </si>
  <si>
    <t>ton/mes efectiva</t>
  </si>
  <si>
    <t>Línea de apanado</t>
  </si>
  <si>
    <t>Solo flujo broaster.</t>
  </si>
  <si>
    <t>Freidora de par-freído (batch cerrado, Fase 1)</t>
  </si>
  <si>
    <t>Solo flujo broaster. Es el cuello del flujo broaster en Fase 1.</t>
  </si>
  <si>
    <t>Horno espiral de vapor</t>
  </si>
  <si>
    <t>Solo flujo broaster (cocción a núcleo ≥74 °C).</t>
  </si>
  <si>
    <t>IQF espiral compacto</t>
  </si>
  <si>
    <t>Solo flujo broaster (pieza apanada: espiral, no lecho fluidizado).</t>
  </si>
  <si>
    <t>Túnel de congelación (asado marinado + crudo)</t>
  </si>
  <si>
    <t>Flujo asado + crudo. Sustituible por túneles existentes de Riofrío (ver §6).</t>
  </si>
  <si>
    <t>4. FLUJOS DE PRODUCTO (participaciones desde SUP_VOLUMEN §5)</t>
  </si>
  <si>
    <t>Participación flujo BROASTER (broaster + parte broaster del combo familiar)</t>
  </si>
  <si>
    <t>El combo familiar consume 1,89 pollos-eq: ~0,89 broaster / 1,89 ≈ 47% de su volumen es broaster.</t>
  </si>
  <si>
    <t>Participación flujo ASADO + VM + parte asado del combo</t>
  </si>
  <si>
    <t>Participación flujo CRUDO marinado</t>
  </si>
  <si>
    <t>5. CAPACIDAD DE CADENA POR FASE (ton/mes de pollo que soporta la planta)</t>
  </si>
  <si>
    <t>FASE 1 — línea batch (tumbler ×1 + par-freído batch)</t>
  </si>
  <si>
    <t>Mínimo entre marinado (100% del kg) y cada estación dividida por la participación de su flujo. El cuello manda.</t>
  </si>
  <si>
    <t>FASE 2 — + tumbler #2 + LÍNEA DE FRITURA CONTINUA (reemplaza el batch)</t>
  </si>
  <si>
    <t>kg/h de la fritura continua</t>
  </si>
  <si>
    <t>Capacidad de cadena FASE 2 (ton/mes)</t>
  </si>
  <si>
    <t>Duplica marinado y convierte la fritura en flujo continuo: el par-freído deja de ser cuello (evolución batch → línea vista en el proyecto).</t>
  </si>
  <si>
    <t>kg/h de la fritura continua ampliada (Fase 3)</t>
  </si>
  <si>
    <t>FASE 3 — + tumblers #3 y #4 + horno espiral #2 + IQF #2 + túnel #2 + fritura ampliada</t>
  </si>
  <si>
    <t>Tumblers #3 y #4, duplicación de cocción/congelación del flujo broaster y fritura a 500 kg/h: soporta la cadena de 50 PDV (~310 t/mes en MEDIO) y el mandato de 200 t.</t>
  </si>
  <si>
    <t>6. CAPEX DE LAS FASES DE AMPLIACIÓN (FOB editables — misma mecánica de nacionalización de SUP_CAPEX_PLANTA)</t>
  </si>
  <si>
    <t>Ítem Fase 2</t>
  </si>
  <si>
    <t>Costo VE</t>
  </si>
  <si>
    <t>Tumbler #2 500 L</t>
  </si>
  <si>
    <t>Línea de fritura continua 300 kg/h</t>
  </si>
  <si>
    <t>Transportadores y empalmes de línea</t>
  </si>
  <si>
    <t>CAPEX FASE 2 (instalado + contingencia)</t>
  </si>
  <si>
    <t>Ítem Fase 3</t>
  </si>
  <si>
    <t>Tumblers #3 y #4 500 L (2 unidades)</t>
  </si>
  <si>
    <t>Horno espiral #2</t>
  </si>
  <si>
    <t>IQF espiral #2</t>
  </si>
  <si>
    <t>Túnel de congelación #2</t>
  </si>
  <si>
    <t>Ampliación fritura continua a 500 kg/h + automatización de empaque</t>
  </si>
  <si>
    <t>CAPEX FASE 3 (instalado + contingencia)</t>
  </si>
  <si>
    <t>Utilización que dispara la siguiente fase (%)</t>
  </si>
  <si>
    <t>Cuando la demanda de la cadena supera el 85% de la capacidad activa, el waterfall de la capa 3 prioriza invertir en planta antes que en nuevos PDV.</t>
  </si>
  <si>
    <t>Gasto fijo incremental de planta por fase (USD/mes)</t>
  </si>
  <si>
    <t>Personal y energía adicionales al activar cada fase.</t>
  </si>
  <si>
    <t>7. LOCALIZACIÓN EN RIOFRÍO (FRIAGRO, LAS TEJERÍAS) — PROPUESTA SOBRE PLANO Nº1</t>
  </si>
  <si>
    <t>• Galpón a construir CECOM (1.146 m²): área propuesta para las TRES líneas — (i) marinado de pollo (tumblers + despiece 9 piezas), (ii) marinadas, salsas y hallacas, (iii) broaster (apanado → par-freído → horno espiral → IQF).</t>
  </si>
  <si>
    <t>• Túneles de congelación existentes 1–3 y cavas 1–6: Riofrío ya tiene GRAN capacidad de congelación y almacenamiento — el túnel P03 propio puede diferirse o sustituirse usando los túneles existentes (ahorro potencial ~USD 74k del CAPEX Fase 1, a validar con ingeniería).</t>
  </si>
  <si>
    <t>• Logística: romana de 80 t, andenes de carga/descarga y área de montacargas existentes soportan la distribución diaria a la red sin CAPEX logístico adicional.</t>
  </si>
  <si>
    <t>• Servicios: la planta cuenta con gas natural, amoniaco (frío industrial), generador y transformadores — reduce el riesgo de instalación de la línea de cocción.</t>
  </si>
  <si>
    <t>• Pendiente ingeniería de detalle: validar con el equipo de planta el layout dentro del galpón CECOM y los empalmes de frío con la sala de máquinas.</t>
  </si>
  <si>
    <t>CAPA1_PILOTO — CAPA 1: PILOTO (MEZCLA EDITABLE) + PLANTA FASE 1</t>
  </si>
  <si>
    <t>Calendario de aperturas editable (azul). Evaluación a 36 meses; la operación continúa hasta el mes 120 para alimentar el consolidado. La planta se dimensiona para la cadena futura: su CAPEX no se recupera dentro del piloto por diseño.</t>
  </si>
  <si>
    <t>CALENDARIO DE APERTURAS (editable — debe sumar la mezcla de SUP_VOLUMEN §6)</t>
  </si>
  <si>
    <t>Aperturas VENTANA del mes (editable)</t>
  </si>
  <si>
    <t>Aperturas DINE-IN del mes (editable)</t>
  </si>
  <si>
    <t>Tiendas VENTANA acumuladas</t>
  </si>
  <si>
    <t>Tiendas DINE-IN acumuladas</t>
  </si>
  <si>
    <t>Control de mezcla</t>
  </si>
  <si>
    <t>Tiendas equivalentes VENTANA (maduración 70/85/100)</t>
  </si>
  <si>
    <t>Tiendas equivalentes DINE-IN</t>
  </si>
  <si>
    <t>OPERACIÓN</t>
  </si>
  <si>
    <t>Pollos vendidos</t>
  </si>
  <si>
    <t>Ingresos netos (USD)</t>
  </si>
  <si>
    <t>Kilos de pollo</t>
  </si>
  <si>
    <t>Margen de contribución (USD)</t>
  </si>
  <si>
    <t>Gastos variables (% del ingreso)</t>
  </si>
  <si>
    <t>Gastos fijos de PDV</t>
  </si>
  <si>
    <t>Overhead corporativo asignado (SUP_OVERHEAD)</t>
  </si>
  <si>
    <t>EBITDA</t>
  </si>
  <si>
    <t>INVERSIÓN Y FLUJO</t>
  </si>
  <si>
    <t>CAPEX planta (meses 1–3) + fondo tecnológico (SUP_TECNOLOGIA)</t>
  </si>
  <si>
    <t>CAPEX de tiendas (al abrir)</t>
  </si>
  <si>
    <t>Capital de trabajo inicial (mes 1)</t>
  </si>
  <si>
    <t>CAPEX acumulado (planta + tiendas)</t>
  </si>
  <si>
    <t>Depreciación (lineal)</t>
  </si>
  <si>
    <t>EBIT</t>
  </si>
  <si>
    <t>ISLR (34% sobre EBIT positivo)</t>
  </si>
  <si>
    <t>FCF OPERATIVO (EBITDA − ISLR) → alimenta el waterfall</t>
  </si>
  <si>
    <t>FCF TOTAL (operativo − CAPEX − cap. de trabajo)</t>
  </si>
  <si>
    <t>FCF acumulado</t>
  </si>
  <si>
    <t>FCF descontado</t>
  </si>
  <si>
    <t>FCF descontado acumulado</t>
  </si>
  <si>
    <t>INDICADORES DE LA CAPA 1</t>
  </si>
  <si>
    <t>Depósito (congelado) + renta anticipada — 6 meses al abrir cada tienda</t>
  </si>
  <si>
    <t>Inversión total 36 meses (USD)</t>
  </si>
  <si>
    <t>VPN a 36 meses (USD)</t>
  </si>
  <si>
    <t>TIR anual a 36 meses</t>
  </si>
  <si>
    <t>Payback (mes en que el FCF acumulado cruza a positivo)</t>
  </si>
  <si>
    <t>EBITDA del año 3 (meses 25–36, USD)</t>
  </si>
  <si>
    <t>VPN a 120 meses — informativo (USD)</t>
  </si>
  <si>
    <t>TIR anual a 120 meses — informativa</t>
  </si>
  <si>
    <t>Payback a 120 meses (mes)</t>
  </si>
  <si>
    <t>Payback DESCONTADO a 120 meses (mes)</t>
  </si>
  <si>
    <t>Nota metodológica: la planta Fase 1 queda dimensionada para la expansión (capa 3); su recuperación plena ocurre a nivel de proyecto consolidado, no dentro del piloto de 36 meses.</t>
  </si>
  <si>
    <t>Depósito en garantía (3 meses, congelado, no se recupera)</t>
  </si>
  <si>
    <t>Renta anticipada — ajuste de caja (+2m al abrir, -1m en mes+1, -1m en mes+2; neto = 3 meses prepagados)</t>
  </si>
  <si>
    <t>CAPA2_FLAGSHIP — CAPA 2: RESTAURANTE BANDERA 400 m² (MES DE APERTURA EDITABLE EN SUP_CONTROL)</t>
  </si>
  <si>
    <t>Simulación independiente del flagship. Enciéndalo/apáguelo en SUP_CONTROL (C12) y compare los indicadores del CONSOLIDADO para decidir su apertura con los números. Vende el DOBLE de una ventana + ingreso adicional de menú ampliado. CAPEX en los 3 meses previos a la apertura.</t>
  </si>
  <si>
    <t>Flagship abierto (1/0)</t>
  </si>
  <si>
    <t>Factor de maduración</t>
  </si>
  <si>
    <t>Pollos vendidos (DOBLE de ventana)</t>
  </si>
  <si>
    <t>Ingreso neto por venta de pollo (USD)</t>
  </si>
  <si>
    <t>Ingreso adicional — menú ampliado (combos infantiles, contornos, dispensador)</t>
  </si>
  <si>
    <t>INGRESO TOTAL</t>
  </si>
  <si>
    <t>Margen de contribución</t>
  </si>
  <si>
    <t>Gastos variables (incluye comisión de delivery)</t>
  </si>
  <si>
    <t>Gasto fijo del flagship</t>
  </si>
  <si>
    <t>EBITDA (neto de overhead corporativo asignado)</t>
  </si>
  <si>
    <t>Depósito (3m, congelado) + renta anticipada (3m) — 6 meses al abrir</t>
  </si>
  <si>
    <t>CAPEX (3 meses previos a la apertura)</t>
  </si>
  <si>
    <t>Capital de trabajo (mes previo a la apertura)</t>
  </si>
  <si>
    <t>CAPEX acumulado</t>
  </si>
  <si>
    <t>Depreciación</t>
  </si>
  <si>
    <t>ISLR</t>
  </si>
  <si>
    <t>FCF TOTAL</t>
  </si>
  <si>
    <t>INDICADORES DE LA CAPA 2 (unidad flagship vista sola)</t>
  </si>
  <si>
    <t>Renta anticipada — ajuste de caja (+2m al abrir, -1m en mes+1, -1m en mes+2)</t>
  </si>
  <si>
    <t>CAPEX + capital de trabajo del flagship (USD)</t>
  </si>
  <si>
    <t>Payback (mes)</t>
  </si>
  <si>
    <t>Payback DESCONTADO (mes)</t>
  </si>
  <si>
    <t>VPN a 120 meses (USD)</t>
  </si>
  <si>
    <t>TIR anual a 120 meses</t>
  </si>
  <si>
    <t>EBITDA estabilizado/mes (promedio meses 13–24 tras apertura)</t>
  </si>
  <si>
    <t>Decisión con números: el impacto REAL de abrir o no el flagship se lee en CONSOLIDADO comparando VPN, TIR, inversión y payback con el switch C12 en 1 vs 0.</t>
  </si>
  <si>
    <t>SUP_C3_EXPANSION — SUPUESTOS DE LA EXPANSIÓN EN CASCADA (CAPA 3)</t>
  </si>
  <si>
    <t>Curva de acreditación de PDV nuevo (ramp-up), canibalización por densidad de la cadena (ramp-down), sensibilidad y mezcla editable de formatos de expansión.</t>
  </si>
  <si>
    <t>1. RAMP-UP — CURVA DE ACREDITACIÓN DE UN PDV NUEVO DE EXPANSIÓN (% de venta plena, editable)</t>
  </si>
  <si>
    <t>Mes 1 · Mes 2 · Mes 3 · Mes 4+</t>
  </si>
  <si>
    <t>Más lenta que la del piloto (70/85/100): los PDV de expansión entran a zonas nuevas sin el empuje de apertura de la marca.</t>
  </si>
  <si>
    <t>2. RAMP-DOWN — CANIBALIZACIÓN POR DENSIDAD DE LA CADENA (índice de pollos por PDV, editable — "scroll" manual)</t>
  </si>
  <si>
    <t>PDV totales de la cadena (hasta)</t>
  </si>
  <si>
    <t>Índice base de pollos por PDV (% del volumen del escenario)</t>
  </si>
  <si>
    <t>Multiplicador de sensibilidad de la canibalización</t>
  </si>
  <si>
    <t>PALANCA: 0,5 = canibalización baja · 1,0 = base · 1,5 = alta. Escala la pérdida (1 − índice) de toda la tabla.</t>
  </si>
  <si>
    <t>ÍNDICE EFECTIVO aplicado por el modelo</t>
  </si>
  <si>
    <t>• Soporte del ramp-down: (i) literatura de "sales transfer / encroachment" en cadenas QSR — estudios de impacto de nuevas unidades de la misma marca miden transferencias del 5–20% cuando las áreas de influencia se solapan; (ii) modelos gravitacionales de Huff y análisis de trade areas usados por McDonald's / Chick-fil-A en site selection; (iii) evidencia de franquicias (Kalnins 2004, Journal of Marketing: el encroachment intra-marca reduce ventas de unidades vecinas de forma medible y creciente con la densidad).</t>
  </si>
  <si>
    <t>• Aplicación MOY'S: pérdida acumulada base de ~16% del volumen por PDV al llegar a 50 puntos en Gran Caracas (≈ −2% por cada 5 tiendas), dentro de la banda 5–20% de la literatura. El TOTAL de pollos de la cadena sigue creciendo: cada PDV suma más de lo que resta a los vecinos.</t>
  </si>
  <si>
    <t>• La tabla es editable punto a punto ("scroll" manual) y el multiplicador permite el análisis de sensibilidad de la sección 4.</t>
  </si>
  <si>
    <t>3. MEZCLA DE FORMATOS DE LA EXPANSIÓN (unidades 11–50 — formato editable: V = ventana · D = dine-in · F = flagship)</t>
  </si>
  <si>
    <t>Formato</t>
  </si>
  <si>
    <t>CAPEX (USD)</t>
  </si>
  <si>
    <t>Fijo mensual (USD)</t>
  </si>
  <si>
    <t>Cap. trabajo (USD)</t>
  </si>
  <si>
    <t>Costo total de apertura (USD)</t>
  </si>
  <si>
    <t>Mes de apertura (modelo)</t>
  </si>
  <si>
    <t>Acum V</t>
  </si>
  <si>
    <t>Acum D</t>
  </si>
  <si>
    <t>Acum F</t>
  </si>
  <si>
    <t>V</t>
  </si>
  <si>
    <t>D</t>
  </si>
  <si>
    <t>F</t>
  </si>
  <si>
    <t>La mezcla propuesta (~70% ventana / 25% dine-in / 2 flagships adicionales en las unidades 25 y 40) es editable letra por letra; el waterfall de CAPA3_EXPANSION abre cada unidad cuando el excedente de caja cubre su costo total de apertura.</t>
  </si>
  <si>
    <t>4. SENSIBILIDAD DE LA CANIBALIZACIÓN (economía estable de la cadena a tope de PDV)</t>
  </si>
  <si>
    <t>Escenario de canibalización</t>
  </si>
  <si>
    <t>Multiplicador</t>
  </si>
  <si>
    <t>Índice a 50 PDV</t>
  </si>
  <si>
    <t>Pollos/mes cadena</t>
  </si>
  <si>
    <t>Ingreso anual (USD)</t>
  </si>
  <si>
    <t>Margen contrib. anual (USD)</t>
  </si>
  <si>
    <t>Baja</t>
  </si>
  <si>
    <t>Base</t>
  </si>
  <si>
    <t>Alta</t>
  </si>
  <si>
    <t>Lectura: aun en canibalización ALTA la cadena a 50 PDV multiplica el volumen del piloto — cada PDV pierde pollos individualmente pero el total crece. Cambie el multiplicador maestro (C11) para recorrer TODO el modelo mensual con otra intensidad.</t>
  </si>
  <si>
    <t>CAPA3_EXPANSION — CAPA 3: EXPANSIÓN EN CASCADA CON FLUJO DE CAJA LIBRE (WATERFALL)</t>
  </si>
  <si>
    <t>Cada mes: (1) la operación paga sus gastos e impuestos → (2) se aparta una reserva de caja (días editables) → (3) si la utilización de planta supera el gatillo, se invierte primero en la siguiente fase de planta → (4) el excedente restante abre el siguiente PDV de la mezcla de SUP_C3_EXPANSION. El CAPEX inicial del piloto y del flagship es aporte de capital (no sale del pool); la expansión se autofinancia.</t>
  </si>
  <si>
    <t>POOL DE CAJA DEL WATERFALL</t>
  </si>
  <si>
    <t>FCF operativo capa 1 (piloto)</t>
  </si>
  <si>
    <t>FCF operativo capa 2 (flagship)</t>
  </si>
  <si>
    <t>FCF operativo capa 4 (retail)</t>
  </si>
  <si>
    <t>FCF operativo capa 3 (expansión, propio)</t>
  </si>
  <si>
    <t>FCF OPERATIVO TOTAL DEL MES</t>
  </si>
  <si>
    <t>Gastos operativos de la cadena en el mes (base de la reserva)</t>
  </si>
  <si>
    <t>Reserva mínima requerida (mayor entre: días de gastos, y el capital de trabajo aportado — que es colchón operativo, no capital de expansión)</t>
  </si>
  <si>
    <t>Caja del pool al inicio del mes</t>
  </si>
  <si>
    <t>EXCEDENTE INVERTIBLE (caja inicial − reserva del mes anterior)</t>
  </si>
  <si>
    <t>PRIORIDAD 1 DEL WATERFALL — FASES DE PLANTA (gatillo por utilización)</t>
  </si>
  <si>
    <t>Se invierte FASE 2 este mes (1/0)</t>
  </si>
  <si>
    <t>Se invierte FASE 3 este mes (1/0)</t>
  </si>
  <si>
    <t>CAPEX de fases de planta del mes</t>
  </si>
  <si>
    <t>PRIORIDAD 2 — APERTURA DE PDV DE EXPANSIÓN (máx. 1 por mes)</t>
  </si>
  <si>
    <t>Se abre un PDV este mes (1/0) — requiere caja Y que la planta no esté saturada con fase pendiente</t>
  </si>
  <si>
    <t>Unidades de expansión acumuladas</t>
  </si>
  <si>
    <t>Costo total de apertura de la PRÓXIMA unidad (CAPEX + cap. trabajo)</t>
  </si>
  <si>
    <t>CAPEX de PDV del mes</t>
  </si>
  <si>
    <t>Capital de trabajo de PDV del mes</t>
  </si>
  <si>
    <t>Tope de unidades de expansión (cadena − piloto − flagship)</t>
  </si>
  <si>
    <t>OPERACIÓN DE LA EXPANSIÓN</t>
  </si>
  <si>
    <t>PDV TOTALES de la cadena (piloto + flagship + expansión)</t>
  </si>
  <si>
    <t>Índice de canibalización aplicado (SUP_C3 §2)</t>
  </si>
  <si>
    <t>Pollos de la expansión (suma de CAPA3_PDV_DETALLE)</t>
  </si>
  <si>
    <t>Ingresos de la expansión (USD)</t>
  </si>
  <si>
    <t>Kilos de pollo de la expansión</t>
  </si>
  <si>
    <t>Gastos variables</t>
  </si>
  <si>
    <t>Gastos fijos de los PDV de expansión</t>
  </si>
  <si>
    <t>EBITDA de la expansión (neto de fases de planta y overhead asignado)</t>
  </si>
  <si>
    <t>CAPEX acumulado de la expansión (PDV + fases de planta)</t>
  </si>
  <si>
    <t>FCF operativo de la expansión (EBITDA − ISLR)</t>
  </si>
  <si>
    <t>CAJA DEL POOL AL CIERRE DEL MES</t>
  </si>
  <si>
    <t>FCF TOTAL CAPA 3 (para el consolidado)</t>
  </si>
  <si>
    <t>Unidades con construcción terminada (ingreso-elegibles; = fila 24 atrasada 3 meses)</t>
  </si>
  <si>
    <t>INDICADORES DE LA CAPA 3</t>
  </si>
  <si>
    <t>Unidades renta-elegibles (fin de renta prepagada; = fila 53 atrasada 3 meses más)</t>
  </si>
  <si>
    <t>Unidades de expansión abiertas al mes 120</t>
  </si>
  <si>
    <t>Depósito (congelado) + renta anticipada — 6 meses, disparado cuando cada unidad termina construcción</t>
  </si>
  <si>
    <t>Inversión total de la expansión (USD, autofinanciada)</t>
  </si>
  <si>
    <t>VPN de la capa 3 a 120 meses (USD)</t>
  </si>
  <si>
    <t>EBITDA de la expansión — año 10 (USD)</t>
  </si>
  <si>
    <t>Caja del pool al cierre del mes 120 (USD)</t>
  </si>
  <si>
    <t>Detalle de la fila 56 — Depósito en garantía (3 meses, congelado, no se recupera)</t>
  </si>
  <si>
    <t>Detalle de la fila 56 — Renta anticipada (+2m al abrir, -1m en mes+1, -1m en mes+2; neto = 3m prepagados)</t>
  </si>
  <si>
    <t>Inyección de capital de trabajo aportada por el inversionista (piloto + flagship) — entra al pool</t>
  </si>
  <si>
    <t>Restricción de capacidad (VentureMe): no se abre PDV si la utilización de planta del mes anterior alcanzó el umbral de ampliación (SUP_PRODUCCION!C57) y aún queda una fase de planta sin invertir. Implementa la "Prioridad 1: planta" declarada en el diseño del waterfall — antes, las aperturas de PDV (más baratas) consumían el excedente y la planta nunca se ampliaba a tiempo.</t>
  </si>
  <si>
    <t>CAPA3_PDV_DETALLE — INGRESO, MARGEN Y KILOS POR PUNTO DE VENTA DE EXPANSIÓN</t>
  </si>
  <si>
    <t>Pollos/mes por unidad (ramp-up de acreditación × canibalización de la cadena). Debajo: ingreso, margen de contribución y kilos por unidad, totalizados por año.</t>
  </si>
  <si>
    <t>Mes apertura</t>
  </si>
  <si>
    <t>TOTAL POLLOS DE LA EXPANSIÓN</t>
  </si>
  <si>
    <t>INGRESO NETO ANUAL POR UNIDAD (USD)</t>
  </si>
  <si>
    <t>Año 1</t>
  </si>
  <si>
    <t>Año 2</t>
  </si>
  <si>
    <t>Año 3</t>
  </si>
  <si>
    <t>Año 4</t>
  </si>
  <si>
    <t>Año 5</t>
  </si>
  <si>
    <t>Año 6</t>
  </si>
  <si>
    <t>Año 7</t>
  </si>
  <si>
    <t>Año 8</t>
  </si>
  <si>
    <t>Año 9</t>
  </si>
  <si>
    <t>Año 10</t>
  </si>
  <si>
    <t>TOTAL</t>
  </si>
  <si>
    <t>MARGEN DE CONTRIBUCIÓN ANUAL POR UNIDAD (USD)</t>
  </si>
  <si>
    <t>KILOS DE POLLO ANUALES POR UNIDAD</t>
  </si>
  <si>
    <t>SUP_C4_RETAIL — LÍNEA DE PRELISTOS RETAIL (CAPA 4 · CAPÍTULO APARTE)</t>
  </si>
  <si>
    <t>Nuevo canal B2C: nuggets, hamburguesas y preformados IQF para retail, aprovechando marinado, apanado y frío de la planta. Se enciende/apaga en SUP_CONTROL.</t>
  </si>
  <si>
    <t>1. CAPEX DE LA LÍNEA RETAIL (FOB editables)</t>
  </si>
  <si>
    <t>Formadora de preformados (nuggets / hamburguesas, tipo Formax-GEA-Marel de entrada)</t>
  </si>
  <si>
    <t>Fase 2 del plan de prelistos del proyecto: plate former para preformados.</t>
  </si>
  <si>
    <t>Horno impingement en línea (ready-to-heat: cocción a núcleo antes del IQF)</t>
  </si>
  <si>
    <t>P12 del catálogo de planta — requerido para producto totalmente cocido.</t>
  </si>
  <si>
    <t>Detector de metales + pesadora + selladora retail</t>
  </si>
  <si>
    <t>P13 del catálogo de planta.</t>
  </si>
  <si>
    <t>Empacadora flowpack + fechadora</t>
  </si>
  <si>
    <t>Empaque retail multivelocidad.</t>
  </si>
  <si>
    <t>Moldes, dados y utilería de arranque (local)</t>
  </si>
  <si>
    <t>Compra local.</t>
  </si>
  <si>
    <t>CAPEX TOTAL LÍNEA RETAIL (instalado + contingencia)</t>
  </si>
  <si>
    <t>La línea comparte tumbler, apanado, fritura y frío de la planta: solo se invierte lo incremental. IQF espiral (no lecho fluidizado) es el estándar correcto para apanados; el impingement habilita el totalmente cocido.</t>
  </si>
  <si>
    <t>2. SUPUESTOS COMERCIALES (editables)</t>
  </si>
  <si>
    <t>Mes de arranque de la línea retail</t>
  </si>
  <si>
    <t>Después de estabilizar el piloto y la Fase 2 de planta.</t>
  </si>
  <si>
    <t>Toneladas/mes de arranque</t>
  </si>
  <si>
    <t>Crecimiento de volumen (ton/mes adicionales por mes)</t>
  </si>
  <si>
    <t>Rampa comercial de codificación en cadenas de retail.</t>
  </si>
  <si>
    <t>Tope de volumen retail (ton/mes)</t>
  </si>
  <si>
    <t>Capacidad de la formadora de entrada.</t>
  </si>
  <si>
    <t>Precio neto de venta (USD/kg, sin IVA)</t>
  </si>
  <si>
    <t>Banda retail VE de apanados IQF de marca.</t>
  </si>
  <si>
    <t>Costo directo (% del ingreso)</t>
  </si>
  <si>
    <t>Materia prima + empaque + energía de línea.</t>
  </si>
  <si>
    <t>Gastos comerciales y distribución (% del ingreso)</t>
  </si>
  <si>
    <t>Logística a retail + trade + mermas.</t>
  </si>
  <si>
    <t>Gasto fijo incremental de la línea (USD/mes)</t>
  </si>
  <si>
    <t>Supervisión y personal de línea.</t>
  </si>
  <si>
    <t>CAPA4_RETAIL — CAPA 4: LÍNEA DE PRELISTOS RETAIL (CAPÍTULO APARTE)</t>
  </si>
  <si>
    <t>Canal B2C de nuggets, hamburguesas y preformados IQF. Simulación independiente; se enciende en SUP_CONTROL (C14) y su caja alimenta el waterfall de expansión.</t>
  </si>
  <si>
    <t>Línea activa (1/0)</t>
  </si>
  <si>
    <t>Toneladas/mes vendidas</t>
  </si>
  <si>
    <t>Costo directo</t>
  </si>
  <si>
    <t>Gastos comerciales y distribución</t>
  </si>
  <si>
    <t>Gasto fijo de línea</t>
  </si>
  <si>
    <t>CAPEX de la línea (3 meses antes del arranque)</t>
  </si>
  <si>
    <t>FCF OPERATIVO (EBITDA − ISLR)</t>
  </si>
  <si>
    <t>INDICADORES DE LA CAPA 4</t>
  </si>
  <si>
    <t>CAPEX de la línea (USD)</t>
  </si>
  <si>
    <t>TIR anual</t>
  </si>
  <si>
    <t>Toneladas retail año 10 (t/mes)</t>
  </si>
  <si>
    <t>CONSOLIDADO — PROYECTO MOY'S: SUMA DE CAPAS ACTIVAS (FCD DEL PROYECTO COMPLETO)</t>
  </si>
  <si>
    <t>Cambie los switches y el escenario en SUP_CONTROL y lea aquí el impacto en inversión, VPN, TIR y payback. Este es el tablero de decisión: piloto solo · piloto + flagship · con expansión · con retail.</t>
  </si>
  <si>
    <t>FCF capa 1 — Piloto</t>
  </si>
  <si>
    <t>FCF capa 2 — Flagship</t>
  </si>
  <si>
    <t>FCF capa 3 — Expansión</t>
  </si>
  <si>
    <t>FCF capa 4 — Retail</t>
  </si>
  <si>
    <t>FCF CONSOLIDADO DEL PROYECTO</t>
  </si>
  <si>
    <t>FCF descontado acumulado (payback descontado del proyecto)</t>
  </si>
  <si>
    <t>Ingresos consolidados</t>
  </si>
  <si>
    <t>EBITDA consolidado</t>
  </si>
  <si>
    <t>Inversión del mes (todas las capas)</t>
  </si>
  <si>
    <t>Toneladas de pollo/mes</t>
  </si>
  <si>
    <t>Overhead corporativo del mes (ya restado en el EBITDA de las capas)</t>
  </si>
  <si>
    <t>FLUJO DE CAJA DESCONTADO — INDICADORES DEL PROYECTO (capas y escenario activos en SUP_CONTROL)</t>
  </si>
  <si>
    <t>Tasa de descuento anual (vínculo a SUP_CONTROL)</t>
  </si>
  <si>
    <t>Inversión total del proyecto — 120 meses (USD)</t>
  </si>
  <si>
    <t>Inversión con aporte de capital (piloto + tecnología + flagship + retail, USD)</t>
  </si>
  <si>
    <t>Inversión autofinanciada por el waterfall (expansión, USD)</t>
  </si>
  <si>
    <t>VPN del proyecto a 120 meses (USD)</t>
  </si>
  <si>
    <t>TIR anual del proyecto (120 m)</t>
  </si>
  <si>
    <t>TIR mensual del proyecto</t>
  </si>
  <si>
    <t>Payback simple (mes en que el FCF acumulado cruza a positivo)</t>
  </si>
  <si>
    <t>Índice de rentabilidad (VPN / inversión con aporte)</t>
  </si>
  <si>
    <t>VPN a 36 meses (comparable con la capa 1, USD)</t>
  </si>
  <si>
    <t>PDV totales al mes 120</t>
  </si>
  <si>
    <t>Toneladas/mes promedio del año 10</t>
  </si>
  <si>
    <t>% del mandato de 200 t/mes (año 10)</t>
  </si>
  <si>
    <t>EBITDA anual del año 10 (USD)</t>
  </si>
  <si>
    <t>Control: Inversión total (C22) − [aporte de capital (C23) + autofinanciada (C24)]</t>
  </si>
  <si>
    <t>RESUMEN ANUAL DEL PROYECTO</t>
  </si>
  <si>
    <t>¿Cuadra la inversión?</t>
  </si>
  <si>
    <t>Concepto / Año</t>
  </si>
  <si>
    <t>Ingresos (USD)</t>
  </si>
  <si>
    <t>EBITDA (USD)</t>
  </si>
  <si>
    <t>FCF (USD)</t>
  </si>
  <si>
    <t>Inversión (USD)</t>
  </si>
  <si>
    <t>Toneladas promedio/mes</t>
  </si>
  <si>
    <t>PDV a fin de año</t>
  </si>
  <si>
    <t>FCD POR CAPA — RESUMEN DE INDICADORES</t>
  </si>
  <si>
    <t>Capa</t>
  </si>
  <si>
    <t>VPN 120 m (USD)</t>
  </si>
  <si>
    <t>TIR anual 120 m</t>
  </si>
  <si>
    <t>Payback descontado (mes)</t>
  </si>
  <si>
    <t>Capa 1 — Piloto + planta + tecnología</t>
  </si>
  <si>
    <t>Capa 2 — Flagship</t>
  </si>
  <si>
    <t>Capa 3 — Expansión (autofinanciada)</t>
  </si>
  <si>
    <t>Capa 4 — Retail</t>
  </si>
  <si>
    <t>La capa 3 no exige aporte de capital: su inversión sale del excedente del waterfall, por eso su VPN es puro valor agregado y no tiene payback propio. Los indicadores de cada capa viven también en su propia hoja.</t>
  </si>
  <si>
    <t>VALOR TERMINAL Y VALOR TOTAL DEL PROYECTO (DCF con perpetuidad — Gordon Growth)</t>
  </si>
  <si>
    <t>El VPN a 120 meses (fila 25) descuenta solo 10 años de flujo. Esta seccion agrega el valor de la cadena como negocio en marcha mas alla del mes 120, asumiendo que crece a una tasa perpetua g.</t>
  </si>
  <si>
    <t>Tasa de crecimiento perpetuo (g) — EDITABLE</t>
  </si>
  <si>
    <t>FCF del Año 10 (base de la perpetuidad, USD)</t>
  </si>
  <si>
    <t>Tasa de descuento anual (WACC, vinculo a SUP_CONTROL)</t>
  </si>
  <si>
    <t>Valor Terminal al mes 120 (Gordon Growth)</t>
  </si>
  <si>
    <t>Valor Presente del Valor Terminal (traido a hoy, 10 anios)</t>
  </si>
  <si>
    <t>VALOR TOTAL DEL PROYECTO (VPN 120m + VP del Valor Terminal)</t>
  </si>
  <si>
    <t>Sensibilidad — Valor Total segun g</t>
  </si>
  <si>
    <t>g</t>
  </si>
  <si>
    <t>Valor Total del Proyecto (USD)</t>
  </si>
  <si>
    <t>PROYECTO MOY'S — P&amp;G (ESTADO DE RESULTADOS) POR CAPA, FORMATO Y PLATAFORMA</t>
  </si>
  <si>
    <t>Año 1 = meses 1 a 12 del modelo (incluye el arranque de construcción de planta, sin ventas, dentro de los primeros meses); Años 2-10 = bloques de 12 meses completos hasta el mes 120. 100% ligado a SUP_CONTROL: cambie escenario o switches y este P&amp;G recalcula solo.</t>
  </si>
  <si>
    <t>Escenario activo (SUP_CONTROL):</t>
  </si>
  <si>
    <t>Capas encendidas (1=Piloto,2=Flagship,3=Expansión,4=Retail):</t>
  </si>
  <si>
    <t>Concepto (USD)</t>
  </si>
  <si>
    <t>Ene-A1</t>
  </si>
  <si>
    <t>Feb-A1</t>
  </si>
  <si>
    <t>Mar-A1</t>
  </si>
  <si>
    <t>Abr-A1</t>
  </si>
  <si>
    <t>May-A1</t>
  </si>
  <si>
    <t>Jun-A1</t>
  </si>
  <si>
    <t>Jul-A1</t>
  </si>
  <si>
    <t>Ago-A1</t>
  </si>
  <si>
    <t>Sep-A1</t>
  </si>
  <si>
    <t>Oct-A1</t>
  </si>
  <si>
    <t>Nov-A1</t>
  </si>
  <si>
    <t>Dic-A1</t>
  </si>
  <si>
    <t>TABLA DE APOYO — MEZCLA DE PLATAFORMA DE PRODUCTO (no editar; vínculo a SUP_MENU / SUP_PRECIOS)</t>
  </si>
  <si>
    <t>Misma mezcla de menú en todos los formatos (spec del modelo) — participación en ventas y margen de contribución por SKU, agregados por plataforma.</t>
  </si>
  <si>
    <t>Plataforma</t>
  </si>
  <si>
    <t>% ingreso (SKU)</t>
  </si>
  <si>
    <t>% margen (SKU)</t>
  </si>
  <si>
    <t>Ingreso neto/mes (SKU)</t>
  </si>
  <si>
    <t>Margen contrib./mes (SKU)</t>
  </si>
  <si>
    <t>% ingreso (mezcla)</t>
  </si>
  <si>
    <t>Margen % (tasa)</t>
  </si>
  <si>
    <t>1. INGRESOS</t>
  </si>
  <si>
    <t>Capa 1 — Piloto</t>
  </si>
  <si>
    <t>Ventana</t>
  </si>
  <si>
    <t>Subtotal Ventana</t>
  </si>
  <si>
    <t>Dine-in</t>
  </si>
  <si>
    <t>Subtotal Dine-in</t>
  </si>
  <si>
    <t>Subtotal Capa 1 — Piloto</t>
  </si>
  <si>
    <t>Flagship (pollo)</t>
  </si>
  <si>
    <t>Menú ampliado (combos infantiles, contornos, bebidas)</t>
  </si>
  <si>
    <t>Subtotal Flagship</t>
  </si>
  <si>
    <t>Subtotal Capa 2 — Flagship</t>
  </si>
  <si>
    <t>Capa 3 — Expansión (autofinanciada; total, sin desglose por formato/plataforma — ver nota)</t>
  </si>
  <si>
    <t>Capa 4 — Retail (línea de prelistos; total, sin desglose por plataforma)</t>
  </si>
  <si>
    <t>TOTAL INGRESOS</t>
  </si>
  <si>
    <t>2. COSTOS DIRECTOS (fichas técnicas)</t>
  </si>
  <si>
    <t>Capa 3 — Expansión (total, sin desglose)</t>
  </si>
  <si>
    <t>Capa 4 — Retail (total, sin desglose)</t>
  </si>
  <si>
    <t>TOTAL COSTOS DIRECTOS</t>
  </si>
  <si>
    <t>MARGEN DE CONTRIBUCIÓN</t>
  </si>
  <si>
    <t>Margen de contribución %</t>
  </si>
  <si>
    <t>3. GASTOS OPERATIVOS DE PDV (variables + fijos)</t>
  </si>
  <si>
    <t>Ventana (variable 9,5% ingreso + fijo nómina/renta)</t>
  </si>
  <si>
    <t>Dine-in (variable 9,5% ingreso + fijo nómina/renta)</t>
  </si>
  <si>
    <t>Subtotal Capa 1</t>
  </si>
  <si>
    <t>Capa 2 — Flagship (variable + fijo, incl. comisión delivery)</t>
  </si>
  <si>
    <t>Capa 3 — Expansión (variable + fijo)</t>
  </si>
  <si>
    <t>Capa 3 — Costo de fases de planta activas (mantenimiento/operación, escala con la expansión)</t>
  </si>
  <si>
    <t>Capa 4 — Retail (comercial/distribución + fijo)</t>
  </si>
  <si>
    <t>TOTAL GASTOS OPERATIVOS DE PDV</t>
  </si>
  <si>
    <t>EBITDA DE TIENDA (antes de overhead corporativo)</t>
  </si>
  <si>
    <t>EBITDA de tienda %</t>
  </si>
  <si>
    <t>4. OTROS GASTOS (overhead corporativo, depreciación e ISLR)</t>
  </si>
  <si>
    <t>Overhead corporativo asignado</t>
  </si>
  <si>
    <t>Capa 3 — Expansión</t>
  </si>
  <si>
    <t>Subtotal overhead corporativo</t>
  </si>
  <si>
    <t>Subtotal depreciación</t>
  </si>
  <si>
    <t>EBIT (UTILIDAD ANTES DE IMPUESTOS)</t>
  </si>
  <si>
    <t>EBIT %</t>
  </si>
  <si>
    <t>ISLR (34% sobre EBIT positivo, por capa)</t>
  </si>
  <si>
    <t>Subtotal ISLR</t>
  </si>
  <si>
    <t>TOTAL OTROS GASTOS (overhead + depreciación + ISLR)</t>
  </si>
  <si>
    <t>UTILIDAD NETA</t>
  </si>
  <si>
    <t>Margen neto %</t>
  </si>
  <si>
    <t>Notas: (1) Año 1 = meses 1 a 12 del modelo, incluye el arranque de construcción de planta (sin ventas) dentro de los primeros meses del año — por eso el Año 1 trae menos meses de venta real que los demás. Años 2-10 son bloques de 12 meses completos hasta el mes 120, sin necesidad de extender el modelo. (2) Capa 3 y Capa 4 van a nivel de capa, sin desglose por formato/plataforma — su detalle vive por unidad individual en CAPA3_PDV_DETALLE.</t>
  </si>
  <si>
    <t>CONTROL DE CUADRE — PL vs. CONSOLIDADO (no editar; se recalcula solo)</t>
  </si>
  <si>
    <t>Si en algún momento aparece una ✗, algo se editó a mano en PL o en CONSOLIDADO y perdió el vínculo a las hojas fuente — revisar antes de usar el archivo.</t>
  </si>
  <si>
    <t>Total Ingresos — PL</t>
  </si>
  <si>
    <t>Total Ingresos — CONSOLIDADO</t>
  </si>
  <si>
    <t>¿Cuadra? (Ingresos)</t>
  </si>
  <si>
    <t>Utilidad Neta — PL</t>
  </si>
  <si>
    <t>Utilidad Neta — recalculada desde hojas fuente (control cruzado)</t>
  </si>
  <si>
    <t>¿Cuadra? (Utilidad Neta)</t>
  </si>
  <si>
    <t>Resultado global del control:</t>
  </si>
  <si>
    <t>CAPA3_DASHBOARD — LA CADENA MOY'S EN UNA PÁGINA (CAPAS ACTIVAS)</t>
  </si>
  <si>
    <t>Ingresos, utilidad y consumo de pollo de la cadena para JHS, año a año. Todo cae de SUP_CONTROL: cambie switches, escenario o canibalización y el tablero se actualiza.</t>
  </si>
  <si>
    <t>INDICADORES DEL PROYECTO (capas activas)</t>
  </si>
  <si>
    <t>Escenario activo</t>
  </si>
  <si>
    <t>PDV totales al año 10</t>
  </si>
  <si>
    <t>Toneladas/mes año 10</t>
  </si>
  <si>
    <t>VPN del proyecto (120 m)</t>
  </si>
  <si>
    <t>TIR anual del proyecto</t>
  </si>
  <si>
    <t>Payback simple / descontado (mes)</t>
  </si>
  <si>
    <t>Inversión con aporte de capital</t>
  </si>
  <si>
    <t>Inversión autofinanciada (waterfall)</t>
  </si>
  <si>
    <t>LA CADENA AÑO A AÑO</t>
  </si>
  <si>
    <t>Nota: la canibalización se aplica sobre los PDV de expansión (los que densifican la red); su intensidad se calibra en SUP_C3_EXPANSION (tabla editable + multiplicador de sensibilidad).</t>
  </si>
  <si>
    <t>PROD_DEMANDA — DEMANDA DE POLLO DE LA CADENA VS CAPACIDAD DE PLANTA POR FASE</t>
  </si>
  <si>
    <t>Consolida los kilos de todas las capas activas y los compara con la capacidad activa. Cuando la utilización supera el gatillo, el waterfall de la capa 3 amplía la planta.</t>
  </si>
  <si>
    <t>Kg capa 1 (piloto)</t>
  </si>
  <si>
    <t>Kg capa 2 (flagship)</t>
  </si>
  <si>
    <t>Kg capa 3 (expansión)</t>
  </si>
  <si>
    <t>Kg capa 4 (retail)</t>
  </si>
  <si>
    <t>KG TOTALES DE LA CADENA</t>
  </si>
  <si>
    <t>TONELADAS/MES</t>
  </si>
  <si>
    <t>Capacidad activa de planta (ton/mes)</t>
  </si>
  <si>
    <t>UTILIZACIÓN DE PLANTA</t>
  </si>
  <si>
    <t>Fase activa de planta</t>
  </si>
  <si>
    <t>Alerta de capacidad</t>
  </si>
  <si>
    <t>RESUMEN ANUAL</t>
  </si>
  <si>
    <t>Utilización promedio</t>
  </si>
  <si>
    <t>Fase de planta a fin de año</t>
  </si>
  <si>
    <t>% del mandato de 200 t/mes — año 10</t>
  </si>
  <si>
    <t>CHECKLIST_V2 — VERIFICACIÓN DEL MODELO POR CAPAS</t>
  </si>
  <si>
    <t>PUNTO DE LA ESPECIFICACIÓN → DÓNDE VIVE EN EL LIBRO</t>
  </si>
  <si>
    <t>□ Escenarios ventana 1.848 / 3.028 / 4.209 pollos/mes como input de dirección (SUP_VOLUMEN fila 16, azul + ámbar)</t>
  </si>
  <si>
    <t>□ Uplift dine-in +30% mantenido; flagship = DOBLE de ventana (uplift 100%)</t>
  </si>
  <si>
    <t>SUP_VOLUMEN C26/C27</t>
  </si>
  <si>
    <t>□ Mezcla del piloto editable 7V + 3D; flagship entra por el switch de la capa 2 (permite 7-3-0 o 7-2-1 bajando dine-in a 2)</t>
  </si>
  <si>
    <t>SUP_VOLUMEN §6</t>
  </si>
  <si>
    <t>□ Modelo por capas con switches 1/0 y escenario maestro en un solo panel</t>
  </si>
  <si>
    <t>□ Flagship NUEVO de 400 m² / 150 sillas: estacionamiento 20, drive-thru, quioscos, parque infantil, salida delivery, ≥3 hornos, dispensador en comodato (CAPEX 0)</t>
  </si>
  <si>
    <t>□ Mes de apertura del flagship editable; impacto medible encendiendo/apagando la capa 2 y comparando CONSOLIDADO</t>
  </si>
  <si>
    <t>SUP_CONTROL C17 · CAPA2_FLAGSHIP</t>
  </si>
  <si>
    <t>□ Ingreso adicional del flagship +5% por menú ampliado (editable)</t>
  </si>
  <si>
    <t>SUP_CONTROL C37</t>
  </si>
  <si>
    <t>□ Waterfall de FCL: opex → impuestos → reserva de 30 días → excedente abre PDV; expansión DENTRO del horizonte y arrastra el FCD de todo el proyecto</t>
  </si>
  <si>
    <t>□ Prioridad del waterfall: fases de planta antes que PDV cuando la utilización supera el gatillo (85% editable)</t>
  </si>
  <si>
    <t>CAPA3_EXPANSION filas 19–21</t>
  </si>
  <si>
    <t>□ Ramp-up de acreditación editable (65/80/90/100) y ramp-down de canibalización editable punto a punto con soporte teórico y multiplicador de sensibilidad</t>
  </si>
  <si>
    <t>□ Mezcla de formatos de expansión editable unidad por unidad (V/D/F) con costo de apertura y mes calculado</t>
  </si>
  <si>
    <t>SUP_C3_EXPANSION §3</t>
  </si>
  <si>
    <t>□ Ingreso, margen de contribución y kilos POR PDV mes a mes y totalizados por año</t>
  </si>
  <si>
    <t>□ Dashboard de cadena: ingresos, utilidad y consumo de pollo por año, con gráficos</t>
  </si>
  <si>
    <t>□ Capacidad Fase 1 por cuello de botella (tumbler por kilos con 3 marinados, batch cerrado + horneo); Fase 2 línea de fritura continua; Fase 3 hacia ~200 t/mes</t>
  </si>
  <si>
    <t>□ Propuesta de localización en Riofrío: galpón CECOM 1.146 m² para las líneas de marinado, salsas/hallacas y broaster; túneles y cavas existentes como congelación</t>
  </si>
  <si>
    <t>SUP_PRODUCCION §7</t>
  </si>
  <si>
    <t>□ Línea retail de preformados (hamburguesas, nuggets) como capa aparte encendible/apagable</t>
  </si>
  <si>
    <t>□ Capital de trabajo con DOS editables: inicial en meses de gastos fijos (3) y por PDV nuevo (1)</t>
  </si>
  <si>
    <t>SUP_CONTROL C18/C19</t>
  </si>
  <si>
    <t>□ Todo en USD, ingresos netos de IVA, ISLR 34%, descuento 25% anual editable</t>
  </si>
  <si>
    <t>SUP_CONTROL §5</t>
  </si>
  <si>
    <t>□ Sin valores quemados en cascada: azul = input, negro = fórmula, verde = vínculo, ámbar = palanca</t>
  </si>
  <si>
    <t>Todo el libro</t>
  </si>
  <si>
    <t>□ Capa 1 evaluada a 36 meses (planta no se recupera en el piloto por diseño); consolidado a 120 meses</t>
  </si>
  <si>
    <t>CAPA1_PILOTO · CONSOLIDADO</t>
  </si>
  <si>
    <t>□ Sistemas de información: POS con valor por caja y número de cajas por formato editables (flagship 2 cajas), cayendo al CAPEX de cada tienda</t>
  </si>
  <si>
    <t>SUP_TECNOLOGIA §1</t>
  </si>
  <si>
    <t>□ Fondo tecnológico central: planeación de la demanda, página web, app de pedidos, nube/BI — invertido en el mes editable, dentro de la capa 1</t>
  </si>
  <si>
    <t>SUP_TECNOLOGIA §2</t>
  </si>
  <si>
    <t>□ Overhead corporativo sustituye el fijo genérico de 5.000: piso desde el día 1 (GG 4.000 + Dir. Expansión 3.000 + Mercadeo 1.000 + Analista 500), supervisor de zona 1.200 por cada 10 tiendas</t>
  </si>
  <si>
    <t>SUP_OVERHEAD §1–2</t>
  </si>
  <si>
    <t>□ Presupuesto de overhead en % de ingresos que se DILUYE (8% → 3,5%) pero crece en valor absoluto; el excedente financia calidad, auditoría y contraloría</t>
  </si>
  <si>
    <t>SUP_OVERHEAD §3 · fila 37</t>
  </si>
  <si>
    <t>Item/materia prima</t>
  </si>
  <si>
    <t>U/Medida</t>
  </si>
  <si>
    <t>Precio (USD)</t>
  </si>
  <si>
    <t>Precio Gr/Mg)</t>
  </si>
  <si>
    <t>Observaciones</t>
  </si>
  <si>
    <t>Litro</t>
  </si>
  <si>
    <t>Aceite vegetal común para freír</t>
  </si>
  <si>
    <t xml:space="preserve">Aceite de fritura por cada pieza </t>
  </si>
  <si>
    <t>Aceite de girasol</t>
  </si>
  <si>
    <t>Aceite de girasol 100% puro</t>
  </si>
  <si>
    <t>Aceite de pre-fritura por cada pieza en planta x 120 segundos</t>
  </si>
  <si>
    <t>Pieza</t>
  </si>
  <si>
    <t>Consume 7 gramos por pieza</t>
  </si>
  <si>
    <t>Aceite de re-fritura por cada pieza</t>
  </si>
  <si>
    <t>Achiote en polvo</t>
  </si>
  <si>
    <t>Kg</t>
  </si>
  <si>
    <t>Ácido ascórbico</t>
  </si>
  <si>
    <t>Vitamina C / conservante alimenticio</t>
  </si>
  <si>
    <t>Acido citrico</t>
  </si>
  <si>
    <t>Agua</t>
  </si>
  <si>
    <t>Aguacate Hass en pasta</t>
  </si>
  <si>
    <t>Grado de madurez óptimo para procesamiento</t>
  </si>
  <si>
    <t>Ajo en polvo</t>
  </si>
  <si>
    <t>Deshidratado en polvo</t>
  </si>
  <si>
    <t>Ajo fresco en pasta</t>
  </si>
  <si>
    <t>Cabeza de ajo natural</t>
  </si>
  <si>
    <t>Ajonjoli tostado</t>
  </si>
  <si>
    <t>Almidón de papa</t>
  </si>
  <si>
    <t>Fécula / almidón de papa industrial/gastronómico</t>
  </si>
  <si>
    <t>Almidon modificado (Snow Flake)</t>
  </si>
  <si>
    <t>Apio en polvo</t>
  </si>
  <si>
    <t>Especia deshidratada</t>
  </si>
  <si>
    <t>Arepas</t>
  </si>
  <si>
    <t>Arepa preformada/precocida</t>
  </si>
  <si>
    <t>Azúcar</t>
  </si>
  <si>
    <t>Azúcar refinada estándar</t>
  </si>
  <si>
    <t>Bandeja icopor 1/2  pollo crudo</t>
  </si>
  <si>
    <t>Und</t>
  </si>
  <si>
    <t>Bandeja icopor pollo crudo entero</t>
  </si>
  <si>
    <t xml:space="preserve">Benzoato de sodio </t>
  </si>
  <si>
    <t>Batter pollo broaster</t>
  </si>
  <si>
    <t>Bicarbonato de sodio (grado alimenticio)</t>
  </si>
  <si>
    <t>Grado alimenticio USP</t>
  </si>
  <si>
    <t>Bondiola cerdo (cabeza de lomo) JHS costo total</t>
  </si>
  <si>
    <t>Materia prima Y  costo directo asignado</t>
  </si>
  <si>
    <t>Carragenina</t>
  </si>
  <si>
    <t>Cebolla cabezona blanca en pasta</t>
  </si>
  <si>
    <t>Cebolla blanca fresca</t>
  </si>
  <si>
    <t>Cebolla en polvo</t>
  </si>
  <si>
    <t>Cebolla deshidratada en polvo</t>
  </si>
  <si>
    <t>Cilantro en polvo</t>
  </si>
  <si>
    <t>Cilantro deshidratado molido</t>
  </si>
  <si>
    <t>CMC carbocimetilcelulosa (E466)</t>
  </si>
  <si>
    <t>Cilantro fresco en pasta</t>
  </si>
  <si>
    <t>Cilantro fresco natural</t>
  </si>
  <si>
    <t>Comino en polvo</t>
  </si>
  <si>
    <t>Comino molido puro</t>
  </si>
  <si>
    <t>Costillas (baby back St Louis) JHS costo total</t>
  </si>
  <si>
    <t>Crema de leche</t>
  </si>
  <si>
    <t>Crema para batir/cocinar</t>
  </si>
  <si>
    <t xml:space="preserve">Curcuma grado alimentario </t>
  </si>
  <si>
    <t xml:space="preserve">Kg </t>
  </si>
  <si>
    <t>Dextrosa (Alimenta la levadura)</t>
  </si>
  <si>
    <t>Dextrosa monohidratada alimenticia</t>
  </si>
  <si>
    <t>Ensalada rallada kilo</t>
  </si>
  <si>
    <t>Ensalada rallada porcion x 120 grs</t>
  </si>
  <si>
    <t>Porcion</t>
  </si>
  <si>
    <t>Eritorbato de sodio</t>
  </si>
  <si>
    <t>Antioxidante / conservante alimenticio</t>
  </si>
  <si>
    <t>Extracto antioxidante natural de romero</t>
  </si>
  <si>
    <t>Extracto de levadura</t>
  </si>
  <si>
    <t>Fécula de maíz</t>
  </si>
  <si>
    <t>Maicena / almidón de maíz</t>
  </si>
  <si>
    <t>Fibra citrica</t>
  </si>
  <si>
    <t>Sustituto de gomas y almidones</t>
  </si>
  <si>
    <t xml:space="preserve">Film transparente de grado alimentario </t>
  </si>
  <si>
    <t>Rollo</t>
  </si>
  <si>
    <t>30 cm X 300 metros</t>
  </si>
  <si>
    <t>Fosfato alimentario</t>
  </si>
  <si>
    <t>Mezcla de fosfatos</t>
  </si>
  <si>
    <t>Gas de cocción (horno rostizador) x und de pollo</t>
  </si>
  <si>
    <t>Glutamato monosódico</t>
  </si>
  <si>
    <t>Acentuador de sabor (MSG)</t>
  </si>
  <si>
    <t>Gluten de trigo</t>
  </si>
  <si>
    <t>Gluten de trigo en polvo</t>
  </si>
  <si>
    <t>Goma guar</t>
  </si>
  <si>
    <t>Espesante / estabilizante hidrocoloide</t>
  </si>
  <si>
    <t>Goma xantana</t>
  </si>
  <si>
    <t>Espesante / estabilizante alimenticio</t>
  </si>
  <si>
    <t>Hallacas x 170 grs</t>
  </si>
  <si>
    <t>Hallaca tradicional (precio promedio comercial)</t>
  </si>
  <si>
    <t>Hallaquitas adicionales (x4) $1,25 PV x unidad</t>
  </si>
  <si>
    <t>Harina de maíz fina</t>
  </si>
  <si>
    <t>Harina de maíz precocida (tipo P.A.N.)</t>
  </si>
  <si>
    <t>Harina de trigo 000</t>
  </si>
  <si>
    <t>Harina de trigo de alta fuerza/repostería</t>
  </si>
  <si>
    <t>Jarabe de papelon</t>
  </si>
  <si>
    <t>Jengibre fresco</t>
  </si>
  <si>
    <t>Jugo (zumo) de limon pasteurizado</t>
  </si>
  <si>
    <t>Jugo (zumo) de naranja pasteurizado 65 brix</t>
  </si>
  <si>
    <t>Levadura en polvo</t>
  </si>
  <si>
    <t>Levadura seca instantánea</t>
  </si>
  <si>
    <t>Lomo de cerdo sin hueso JHS costo total</t>
  </si>
  <si>
    <t>Marinado para cerdo</t>
  </si>
  <si>
    <t>Marinado para pollo</t>
  </si>
  <si>
    <t>Mayonesa real 76% aceite</t>
  </si>
  <si>
    <t>Mayonesa tipo emulsión real</t>
  </si>
  <si>
    <t xml:space="preserve">Miel de abejas </t>
  </si>
  <si>
    <t xml:space="preserve">Mirin </t>
  </si>
  <si>
    <t>Mojo ajo</t>
  </si>
  <si>
    <t>Mojo miel</t>
  </si>
  <si>
    <t>Mojo pimienta</t>
  </si>
  <si>
    <t>Mojo Teriyaki</t>
  </si>
  <si>
    <t>Mostaza</t>
  </si>
  <si>
    <t>Mostaza preparada o en pasta</t>
  </si>
  <si>
    <t>Orégano en escamas</t>
  </si>
  <si>
    <t>Orégano entero/deshojado seco</t>
  </si>
  <si>
    <t>Orégano en polvo</t>
  </si>
  <si>
    <t>Orégano molido deshidratado</t>
  </si>
  <si>
    <t>Paleta deshuesada JHS costo total</t>
  </si>
  <si>
    <t xml:space="preserve">Panceta (Tocino magro) JHS costo total </t>
  </si>
  <si>
    <t>Papa frita porcion (120 grs papa / 12 grs aceite x porcion).</t>
  </si>
  <si>
    <t xml:space="preserve">Papa porcion x 120 grs </t>
  </si>
  <si>
    <t>Papa prefrita</t>
  </si>
  <si>
    <t>Papa congelada corte francés/estándar</t>
  </si>
  <si>
    <t>Paprika</t>
  </si>
  <si>
    <t>Pimentón dulce molido</t>
  </si>
  <si>
    <t>Perejil en escamas</t>
  </si>
  <si>
    <t>Perejil deshidratado en hojas</t>
  </si>
  <si>
    <t>Perejil en polvo</t>
  </si>
  <si>
    <t>Perejil deshidratado molido</t>
  </si>
  <si>
    <t xml:space="preserve">Perejil fresco en pasta </t>
  </si>
  <si>
    <t>Pernil con hueso JHS costo total</t>
  </si>
  <si>
    <t>Pimenton rojo en pasta</t>
  </si>
  <si>
    <t>Pimenton verde en pasta</t>
  </si>
  <si>
    <t>Pimienta blanca</t>
  </si>
  <si>
    <t>Pimienta blanca molida</t>
  </si>
  <si>
    <t>Pimienta negra</t>
  </si>
  <si>
    <t>Pimienta negra molida</t>
  </si>
  <si>
    <t>Pimienta negra gruesa</t>
  </si>
  <si>
    <t>Pollo crudo beneficiado (despresado) — precio de transferencia JHS</t>
  </si>
  <si>
    <t>Polvo de hornear</t>
  </si>
  <si>
    <t>Impulsor / leudante químico</t>
  </si>
  <si>
    <t>JHS</t>
  </si>
  <si>
    <t>Predust pollo broaster (primera capa seca)</t>
  </si>
  <si>
    <t>Proteina de soya aislada</t>
  </si>
  <si>
    <t>Proteina de soya concentrada</t>
  </si>
  <si>
    <t>Proteína funcional de trigo (vital wheat gluten)</t>
  </si>
  <si>
    <t>Gluten vital funcional de trigo</t>
  </si>
  <si>
    <t>Gaseosa/Refresco embotellado 1L</t>
  </si>
  <si>
    <t>Repollo blanco  (al vacío / atm. mod.)</t>
  </si>
  <si>
    <t>Repollo procesado y empaquetado</t>
  </si>
  <si>
    <t>Repollo morado  (al vacío / atm. mod.)</t>
  </si>
  <si>
    <t>Sal</t>
  </si>
  <si>
    <t>Sal fina de mesa / industrial</t>
  </si>
  <si>
    <t>Salsa de soya generica local</t>
  </si>
  <si>
    <t>litro</t>
  </si>
  <si>
    <t xml:space="preserve">Salsa Guasacaca </t>
  </si>
  <si>
    <t>Salsa Guasacaca porcion x 30 gramos</t>
  </si>
  <si>
    <t xml:space="preserve">Salsa Inglesa generica local </t>
  </si>
  <si>
    <t>Servilletas de papel desechables (Pak x 100 unds)</t>
  </si>
  <si>
    <t>Sílice alimentario</t>
  </si>
  <si>
    <t>Antiaglomerante (Dióxido de silicio alimenticio)</t>
  </si>
  <si>
    <t>Sorbato de potasio</t>
  </si>
  <si>
    <t>Conservante / antimicrobiano alimenticio</t>
  </si>
  <si>
    <t>Tripolifosfato de sodio</t>
  </si>
  <si>
    <t>Vinagre blanco</t>
  </si>
  <si>
    <t>Vinagre alimenticio 5% acidez</t>
  </si>
  <si>
    <t>Vinagre de arroz</t>
  </si>
  <si>
    <t xml:space="preserve">Vinagre de manzana </t>
  </si>
  <si>
    <t>Zanahoria rallada (al vacío / atm. mod.)</t>
  </si>
  <si>
    <t>Zanahoria procesada y empaquetada</t>
  </si>
  <si>
    <t>Acido ascorbico</t>
  </si>
  <si>
    <t>Almidon de papa</t>
  </si>
  <si>
    <t>Azucar</t>
  </si>
  <si>
    <t xml:space="preserve">Cebolla en polvo </t>
  </si>
  <si>
    <t xml:space="preserve">Ensalada rallada porcion 120 grs </t>
  </si>
  <si>
    <t>Fecula de maiz</t>
  </si>
  <si>
    <t>Hallacas</t>
  </si>
  <si>
    <t>Harina de apanado</t>
  </si>
  <si>
    <t>Harina de arroz</t>
  </si>
  <si>
    <t>Harina de batido</t>
  </si>
  <si>
    <t>Repollo morado (al vacío / atm. mod.)</t>
  </si>
  <si>
    <t xml:space="preserve">Salsa de soya generica local </t>
  </si>
  <si>
    <t>Paquete (100u)</t>
  </si>
  <si>
    <t>SUP_INSUMOS — LISTA DE PRECIOS DE INSUMOS · Fuente: Chef Edgar Urrea, anexo Supuestos_MOYS_v2_ajustada_1 (Hoja1), ago-2026</t>
  </si>
  <si>
    <t>* JHS</t>
  </si>
  <si>
    <t xml:space="preserve">Marinado para pollo brasa x und 2 kilos 300 grs x unidad. </t>
  </si>
  <si>
    <t>Marinado 300 g por pollo (18–22% de absorción sobre 2,3 kg)</t>
  </si>
  <si>
    <t xml:space="preserve">Marinado para pollo broaster x und 2 kilos 300 grs x unidad. </t>
  </si>
  <si>
    <t>Gr / Und</t>
  </si>
  <si>
    <t>Insumos de marinado pollo (300 gr x pollo)</t>
  </si>
  <si>
    <t>Insumos de marinado mojo ajo   (300 gr x pollo)</t>
  </si>
  <si>
    <t>Insumos de marinado mojo miel (300 gr x pollo)</t>
  </si>
  <si>
    <t>Insumos de marinado mojo pimienta (300 gr x pollo)</t>
  </si>
  <si>
    <t>Insumos de marinado mojo teriyaki (300 gr x pollo)</t>
  </si>
  <si>
    <t>Batter pollo broaster  200grs x pollo de 2 kilos</t>
  </si>
  <si>
    <t xml:space="preserve">Predust pollo broaster (primera y ultima capa seca) 200 grs x pollo de 2 kilos </t>
  </si>
  <si>
    <t>Par-freído planta + acabado 90 s en PDV. 2 frituras × 7 g de aceite c/u (Hoja1: 0,0154 USD/pieza por fritura)</t>
  </si>
  <si>
    <t>Hallaca 170 g (unidad)</t>
  </si>
  <si>
    <t>Hallaca tradicional 170 g. Precio confirmado por Edgar/Nelson: 0,70 USD/unidad.</t>
  </si>
  <si>
    <t>Refresco 1 L completo por combo. Precio confirmado por Edgar/Nelson: 1,20 USD/unidad.</t>
  </si>
  <si>
    <t>I21</t>
  </si>
  <si>
    <t>I22</t>
  </si>
  <si>
    <t>I23</t>
  </si>
  <si>
    <t>I24</t>
  </si>
  <si>
    <t>I25</t>
  </si>
  <si>
    <t>I26</t>
  </si>
  <si>
    <t>Ver ficha en fila 90</t>
  </si>
  <si>
    <t>Ver ficha en fila 104</t>
  </si>
  <si>
    <t>Ver ficha en fila 118</t>
  </si>
  <si>
    <t>Ver ficha en fila 131</t>
  </si>
  <si>
    <t>Ver ficha en fila 145</t>
  </si>
  <si>
    <t>Ver ficha en fila 156</t>
  </si>
  <si>
    <t>Ver ficha en fila 170</t>
  </si>
  <si>
    <t>Ver ficha en fila 184</t>
  </si>
  <si>
    <t>Ver ficha en fila 197</t>
  </si>
  <si>
    <t>Ver ficha en fila 210</t>
  </si>
  <si>
    <t>Ver ficha en fila 224</t>
  </si>
  <si>
    <t>Ver ficha en fila 235</t>
  </si>
  <si>
    <t>Ver ficha en fila 252</t>
  </si>
  <si>
    <t>Ver ficha en fila 265</t>
  </si>
  <si>
    <t>Ver ficha en fila 284</t>
  </si>
  <si>
    <t>Aceute para papa frita</t>
  </si>
  <si>
    <t>Papa prefrita importada (Bélgica) por 2.500 gr</t>
  </si>
  <si>
    <t>Porción estándar de papa frita (g)</t>
  </si>
  <si>
    <t>Porción 80 g de papa belga prefrita, fritada en PDV. Su costo por porción se calcula en la ficha AD-02 (filas 284-292) y alimenta todas las recetas vía $F$292.</t>
  </si>
  <si>
    <t>USD por gramo (bolsa 2.500 g a 6,50 USD). El costo de la PORCIÓN frita (papa + aceite + energía) se arma en la ficha AD-02 y las recetas lo toman de $F$292.</t>
  </si>
  <si>
    <t>Papa frita (2 porciones de 80 g)</t>
  </si>
  <si>
    <t>Papa frita (1 porción de 80 g)</t>
  </si>
  <si>
    <t>Papa prefrita (gramos por porción)</t>
  </si>
  <si>
    <t>Ver ficha en fila 294</t>
  </si>
  <si>
    <t>Hallaquitas adicionales (x1)</t>
  </si>
  <si>
    <t>Mesa de despiece + sierra cinta cárnica (corte 9 piezas por pollo)</t>
  </si>
  <si>
    <t>Línea de apanado F1 (predust + batter + drum, 400 kg/h)</t>
  </si>
  <si>
    <t>Freidora industrial de par-freído (batch, 200–300 kg/h)</t>
  </si>
  <si>
    <t>Horno espiral de vapor compacto — EQUIPO CRÍTICO</t>
  </si>
  <si>
    <t>Línea de empaque manual + selladora al vacío doble campana</t>
  </si>
  <si>
    <t>P09</t>
  </si>
  <si>
    <t>Cava refrigerada de planta 0–4 °C (producto terminado)</t>
  </si>
  <si>
    <t>Cava congelada de planta (paneles)</t>
  </si>
  <si>
    <t>PR1</t>
  </si>
  <si>
    <t>Kit de repuestos críticos de planta (2 años)</t>
  </si>
  <si>
    <t>PS1</t>
  </si>
  <si>
    <t>Supervisión de montaje y puesta en marcha (técnico en sitio)</t>
  </si>
  <si>
    <t>Servicio</t>
  </si>
  <si>
    <t>AJUSTADO v3: chino gama alta (SUS304, bomba Busch, CE) FOB 4–9k; el 24k anterior era fabricante EE. UU. Resuelve el 'sabor al hueso'.</t>
  </si>
  <si>
    <t>Sierra 1,5–3k + mesa local. Origen del beneficio de costo del broaster.</t>
  </si>
  <si>
    <t>AVAN AVN400 y equivalentes: USD 3–25k/set.</t>
  </si>
  <si>
    <t>Batch fryers gas/diésel 12–25k. Par-freído 80–120 s — fija la costra, no cocina. Cuello de F1 a 1 turno.</t>
  </si>
  <si>
    <t>Rango chino 40–80k. Define la jugosidad (72 °C con humedad). NO bajar especificación.</t>
  </si>
  <si>
    <t>Rango verificado 45–80k. DECISIÓN DIRECCIÓN 18-ago: IQF desde el inicio; la distribución regular sigue en cadena refrigerada 0–4 °C.</t>
  </si>
  <si>
    <t>Set con mesa + báscula + codificador; sin flow-pack en F1. (v3 sustituye al túnel P03: el IQF cumple esa función.)</t>
  </si>
  <si>
    <t>NUEVA v3: soporta la cadena refrigerada 5–7 días — corazón del modelo de distribución.</t>
  </si>
  <si>
    <t>Materia prima y colchón de seguridad.</t>
  </si>
  <si>
    <t>NUEVO v3: FOB 10.000 × factor PLENO 1,5657 (partes sin marca BK — no aplica C8). Motores, termocuplas, quemadores, resistencias, juntas.</t>
  </si>
  <si>
    <t>10–15 días técnico del fabricante; servicio sin tributos aduaneros. Excluido de la base de instalación.</t>
  </si>
  <si>
    <t>12% sobre equipo de planta SIN la supervisión PS1 (v3): montaje, eléctrico trifásico, frío, vapor.</t>
  </si>
  <si>
    <t>Activos de red y preoperativos del piloto (v3 — decisión de la dirección 18-ago)</t>
  </si>
  <si>
    <t>PR2</t>
  </si>
  <si>
    <t>Kit de continuidad de red (2 hornos FRG8VE backup + kit repuestos hornos PDV)</t>
  </si>
  <si>
    <t>Miami</t>
  </si>
  <si>
    <t>NUEVO v3: FOB 14.020 × factor PLENO 1,5657. Mitigación posventa Metal Supreme — activo de RED, no de tienda.</t>
  </si>
  <si>
    <t>Subtotal planta instalada + activos de red y preoperativos</t>
  </si>
  <si>
    <t>CAPEX TOTAL DE PLANTA Y RED (Fase 1, v3)</t>
  </si>
  <si>
    <t>Horno rostizador a gas FRG8VE — 8 espadas, 40 pollos/carga</t>
  </si>
  <si>
    <t>v3: Metal Supreme FRG8VE GLP 120.000 BTU (calle 4.204–4.510). 2×FRG8VE = 800 pollos/día de diseño — regla de capacidad de la dirección.</t>
  </si>
  <si>
    <t>Freidora abierta doble cesta a gas 40 lb (broaster finish + papas)</t>
  </si>
  <si>
    <t>v3: Atosa ATFS-40 calle 1.341–1.763; ~71 aves-eq/h en pico. El PDV NO necesita freidora a presión.</t>
  </si>
  <si>
    <t>v3: Avantco/ServIt calle 1.200–1.800. 2 vitrinas = buffer ~70 pollos para la hora pico.</t>
  </si>
  <si>
    <t>Cava de congelación 2 t nueva (paneles + condensadora)</t>
  </si>
  <si>
    <t>v3: construcción nueva (el 4.500 del avalúo era reposición de usado; condensadora 2 HP sola ~3.000).</t>
  </si>
  <si>
    <t>F06</t>
  </si>
  <si>
    <t>Kit de filtrado manual de aceite (ventana)</t>
  </si>
  <si>
    <t>T01</t>
  </si>
  <si>
    <t>CCTV 4 cámaras + DVR + monitor</t>
  </si>
  <si>
    <t>T02</t>
  </si>
  <si>
    <t>Conectividad: router 4G/fibra + cableado + AP</t>
  </si>
  <si>
    <t>T03</t>
  </si>
  <si>
    <t>Inversor + banco de baterías 1 kVA (POS/luces/red)</t>
  </si>
  <si>
    <t>v3: filtro-carro manual local; la ventana no justifica un PF50R propio.</t>
  </si>
  <si>
    <t>v3: seguridad estándar PDV de calle.</t>
  </si>
  <si>
    <t>v3: ventas, POS en línea y telemetría (dashboards).</t>
  </si>
  <si>
    <t>v3: cocción a gas + respaldo de POS — la ventana vende aun sin red eléctrica.</t>
  </si>
  <si>
    <t>Módulo compacto tipo Chooks-to-Go (~40 m²): unidad básica de expansión. Vende las 5 líneas. CAPEX v3 (ago-2026): precios verificados, diseño 800 pollos/día.</t>
  </si>
  <si>
    <t>v3: Metal Supreme FRG8VE GLP 120.000 BTU. 2×FRG8VE = 800 pollos/día — misma regla de capacidad que ventana.</t>
  </si>
  <si>
    <t>v3: Atosa ATFS-40 calle 1.341–1.763. 2 freidoras (broaster + papas); el salón no agrega cocción.</t>
  </si>
  <si>
    <t>v3: Avantco/ServIt calle 1.200–1.800. 2 vitrinas = buffer hora pico.</t>
  </si>
  <si>
    <t>v3: construcción nueva (el 4.500 del avalúo era reposición de usado).</t>
  </si>
  <si>
    <t>F04</t>
  </si>
  <si>
    <t>Filtro de aceite portátil Frymaster PF50R (50 lb)</t>
  </si>
  <si>
    <t>T04</t>
  </si>
  <si>
    <t>Generador 15 kVA a gasolina/GLP con transferencia</t>
  </si>
  <si>
    <t>v3 NUEVO: filtrado motorizado — precio calle jul/ago-2026 confirmado.</t>
  </si>
  <si>
    <t>v3: ventas, POS en línea y telemetría.</t>
  </si>
  <si>
    <t>v3: resiliencia dine-in — frío + salón no se caen con la red.</t>
  </si>
  <si>
    <t>Local con salón (~80 m²); uplift +30% sobre ventana (SUP_VOLUMEN). CAPEX v3 (ago-2026): precios verificados, diseño 800 pollos/día.</t>
  </si>
  <si>
    <t>v3 (18-ago): 700 USD/m² unificado con los demás formatos — cubre obra civil interior, MEP, acabados y ductería, sobre 400 m² interiores.</t>
  </si>
  <si>
    <t>v3: la obra exterior, el terreno y la construcción van al PRESUPUESTO INMOBILIARIO JHS aparte (decisión presidencial). Editable si se reincorpora.</t>
  </si>
  <si>
    <t>v3: → presupuesto inmobiliario JHS (el kit tecnológico drive-thru sí queda en equipos, T07).</t>
  </si>
  <si>
    <t>v3: cerramiento/piso van en la adecuación interior; los juegos quedan en equipos (T08).</t>
  </si>
  <si>
    <t>v3: sin % de instalación — el montaje queda cubierto por la adecuación de 700/m² (criterio del anexo CAPEX v3).</t>
  </si>
  <si>
    <t>Kit espadas/canastas/balanza/utensilios (por PDV)</t>
  </si>
  <si>
    <t>Estufa a gas 2 puestos (hallaquitas)</t>
  </si>
  <si>
    <t>Mantenedor de fritos calor SECO (papa)</t>
  </si>
  <si>
    <t>Cava/nevera de refrigeración industrial 2 puertas</t>
  </si>
  <si>
    <t>Campana extractora 2 m + extractor</t>
  </si>
  <si>
    <t>Mesas de trabajo inox (juego ×3)</t>
  </si>
  <si>
    <t>Nevera exhibidora de bebidas</t>
  </si>
  <si>
    <t>L08F</t>
  </si>
  <si>
    <t>Branding integral FLAGSHIP (fachada + tótem vial + interior)</t>
  </si>
  <si>
    <t>L09F</t>
  </si>
  <si>
    <t>Mobiliario FLAGSHIP (150 puestos, ~50 juegos)</t>
  </si>
  <si>
    <t>T08</t>
  </si>
  <si>
    <t>Área infantil (juegos + piso de seguridad)</t>
  </si>
  <si>
    <t>T06</t>
  </si>
  <si>
    <t>KDS pantalla de cocina + soporte</t>
  </si>
  <si>
    <t>T07</t>
  </si>
  <si>
    <t>Kit drive-thru (menu board exterior + intercom + señal)</t>
  </si>
  <si>
    <t>T01F</t>
  </si>
  <si>
    <t>CCTV 8 cámaras + DVR (flagship)</t>
  </si>
  <si>
    <t>T05</t>
  </si>
  <si>
    <t>Generador 40 kVA diésel con transferencia</t>
  </si>
  <si>
    <t>v3: 3×FRG8VE = 1.200 pollos asados/día — la bandera es la vitrina de mayor volumen.</t>
  </si>
  <si>
    <t>v3: 2 broaster + 2 papas (Atosa ATFS-40).</t>
  </si>
  <si>
    <t>v3: doble kit por escala.</t>
  </si>
  <si>
    <t>v3: precio calle jul/ago-2026 confirmado.</t>
  </si>
  <si>
    <t>v3: compra local — evita reclasificación 7321 (20%).</t>
  </si>
  <si>
    <t>v3: asado + broaster + porkbelly a la vista; buffer ~105 pollos.</t>
  </si>
  <si>
    <t>v3: 2 cavas de congelación (RFQ).</t>
  </si>
  <si>
    <t>Recibe cadena refrigerada 0–4 °C de planta.</t>
  </si>
  <si>
    <t>v3: 2 campanas para línea ampliada; ductería en adecuación.</t>
  </si>
  <si>
    <t>v3: doble dotación de arranque.</t>
  </si>
  <si>
    <t>Salón + drive-thru + módulo to-go. Explorar comodato embotelladora.</t>
  </si>
  <si>
    <t>v3: doble fachada, tótem de carretera, señalética drive-thru.</t>
  </si>
  <si>
    <t>v3: ancla 160 USD/juego × 50.</t>
  </si>
  <si>
    <t>v3: definición canónica del flagship — driver de ocasión familiar.</t>
  </si>
  <si>
    <t>v3: 3 × 5 ton para salón de 150 puestos.</t>
  </si>
  <si>
    <t>Default 2 cajas (editable en SUP_TECNOLOGIA). El anexo v3 asume 3 cajas: ajustar allí si la dirección lo confirma.</t>
  </si>
  <si>
    <t>v3: 3 sets (salón + drive-thru).</t>
  </si>
  <si>
    <t>v3: coordina asado + broaster + drive-thru.</t>
  </si>
  <si>
    <t>v3: drive-through — definición canónica.</t>
  </si>
  <si>
    <t>v3: salón + parking + drive-thru.</t>
  </si>
  <si>
    <t>v3: respaldo total — frío y cocción continua.</t>
  </si>
  <si>
    <t>Instalación y puesta en marcha de equipos (v3: 0% — incluida en adecuación)</t>
  </si>
  <si>
    <t>Obra exterior (v3: → presupuesto inmobiliario JHS aparte)</t>
  </si>
  <si>
    <t>CAPEX TOTAL DEL FLAGSHIP (equipamiento + adecuación interior, v3)</t>
  </si>
  <si>
    <t>Freestanding 400 m² interiores / 150 sillas, drive-thru y área infantil. CAPEX v3 (ago-2026): equipamiento + adecuación interior; terreno y obra civil mayor van al presupuesto inmobiliario JHS (decisión presidencial).</t>
  </si>
  <si>
    <t>RESUMEN EJECUTIVO — PROYECTO MOY'S · LA CADENA EN UNA PÁGINA</t>
  </si>
  <si>
    <t>Escenarios de volumen, toneladas de pollo, ventas, EBITDA, retorno e inversión — todo cae del modelo por capas (SUP_CONTROL → capas → CONSOLIDADO).</t>
  </si>
  <si>
    <t>Azul = valor de snapshot (recalculado por escenario el 19-ago-2026) · Negro = fórmula · Verde = vínculo en vivo a otra hoja · Fondo ámbar = escenario activo</t>
  </si>
  <si>
    <t>1. INDICADORES DEL PROYECTO — ESCENARIO ACTIVO (en vivo, capas activas)</t>
  </si>
  <si>
    <t>Escenario activo (se cambia en SUP_CONTROL!C6)</t>
  </si>
  <si>
    <t>Pollos/mes por PDV ventana (con elasticidad)</t>
  </si>
  <si>
    <t>Inversión total del proyecto — 120 meses</t>
  </si>
  <si>
    <t>Aporte de capital solicitado al inversionista</t>
  </si>
  <si>
    <t>Inversión autofinanciada por el waterfall (expansión)</t>
  </si>
  <si>
    <t>VPN del proyecto a 120 meses (WACC 25%)</t>
  </si>
  <si>
    <t>Índice de rentabilidad (VPN ÷ aporte de capital)</t>
  </si>
  <si>
    <t>Valor total del proyecto (VPN + valor terminal, g=3%)</t>
  </si>
  <si>
    <t>PDV totales al año 10 · Toneladas/mes en régimen</t>
  </si>
  <si>
    <t>Margen bruto ponderado del menú</t>
  </si>
  <si>
    <t>El VPN descuenta 10 años de flujo al 25% anual en USD (riesgo Venezuela). El valor total agrega la perpetuidad del negocio en marcha (Gordon Growth, g editable en CONSOLIDADO!C59).</t>
  </si>
  <si>
    <t>2. COMPARACIÓN DE ESCENARIOS DE VOLUMEN (snapshot del modelo completo — 19-ago-2026)</t>
  </si>
  <si>
    <t>Indicador</t>
  </si>
  <si>
    <t>Pollos/mes por PDV ventana</t>
  </si>
  <si>
    <t>Toneladas de pollo/mes en régimen (año 10)</t>
  </si>
  <si>
    <t>Toneladas de pollo/año — año 10</t>
  </si>
  <si>
    <t>Ingresos año 1 (USD)</t>
  </si>
  <si>
    <t>Ingresos año 5 (USD)</t>
  </si>
  <si>
    <t>Ingresos año 10 (USD)</t>
  </si>
  <si>
    <t>EBITDA año 10 (USD)</t>
  </si>
  <si>
    <t>Inversión total 120 m (USD)</t>
  </si>
  <si>
    <t>Aporte solicitado al inversionista (USD)</t>
  </si>
  <si>
    <t>Autofinanciada por el waterfall (USD)</t>
  </si>
  <si>
    <t>TIR anual (120 m)</t>
  </si>
  <si>
    <t>Valor total del proyecto (VPN + terminal, USD)</t>
  </si>
  <si>
    <t>El aporte es idéntico en los 3 escenarios: piloto + planta + flagship se financian con capital; lo que cambia es cuánta expansión paga el waterfall (43 vs 50 PDV en BÁSICO).</t>
  </si>
  <si>
    <t>BÁSICO destruye valor (VPN negativo): el punto de equilibrio del proyecto está entre BÁSICO (1.848) y MEDIO (3.028 pollos/mes/ventana). La validación de volumen del piloto es LA decisión crítica.</t>
  </si>
  <si>
    <t>3. TONELADAS DE POLLO POR AÑO (cierre de cada año, por escenario — snapshot)</t>
  </si>
  <si>
    <t>Toneladas promedio/mes · Año →</t>
  </si>
  <si>
    <t>BÁSICO — ton/mes</t>
  </si>
  <si>
    <t>MEDIO — ton/mes</t>
  </si>
  <si>
    <t>ALTO — ton/mes</t>
  </si>
  <si>
    <t>BÁSICO — toneladas/año</t>
  </si>
  <si>
    <t>MEDIO — toneladas/año</t>
  </si>
  <si>
    <t>ALTO — toneladas/año</t>
  </si>
  <si>
    <t>4. VENTAS, EBITDA Y FLUJO DE CAJA LIBRE POR AÑO (USD — snapshot por escenario)</t>
  </si>
  <si>
    <t>Concepto · Año →</t>
  </si>
  <si>
    <t>Ventas — BÁSICO</t>
  </si>
  <si>
    <t>Ventas — MEDIO</t>
  </si>
  <si>
    <t>Ventas — ALTO</t>
  </si>
  <si>
    <t>EBITDA — BÁSICO</t>
  </si>
  <si>
    <t>EBITDA — MEDIO</t>
  </si>
  <si>
    <t>EBITDA — ALTO</t>
  </si>
  <si>
    <t>FCF — BÁSICO</t>
  </si>
  <si>
    <t>FCF — MEDIO</t>
  </si>
  <si>
    <t>FCF — ALTO</t>
  </si>
  <si>
    <t>FCF = EBITDA − ISLR − CAPEX − capital de trabajo. El año 1 es negativo por la inversión del piloto ($2,34M de aporte); desde el año 2 el proyecto es autofinanciado en los 3 escenarios.</t>
  </si>
  <si>
    <t>5. ECONOMÍA POR FORMATO DE PDV — UNIDAD MADURA, ESCENARIO ACTIVO (en vivo)</t>
  </si>
  <si>
    <t>Concepto (por PDV, mes maduro)</t>
  </si>
  <si>
    <t>Pollos vendidos/mes</t>
  </si>
  <si>
    <t>Ingreso neto/mes (mezcla de menú constante)</t>
  </si>
  <si>
    <t>Margen de contribución/mes (tras costo de fichas)</t>
  </si>
  <si>
    <t>Gastos fijos/mes (nómina cargada + renta + HCM)</t>
  </si>
  <si>
    <t>EBITDA/mes por PDV (antes de overhead corporativo)</t>
  </si>
  <si>
    <t>Margen EBITDA (% del ingreso)</t>
  </si>
  <si>
    <t>CAPEX por PDV (v3, puesto en Venezuela)</t>
  </si>
  <si>
    <t>Capital de trabajo de apertura (meses de fijos, SUP_CONTROL!C19)</t>
  </si>
  <si>
    <t>Payback simple del formato (meses de EBITDA maduro)</t>
  </si>
  <si>
    <t>TIR anual del formato (120 m de EBITDA maduro)</t>
  </si>
  <si>
    <t>Unidad madura (mes 3+ según curva de maduración), mezcla de menú idéntica entre formatos (solo escala el volumen). El flagship suma +5% de ingreso por menú ampliado (50% de margen). EBITDA antes de overhead corporativo (SUP_OVERHEAD) e ISLR.</t>
  </si>
  <si>
    <t>Payback y TIR del formato aislado: CAPEX v3 + capital de trabajo, contra EBITDA maduro constante a 120 meses. La TIR del PROYECTO (sección 1) es menor porque incluye planta, overhead, know-how, rampa y tiempos de construcción.</t>
  </si>
  <si>
    <t>NOTA METODOLÓGICA</t>
  </si>
  <si>
    <t>· Secciones 1 y 5: en vivo — recalculan con cada cambio del modelo (escenario, switches de capas, precios, costos, CAPEX).</t>
  </si>
  <si>
    <t>· Fuentes: CONSOLIDADO (VPN, TIR, paybacks, inversión, valor terminal) · CAPA3_DASHBOARD/CONSOLIDADO filas 40-45 (serie anual) · SUP_VOLUMEN · SUP_OPEX · SUP_CAPEX v3 · SUP_PRECIOS/SUP_COSTOS (fichas del Chef).</t>
  </si>
  <si>
    <t>TIR de anualidad constante a 120 m; cuando el payback es &lt; 12 meses la tasa converge a EBITDA mensual ÷ inversión (el valor residual del flujo descontado es despreciable).</t>
  </si>
  <si>
    <t>kg/h de la fritura continua ampliada (Fase 4)</t>
  </si>
  <si>
    <t>FASE 4 — + tumblers #5 y #6 + horno espiral #3 + IQF #3 + túnel #3 + fritura a 700 kg/h</t>
  </si>
  <si>
    <t>Tercera línea completa del flujo broaster + 6 tumblers + fritura a 700 kg/h: soporta la cadena de 50 PDV en escenario ALTO (~418 t/mes) con holgura. Se activa solo si la utilización supera el gatillo tras la Fase 3.</t>
  </si>
  <si>
    <t>Ítem Fase 4</t>
  </si>
  <si>
    <t>Tumblers #5 y #6 500 L (2 unidades)</t>
  </si>
  <si>
    <t>Horno espiral #3</t>
  </si>
  <si>
    <t>IQF espiral #3</t>
  </si>
  <si>
    <t>Túnel de congelación #3</t>
  </si>
  <si>
    <t>Ampliación fritura continua a 700 kg/h + automatización de empaque</t>
  </si>
  <si>
    <t>CAPEX FASE 4 (instalado + contingencia)</t>
  </si>
  <si>
    <t>Misma mecánica de las fases 2 y 3: FOB editable × factor de nacionalización, + instalación y contingencia de SUP_CAPEX_PLANTA.</t>
  </si>
  <si>
    <t>Se invierte FASE 4 este mes (1/0)</t>
  </si>
  <si>
    <t>Filas del escenario activo en vivo (dashboard fila 22); las demás, snapshot. Toneladas/año = promedio mensual × 12.</t>
  </si>
  <si>
    <t>Escenario activo en vivo (dashboard filas 18-20); las demás, snapshot 19-ago-2026.</t>
  </si>
  <si>
    <t>6. ¿QUÉ APORTA CADA CAPA? — EL EFECTO FLAGSHIP (12 corridas del modelo)</t>
  </si>
  <si>
    <t>Metodología: 4 configuraciones de capas × 3 escenarios de volumen, conmutando SUP_CONTROL C11:C14 y C6 con recálculo completo del libro (snapshot 19-ago-2026). El modelo quedó restaurado en su estado real (piloto + flagship + expansión, sin retail, escenario ALTO).</t>
  </si>
  <si>
    <t>Configuración</t>
  </si>
  <si>
    <t>Aporte inicial (inversionista)</t>
  </si>
  <si>
    <t>Inversión total 120 m</t>
  </si>
  <si>
    <t>VPN 120 m</t>
  </si>
  <si>
    <t>Payback (simple / desc.)</t>
  </si>
  <si>
    <t>Valor total (VPN + terminal)</t>
  </si>
  <si>
    <t>Solo piloto (10 PDV)</t>
  </si>
  <si>
    <t>Piloto + Expansión (hasta 50 PDV)</t>
  </si>
  <si>
    <t>Piloto + Expansión + Retail</t>
  </si>
  <si>
    <t>Proyecto completo (+ Flagship)</t>
  </si>
  <si>
    <t>→ Efecto del flagship (completo vs. sin flagship)</t>
  </si>
  <si>
    <t>ESCENARIO ALTO — 4.209 pollos/mes por ventana</t>
  </si>
  <si>
    <t>Nota: la capa Retail se corre con sus supuestos actuales (pendientes de sustento comercial según bitácora). El estado real del modelo hoy es 'Piloto + Flagship + Expansión, sin Retail'.</t>
  </si>
  <si>
    <t>LA EXPLICACIÓN SIMPLE — por qué el flagship arrastra los indicadores (cálculos en vivo)</t>
  </si>
  <si>
    <t>El flagship vende más que una ventana (×)</t>
  </si>
  <si>
    <t>Sí vende más: ≈ 2× la venta de una ventana. Ese es el argumento de la presidencia — y es cierto.</t>
  </si>
  <si>
    <t>…pero cuesta más equiparlo (CAPEX + capital de trabajo, ×)</t>
  </si>
  <si>
    <t>Vende 2× pero cuesta 5×: la brecha entre lo que vende y lo que cuesta es el corazón del problema.</t>
  </si>
  <si>
    <t>…y sostenerlo cada mes (gastos fijos, ×)</t>
  </si>
  <si>
    <t>Salón 150 puestos, área infantil, drive-thru, generador 40 kVA, nómina ampliada: estructura de servicio que el consumidor venezolano de valor NO paga en el precio (ticket transversal en todas las zonas, patrón Dorado).</t>
  </si>
  <si>
    <t>EBITDA anual por dólar invertido — VENTANA</t>
  </si>
  <si>
    <t>EBITDA anual por dólar invertido — FLAGSHIP</t>
  </si>
  <si>
    <t>El mismo dólar rinde ≈4× más en ventanas que en el flagship. En un modelo hard discount el capital debe ir donde el volumen paga rápido.</t>
  </si>
  <si>
    <t>Con el aporte extra que exige el flagship se equipan…</t>
  </si>
  <si>
    <t>$534.273 de aporte adicional ≈ 5,5 ventanas completas (equipo + adecuación + preoperativos + capital de trabajo), cada una con payback &lt; 7 meses.</t>
  </si>
  <si>
    <t>Payback del capital: ventana / dine-in / flagship (meses)</t>
  </si>
  <si>
    <t>VPN 120 m por configuración (USD)</t>
  </si>
  <si>
    <t>Solo piloto</t>
  </si>
  <si>
    <t>+ Expansión</t>
  </si>
  <si>
    <t>+ Retail</t>
  </si>
  <si>
    <t>+ Flagship (completo)</t>
  </si>
  <si>
    <t>PUNTO DE EQUILIBRIO DEL PROYECTO — VPN = 0</t>
  </si>
  <si>
    <t>¿Cuántos pollos por PDV necesita la cadena para no destruir valor? Configuración: piloto + expansión + flagship, sin retail · WACC 25% · precios y mezcla constantes. VPN = 0 equivale a TIR = WACC.</t>
  </si>
  <si>
    <t>Azul = valor de equilibrio (snapshot por bisección, 19-ago-2026) · Negro = fórmula · Verde = vínculo a otras hojas</t>
  </si>
  <si>
    <t>1. VOLUMEN DE EQUILIBRIO (pollos promedio/mes por PDV)</t>
  </si>
  <si>
    <t>VENTANA — pollos/mes de equilibrio</t>
  </si>
  <si>
    <t>Hallado por bisección sobre SUP_VOLUMEN!E16 recalculando el modelo completo hasta |VPN| &lt; $200 (VPN final: −$188). Los demás formatos se derivan con los uplifts vivos.</t>
  </si>
  <si>
    <t>DINE-IN — pollos/mes (uplift +30%)</t>
  </si>
  <si>
    <t>FLAGSHIP — pollos/mes (uplift +100%)</t>
  </si>
  <si>
    <t>Ventana en pollos/día (mes de 30,4 días)</t>
  </si>
  <si>
    <t>Equilibrio como % del volumen de cada escenario:</t>
  </si>
  <si>
    <t>vs ALTO (4.209 pollos/mes)</t>
  </si>
  <si>
    <t>2. INGRESOS EN EQUILIBRIO (por PDV maduro, USD/mes netos de IVA)</t>
  </si>
  <si>
    <t>VENTANA — ingreso/mes</t>
  </si>
  <si>
    <t>DINE-IN — ingreso/mes</t>
  </si>
  <si>
    <t>FLAGSHIP — ingreso/mes (incl. menú ampliado +5%)</t>
  </si>
  <si>
    <t>Ingreso por pollo-equivalente (mezcla de menú constante): vínculo a SUP_CONTROL!C26.</t>
  </si>
  <si>
    <t>3. INDICADORES FINANCIEROS EN EQUILIBRIO (snapshot)</t>
  </si>
  <si>
    <t>VPN a 120 meses (WACC 25%)</t>
  </si>
  <si>
    <t>≈ $0 por definición de equilibrio</t>
  </si>
  <si>
    <t>= WACC: el proyecto devuelve exactamente el costo del capital</t>
  </si>
  <si>
    <t>Payback simple</t>
  </si>
  <si>
    <t>Payback descontado</t>
  </si>
  <si>
    <t>Consistente con VPN=0: el flujo descontado cruza cero justo al final del horizonte</t>
  </si>
  <si>
    <t>Aporte de capital del inversionista</t>
  </si>
  <si>
    <t>Igual que en los 3 escenarios — no depende del volumen</t>
  </si>
  <si>
    <t>Inversión total (con waterfall)</t>
  </si>
  <si>
    <t>PDV al año 10 / Toneladas/mes año 10</t>
  </si>
  <si>
    <t>Valor total con perpetuidad (VPN + valor terminal)</t>
  </si>
  <si>
    <t>Positivo: el negocio maduro vale más allá del horizonte de 120 m</t>
  </si>
  <si>
    <t>4. LA CADENA AÑO A AÑO EN EQUILIBRIO (snapshot, USD)</t>
  </si>
  <si>
    <t>Año →</t>
  </si>
  <si>
    <t>Ingresos del año</t>
  </si>
  <si>
    <t>EBITDA del año</t>
  </si>
  <si>
    <t>Inversión del año (CAPEX + depósitos + WC)</t>
  </si>
  <si>
    <t>Flujo de caja libre (FCF) del año</t>
  </si>
  <si>
    <t>Toneladas de pollo promedio/mes</t>
  </si>
  <si>
    <t>Toneladas de pollo del año</t>
  </si>
  <si>
    <t>8. LOGÍSTICA DE DISTRIBUCIÓN PLANTA → PDV (cadena refrigerada 0–4 °C)</t>
  </si>
  <si>
    <t>Tercerizado mientras la red es chica; flota propia desde la fase de planta elegida. La tarifa efectiva del mes se calcula en PROD_DEMANDA (fila 16) y cada capa paga sus kg. El CAPEX de flota entra al waterfall junto con la fase.</t>
  </si>
  <si>
    <t>Tarifa tercerizada (USD/kg entregado)</t>
  </si>
  <si>
    <t>POR COTIZAR con transportistas refrigerados locales — rango de planeación 0,04–0,10 USD/kg (ruta Tejerías–Gran Caracas, 2–3 entregas/sem/PDV)</t>
  </si>
  <si>
    <t>Flota propia activa desde la FASE de planta №</t>
  </si>
  <si>
    <t>Fase 1 (piloto, 11 PDV) tercerizada: no llena camiones. Editable 1–4 (5 = nunca propia).</t>
  </si>
  <si>
    <t>Combustible y peajes flota propia (USD/kg)</t>
  </si>
  <si>
    <t>Costo fijo mensual por camión (chofer + ayudante + HCM, seguro, mantenimiento)</t>
  </si>
  <si>
    <t>CAPEX por camión refrigerado 3,5 t puesto en VE (USD)</t>
  </si>
  <si>
    <t>Térmico 0–4 °C con unidad de frío; POR COTIZAR (nuevo importado o usado local).</t>
  </si>
  <si>
    <t>Camiones en Fase 1</t>
  </si>
  <si>
    <t>Camiones en Fase 2</t>
  </si>
  <si>
    <t>Dimensionado: hasta 183 t/mes, ~50–60 t/mes por camión con 2–3 entregas/sem por PDV</t>
  </si>
  <si>
    <t>Camiones en Fase 3</t>
  </si>
  <si>
    <t>Camiones en Fase 4</t>
  </si>
  <si>
    <t>CAPEX de flota incremental — al invertir Fase 2</t>
  </si>
  <si>
    <t>CAPEX de flota incremental — al invertir Fase 3</t>
  </si>
  <si>
    <t>CAPEX de flota incremental — al invertir Fase 4</t>
  </si>
  <si>
    <t>Tarifa logística efectiva (USD/kg)</t>
  </si>
  <si>
    <t>COSTO LOGÍSTICO DE LA CADENA (USD/mes)</t>
  </si>
  <si>
    <t>Logística de distribución (kg × tarifa efectiva)</t>
  </si>
  <si>
    <t>Logística de distribución (planta → PDV, capas 1–3)</t>
  </si>
  <si>
    <t>71 / 90</t>
  </si>
  <si>
    <t>Mes 120 (justo al cierre)</t>
  </si>
  <si>
    <t>RESUMEN_EJECUTIVO</t>
  </si>
  <si>
    <t>El proyecto en una página: KPIs en vivo del escenario activo, comparación de escenarios, toneladas y ventas por año, unit economics por formato y el análisis del efecto flagship (12 corridas).</t>
  </si>
  <si>
    <t>PUNTO_EQUILIBRIO</t>
  </si>
  <si>
    <t>SUP_INSUMOS</t>
  </si>
  <si>
    <t>La despensa: 243 insumos con precios del Chef Urrea (anexo ago-2026) — la fuente de datos de todas las fichas de costo.</t>
  </si>
  <si>
    <t>Cuánto cuesta hacer cada producto — fichas técnicas v2 del Chef, receta por receta, alimentadas por SUP_INSUMOS.</t>
  </si>
  <si>
    <t>La inversión del restaurante bandera (400 m² interiores): equipamiento + adecuación. El terreno y la obra civil mayor van en el presupuesto inmobiliario JHS, aparte.</t>
  </si>
  <si>
    <t>Cómo se dimensiona la capacidad de planta (Fases 1-4), cuándo amplía el waterfall, y la logística de distribución planta→PDV (tarifa tercerizada o flota propia).</t>
  </si>
  <si>
    <t>La cadena entera año a año: PDV, ingresos, EBITDA, FCF y toneladas, con gráficas.</t>
  </si>
  <si>
    <t>PROYECTO MOY'S — LIBRO DE SUPUESTOS Y PROYECCIONES (v3)</t>
  </si>
  <si>
    <t>Módulo 1 — Fase B · Modelo integral del proyecto MOY'S (antes CHICK'S To Go) · Agosto 2026 · Confidencial</t>
  </si>
  <si>
    <t>Este libro consolida TODOS los supuestos del proyecto MOY'S en hojas independientes, 100% formuladas en cascada, Y las proyecciones completas: 4 capas de negocio activables, P&amp;G (PL), consolidado con FCD (VPN/TIR/payback), resumen ejecutivo comparado por escenarios y punto de equilibrio.</t>
  </si>
  <si>
    <t>El alma del negocio: fichas técnicas v2 del Chef (Edgar Urrea) — receta completa de los 17 productos, con supuestos generales editables y margen de error. Los precios de insumos se jalan por VLOOKUP desde SUP_INSUMOS (243 ítems, anexo ago-2026).</t>
  </si>
  <si>
    <t>CAPEX v3 del formato VENTANA / to-go (40 m², diseño 800 pollos/día): 2 hornos FRG8VE, 2 vitrinas, tecnología y resiliencia (CCTV, conectividad, inversor), adecuación y preoperativos.</t>
  </si>
  <si>
    <t>CAPEX v3 del formato DINE-IN / in-line (80 m²): misma capacidad de cocción que ventana + salón, filtro de aceite motorizado y generador 15 kVA.</t>
  </si>
  <si>
    <t>CAPEX v3 del FLAGSHIP (400 m² interiores, 150 puestos, drive-through, área infantil): equipamiento + adecuación interior. El terreno y la obra civil mayor van en el presupuesto inmobiliario JHS, aparte (decisión 18-ago).</t>
  </si>
  <si>
    <t>Estudio de Mercado Comparativo Caracas jul-2026 · Avalúo Pollo Cool jul-2026 · Anexo Supuestos_MOYS_v2_ajustada (fichas e insumos del Chef Urrea, ago-2026) · Anexo CAPEX_Piloto_MOYS_v3 (precios verificados ago-2026) · Anexo Perfiles_Cargos v2 · Referencias de elasticidad citadas en SUP_VOLUMEN.</t>
  </si>
  <si>
    <t>ACTUALIZACIÓN V3 — AGOSTO 2026</t>
  </si>
  <si>
    <t>• COSTOS REALES: nueva hoja SUP_INSUMOS (lista de precios del Chef, 243 ítems) y SUP_COSTOS reconstruida con las fichas v2 — el margen ponderado del menú y todo el P&amp;G se recalculan desde ahí. AD-03 (hallaquitas adicionales) apagado por decisión de la dirección (attach = 0 en SUP_MENU).</t>
  </si>
  <si>
    <t>• FASE 4 DE PLANTA: cuarta ampliación (549,9 t/mes) para que el escenario ALTO no desborde la capacidad; se autofinancia del waterfall con la misma lógica de las fases 2-3.</t>
  </si>
  <si>
    <t>• LOGÍSTICA DE DISTRIBUCIÓN (antes no modelada): SUP_PRODUCCION sección 8 — tarifa tercerizada en piloto, flota propia refrigerada desde la Fase 2 (camiones en el CAPEX de las fases); cada capa paga su logística por sus kilos (PROD_DEMANDA filas 16-17) y el PL la muestra como línea propia. Tarifas de planeación POR COTIZAR.</t>
  </si>
  <si>
    <t>• RESUMEN_EJECUTIVO (nueva, dorada): KPIs en vivo del escenario activo, comparación BÁSICO/MEDIO/ALTO, toneladas y ventas año a año, unit economics por formato y el análisis del efecto flagship (12 corridas del modelo: el flagship sube el aporte +$534k y resta VPN en los 3 escenarios).</t>
  </si>
  <si>
    <t>• Los snapshots de escenarios/configuraciones del resumen y el equilibrio son corridas del 19-ago-2026; la columna del escenario activo es 100% en vivo. Los controles de cuadre (PL 167-178 y CONSOLIDADO C37-C38) vigilan cualquier edición manual.</t>
  </si>
  <si>
    <t>SUP_PLANTA_OPEX — COSTO DE TRANSFORMACIÓN DE PLANTA (MOD + CIF)</t>
  </si>
  <si>
    <t>El pollo llega ENTERO y CRUDO, vendido por otra empresa del grupo ($1,25/kg intercompañía): la planta lo transforma. Esta hoja costea esa transformación: nómina de planta, renta de nave, servicios y cargas por kilo. Cae en cascada a PROD_DEMANDA → capas → PL (línea en costo de ventas).</t>
  </si>
  <si>
    <t>Azul = editable · Negro = fórmula · Verde = vínculo · Ámbar = palanca clave · Cifras POR VALIDAR con la dirección</t>
  </si>
  <si>
    <t>1. SALARIOS DE PLANTA (USD/mes, editables — definición dirección 19-ago)</t>
  </si>
  <si>
    <t>Ingeniero de planta — salario</t>
  </si>
  <si>
    <t>Ingeniero de calidad — salario</t>
  </si>
  <si>
    <t>Operario de planta — salario</t>
  </si>
  <si>
    <t>Dirección 19-ago. HCM tarifa operativo $20. Al inicio los operarios rotan entre procesos (planta sin operación full).</t>
  </si>
  <si>
    <t>2. PLANTILLA POR FASE DE PLANTA (headcount editable — crece con el volumen)</t>
  </si>
  <si>
    <t>Cargo / Fase</t>
  </si>
  <si>
    <t>FASE 1</t>
  </si>
  <si>
    <t>FASE 2</t>
  </si>
  <si>
    <t>FASE 3</t>
  </si>
  <si>
    <t>FASE 4</t>
  </si>
  <si>
    <t>Capacidad por fase: 91,65 / 183,3 / 366,6 / 549,9 t/mes (SUP_PRODUCCION)</t>
  </si>
  <si>
    <t>Ingeniero de planta</t>
  </si>
  <si>
    <t>Ingeniero de calidad</t>
  </si>
  <si>
    <t>2º ingeniero de calidad al pasar a 2 turnos (Fase 3).</t>
  </si>
  <si>
    <t>Operarios (multiproceso al inicio)</t>
  </si>
  <si>
    <t>F1: 1 turno multitarea (recepción/despiece, marinado, apanado-fritura, horno/IQF, empaque, despacho). F2: turno y medio. F3-F4: 2 turnos completos. POR VALIDAR con ingeniería.</t>
  </si>
  <si>
    <t>MOD + MOI de planta (USD/mes)</t>
  </si>
  <si>
    <t>3. NAVE INDUSTRIAL: METROS CUADRADOS Y RENTA (crece con las fases)</t>
  </si>
  <si>
    <t>m² de nave por fase</t>
  </si>
  <si>
    <t>Dirección 19-ago: iniciar con 200 m² e ir creciendo poco a poco. Dimensión por fase POR VALIDAR con layout de ingeniería.</t>
  </si>
  <si>
    <t>Renta de nave (USD/m²/mes)</t>
  </si>
  <si>
    <t>Dirección 19-ago: $5/m².</t>
  </si>
  <si>
    <t>Renta mensual por fase (USD/mes)</t>
  </si>
  <si>
    <t>4. CIF — COSTOS INDIRECTOS DE FABRICACIÓN</t>
  </si>
  <si>
    <t>Servicios base de nave por fase (electricidad/agua/varios, USD/mes)</t>
  </si>
  <si>
    <t>POR VALIDAR: consumo base de nave (la energía de proceso va por kilo, abajo).</t>
  </si>
  <si>
    <t>Mantenimiento de equipos (% anual sobre equipo de planta)</t>
  </si>
  <si>
    <t>POR VALIDAR. Sobre el equipo F1 de SUP_CAPEX_PLANTA (H27).</t>
  </si>
  <si>
    <t>Seguros de planta (% anual sobre equipo)</t>
  </si>
  <si>
    <t>Mantenimiento + seguros (USD/mes)</t>
  </si>
  <si>
    <t>Túnel de congelación — carga por kilo procesado (USD/kg)</t>
  </si>
  <si>
    <t>Supuesto de la dirección 19-ago: 1 centavo por kilo.</t>
  </si>
  <si>
    <t>Otros CIF variables (químicos de limpieza, EPP, laboratorio, USD/kg)</t>
  </si>
  <si>
    <t>POR VALIDAR: sanitización, dotación y análisis microbiológicos.</t>
  </si>
  <si>
    <t>CIF variable total (USD/kg)</t>
  </si>
  <si>
    <t>5. COSTO FIJO DE TRANSFORMACIÓN POR FASE (alimenta PROD_DEMANDA — no editar)</t>
  </si>
  <si>
    <t>COSTO FIJO DE PLANTA (MOD + renta + servicios + mant. y seguros, USD/mes)</t>
  </si>
  <si>
    <t>Tarifa de referencia en régimen (USD/kg, informativa)</t>
  </si>
  <si>
    <t>Fijo de Fase 4 ÷ capacidad F4 al 85% + variable. Solo referencia; la tarifa real es mensual en PROD_DEMANDA.</t>
  </si>
  <si>
    <t>6. CAPEX DE ADECUACIÓN, PREOPERATIVOS Y CAPITAL DE TRABAJO (alimenta SUP_CAPEX_PLANTA)</t>
  </si>
  <si>
    <t>Adecuación de nave — obra menor (USD/m²: paredes y enchapes)</t>
  </si>
  <si>
    <t>Dirección 19-ago: el sitio está muy bien, solo paredes y enchapes (obra menor). POR COTIZAR.</t>
  </si>
  <si>
    <t>Adecuación Fase 1 (200 m²)</t>
  </si>
  <si>
    <t>Adecuación incremental Fase 2 / Fase 3 / Fase 4</t>
  </si>
  <si>
    <t>Se suma al CAPEX de cada fase (equipo + flota + adecuación) en SUP_PRODUCCION C91:C93.</t>
  </si>
  <si>
    <t>Preoperativos de planta (permisos sanitarios, registros, pruebas de arranque)</t>
  </si>
  <si>
    <t>POR VALIDAR: SACS/registro sanitario, habilitaciones, corridas de prueba y mermas de calibración.</t>
  </si>
  <si>
    <t>Días de inventario — ave fresca en planta</t>
  </si>
  <si>
    <t>Dirección 19-ago: 1 semana en planta (perecedero).</t>
  </si>
  <si>
    <t>Días de inventario — producto en congelación</t>
  </si>
  <si>
    <t>Dirección 19-ago: 2 semanas en congelación.</t>
  </si>
  <si>
    <t>Capital de trabajo de planta (USD)</t>
  </si>
  <si>
    <t>(Días totales ÷ 30) × kg de la capacidad F1 × precio intercompañía del ave ($1,25/kg, vínculo a SUP_COSTOS!E19). Entra al CAPEX inicial de planta.</t>
  </si>
  <si>
    <t>Nota: si se enciende la Capa 4 (retail), sus kilos ya cuentan en el denominador logístico NO, pero SÍ deben pagar transformación — al activarla, agregar su línea kg × tarifa en CAPA4_RETAIL (hoy la capa está apagada). La tarifa mensual real vive en PROD_DEMANDA filas 18-19.</t>
  </si>
  <si>
    <t>AD1</t>
  </si>
  <si>
    <t>Adecuación de nave Fase 1 — obra menor (200 m²: paredes y enchapes)</t>
  </si>
  <si>
    <t>PO1</t>
  </si>
  <si>
    <t>WC1</t>
  </si>
  <si>
    <t>Capital de trabajo de planta (7 d ave fresca + 14 d congelado)</t>
  </si>
  <si>
    <t>Definición dirección 19-ago: obra menor, iniciar 200 m² — cálculo en SUP_PLANTA_OPEX</t>
  </si>
  <si>
    <t>POR VALIDAR — cálculo en SUP_PLANTA_OPEX</t>
  </si>
  <si>
    <t>Inventario perecedero definido por la dirección — cálculo en SUP_PLANTA_OPEX</t>
  </si>
  <si>
    <t>CAPEX total Fase 2 (equipo + flota + adecuación)</t>
  </si>
  <si>
    <t>CAPEX total Fase 3 (equipo + flota + adecuación)</t>
  </si>
  <si>
    <t>CAPEX total Fase 4 (equipo + flota + adecuación)</t>
  </si>
  <si>
    <t>Tarifa de TRANSFORMACIÓN de planta (USD/kg) — MOD+CIF fijos de la fase ÷ kg + variable</t>
  </si>
  <si>
    <t>Costo de transformación del mes (USD) — lo pagan las capas por sus kilos</t>
  </si>
  <si>
    <t>Costo de transformación de planta (kg × tarifa MOD+CIF)</t>
  </si>
  <si>
    <t>Costo de transformación de planta (MOD + CIF, capas 1-3)</t>
  </si>
  <si>
    <t>vs BÁSICO (2.946 pollos/mes)</t>
  </si>
  <si>
    <t>vs MEDIO (3.367 pollos/mes)</t>
  </si>
  <si>
    <t>(−) Gastos variables + logística + transformación de planta</t>
  </si>
  <si>
    <t>Incluye logística (tarifa tercerizada) y transformación de planta (tarifa de referencia en régimen). Conservador.</t>
  </si>
  <si>
    <t>• TRANSFORMACIÓN DE PLANTA (definición 19-ago): el ave llega ENTERA y CRUDA vendida por otra empresa del grupo ($1,25/kg) y la planta la procesa. Nueva hoja SUP_PLANTA_OPEX: nómina de planta por fase (ingeniero $2.500, calidad $1.400, operarios $250 — plantilla multiproceso que crece con el volumen), nave rentada a $5/m² (200→700 m²), túnel de congelación $0,01/kg, mantenimiento y seguros. Cae como línea de COSTO DE VENTAS en el PL vía tarifa mensual por kg (PROD_DEMANDA filas 18-19). CAPEX: adecuación obra menor (200 m² × $120), preoperativos $35k y capital de trabajo (7 d fresco + 14 d congelado).</t>
  </si>
  <si>
    <t>• VOLÚMENES v3 (dirección 19-ago): BÁSICO 2.946 · MEDIO 3.367 (−20% del alto) · ALTO 4.209 pollos/mes por ventana (SUP_VOLUMEN fila 16).</t>
  </si>
  <si>
    <t>SUP_PLANTA_OPEX</t>
  </si>
  <si>
    <t>La fábrica por dentro: nómina de planta por fase, renta de nave, CIF y la tarifa de transformación por kilo que paga cada capa.</t>
  </si>
  <si>
    <t>83 / 116</t>
  </si>
  <si>
    <t>76 / 99</t>
  </si>
  <si>
    <t>51 / 68</t>
  </si>
  <si>
    <t>53 / 69</t>
  </si>
  <si>
    <t>ESCENARIO BÁSICO — 2.946 pollos/mes por ventana</t>
  </si>
  <si>
    <t>ESCENARIO MEDIO — 3.367 pollos/mes por ventana</t>
  </si>
  <si>
    <t>50 PDV · 305 t/mes</t>
  </si>
  <si>
    <t>Supuesto de dirección (19-ago-2026): Básico 2.946 (−30% del alto) · Medio 3.367 (−20%) · Alto 4.209 pollos/mes por ventana. No se proyecta venta mayor por ser multiproducto.</t>
  </si>
  <si>
    <t>Snapshots del 19-ago-2026 recalculados con: LOGÍSTICA planta→PDV (SUP_PRODUCCION sección 8), TRANSFORMACIÓN DE PLANTA (SUP_PLANTA_OPEX: MOD+CIF por fase, línea de costo de ventas en el PL) y VOLÚMENES v3 (BÁSICO 2.946 · MEDIO 3.367 · ALTO 4.209). La columna del escenario activo (SUP_CONTROL!C6) es 100% en vivo; las otras dos muestran el último snapshot. Sección 6: corridas conmutando los switches de capa de SUP_CONTROL!C11:C14.</t>
  </si>
  <si>
    <t>AMARRADO EN CASCADA: la columna del escenario activo (SUP_CONTROL!C6) se calcula EN VIVO desde CONSOLIDADO y CAPA3_DASHBOARD — cualquier cambio del modelo se refleja al instante. Las otras dos columnas muestran el último snapshot guardado (19-ago-2026, con Fase 4, logística y transformación de planta).</t>
  </si>
  <si>
    <t>(+) HCM</t>
  </si>
  <si>
    <t>Dirección 20-ago: $2.000. HCM según tarifas del modelo (gerente/director $100).</t>
  </si>
  <si>
    <t>Dirección 20-ago: $900. HCM tarifa coordinador/analista $35.</t>
  </si>
  <si>
    <t>Factor de carga laboral patronal (vínculo a SUP_OPEX)</t>
  </si>
  <si>
    <t>Misma carga parafiscal del resto del modelo (SUP_OPEX!C14 = 40%): aplica sobre el salario; el HCM va aparte por tarifa.</t>
  </si>
  <si>
    <t>88 / no recupera</t>
  </si>
  <si>
    <t>Margen bruto ponderado del menú (%) (sin costos de transformación de planta)</t>
  </si>
  <si>
    <t>Los costos de transformación del producto en planta se trataron como fijos en el P&amp;L. Entendemos que no es el correcto mecanismo de calcular el costo de ventas pero es una forma práctica  para agregar los gastos fijos y su crecimiento, dificiles de distribuir por producto en proyecciones.</t>
  </si>
  <si>
    <t>Baseline aplicado: es equivalente al 60% del promedio de los restaurantes observados en una semana pico que incluía Día del Niño + final del Mundial</t>
  </si>
  <si>
    <t>KH</t>
  </si>
  <si>
    <t>Transferencia de know-how — SIN COSTO en este proyecto</t>
  </si>
  <si>
    <t>Decisión de la dirección: el know-how / transferencia de conocimiento NO genera inversión ni gasto en este modelo — será aportado aparte por los funcionarios de JHS. Tampoco se incluyen los honorarios del Módulo 1 (VentureME).</t>
  </si>
  <si>
    <t>El aporte al inversionista cubre piloto (10 PDV + planta F1 + kit de red), tecnología y flagship; la expansión se autofinancia con el waterfall. SIN costos de know-how ni honorarios del Módulo 1 (los asume JHS aparte).</t>
  </si>
  <si>
    <t>La inversión del centro de producción (CAPEX v3 verificado): línea batch F1 con IQF, adecuación de nave, capital de trabajo y kit de continuidad de red. Sin costos de know-how (los asume JHS aparte).</t>
  </si>
  <si>
    <t>CAPEX v3 (precios verificados ago-2026) del centro de producción en Tejerías: factor de nacionalización editable, línea batch Fase 1 con IQF desde el inicio, fases de ampliación 2-4 autofinanciadas, kit de continuidad de red, adecuación de nave, preoperativos y capital de trabajo, y — sección 8 de SUP_PRODUCCION — la logística de distribución planta→PDV. SIN inversión en know-how (ver nota en la hoja).</t>
  </si>
  <si>
    <t>• CAPEX v3 verificado en las 4 hojas de inversión: regla de capacidad de la dirección (800 pollos/día por PDV, hornos FRG8VE), flagship sin terreno ni obra civil mayor (presupuesto inmobiliario JHS aparte), planta F1 con IQF y kit de continuidad de red. El know-how / transferencia de conocimiento NO tiene costo en el proyecto: lo aportan los funcionarios de JHS (decisión de la dirección); tampoco se incluyen los honorarios del Módulo 1 con VentureME.</t>
  </si>
  <si>
    <t>Sin totales quemados: toda cifra de salida es fórmula. Los precios se editan CON IVA; el IVA (16%) se descuenta para ingresos y márgenes. Sin montos de honorarios (Módulo 1 VentureME fuera del modelo) y sin costos de know-how / transferencia de conocimiento — los asume JHS aparte.</t>
  </si>
  <si>
    <t>48 / 95</t>
  </si>
  <si>
    <t>84 / 112</t>
  </si>
  <si>
    <t>40 / 65</t>
  </si>
  <si>
    <t>72 / 91</t>
  </si>
  <si>
    <t>31 / 42</t>
  </si>
  <si>
    <t>58 / 71</t>
  </si>
  <si>
    <t>Mes 84</t>
  </si>
  <si>
    <t>Método: bisección sobre el volumen de la ventana (SUP_VOLUMEN!E16) hasta |VPN| &lt; $1.100 — snapshot 20-ago-2026. Incluye transformación de planta (carga patronal 40%), logística, volúmenes v3 y SIN inversión en know-how (decisión de la dirección: lo aportan funcionarios de JHS). Configuración: piloto + expansión + flagship, sin retail, WACC 25%. ⚠ El equilibrio (3.076) queda POR ENCIMA del escenario BÁSICO (2.946) y deja al MEDIO (3.367) con ~9% de colchón.</t>
  </si>
  <si>
    <t>¿Cuántos pollos hay que vender para no destruir valor? El volumen por formato que hace VPN = 0 (hoy: 3.076 pollos/mes por ventana — por encima del escenario BÁSICO), con ingresos y flujo de caja de ese escenario.</t>
  </si>
  <si>
    <t>• PUNTO_EQUILIBRIO (nueva): volumen por formato que hace VPN = 0 — con transformación (carga patronal 40%), logística, volúmenes v3 y sin know-how: 3.076 pollos/mes por ventana (≈101/día). El BÁSICO (2.946) queda POR DEBAJO del equilibrio y el MEDIO conserva ~9% de colchón.</t>
  </si>
  <si>
    <t>En una frase: el flagship es una vitrina de marca que vende el doble pero exige +$534 mil de aporte y devuelve el capital ~4× más lento que una ventana (27 vs 6,4 meses); en los 3 escenarios REDUCE el VPN (−$471 mil Básico / −$410 mil Medio / −$129 mil Alto). Si se hace, que sea por estrategia de marca con presupuesto inmobiliario aparte — no como inversión QSR.</t>
  </si>
  <si>
    <t>7. RESUMEN DE INVERSIÓN — ¿QUIÉN PONE QUÉ Y EN QUÉ SE GASTA?</t>
  </si>
  <si>
    <t>Dos preguntas, dos tablas: (A) ¿en qué se gasta el cheque de los socios? — composición viva desde las hojas CAPEX · (B) ¿quién financia la cadena completa? — socios vs caja del propio negocio, por escenario.</t>
  </si>
  <si>
    <t>A. EL CHEQUE DE LOS SOCIOS — COMPOSICIÓN DEL APORTE (en vivo; respeta los switches de capa)</t>
  </si>
  <si>
    <t>Categoría de inversión</t>
  </si>
  <si>
    <t>Piloto (10 PDV)</t>
  </si>
  <si>
    <t>Planta F1</t>
  </si>
  <si>
    <t>Flagship</t>
  </si>
  <si>
    <t>Retail</t>
  </si>
  <si>
    <t>Equipos y tecnología de operación</t>
  </si>
  <si>
    <t>Retail: su CAPEX ($225.850, equipos instalados + contingencia) entra completo aquí cuando se enciende el switch C14.</t>
  </si>
  <si>
    <t>Adecuación de locales y nave</t>
  </si>
  <si>
    <t>Preoperativos y permisos</t>
  </si>
  <si>
    <t>Kit de continuidad de red (hornos backup + repuestos)</t>
  </si>
  <si>
    <t>Capital de trabajo de planta (inventario 7 d fresco + 14 d congelado)</t>
  </si>
  <si>
    <t>Contingencia (10%)</t>
  </si>
  <si>
    <t>SUBTOTAL CAPEX POR CAPA</t>
  </si>
  <si>
    <t>Fondo tecnológico central (POS central, dashboards — mes 2)</t>
  </si>
  <si>
    <t>Depósitos de arriendo, capital de trabajo de tiendas y caja de arranque</t>
  </si>
  <si>
    <t>Calculado por diferencia contra el aporte del CONSOLIDADO: 6 meses de renta al abrir (3 de depósito + 3 anticipadas), 1 mes de gastos fijos por tienda y la caja que exige el flujo de los primeros meses.</t>
  </si>
  <si>
    <t>TOTAL APORTE DE LOS SOCIOS</t>
  </si>
  <si>
    <t>Control de composición</t>
  </si>
  <si>
    <t>B. ¿QUIÉN FINANCIA LA CADENA COMPLETA? — SOCIOS vs NEGOCIO, POR ESCENARIO</t>
  </si>
  <si>
    <t>Fuente de los fondos (120 meses)</t>
  </si>
  <si>
    <t>Lo que ponen los SOCIOS (cheque inicial)</t>
  </si>
  <si>
    <t>Lo que el NEGOCIO genera y reinvierte solo (waterfall)</t>
  </si>
  <si>
    <t>INVERSIÓN TOTAL DE LA CADENA</t>
  </si>
  <si>
    <t>% de la cadena que el negocio se paga solo</t>
  </si>
  <si>
    <t>La idea en una frase: el cheque de los socios es el MISMO en los tres escenarios — el escenario no cambia lo que ponen los socios, cambia cuánta cadena construye el negocio con su propia caja (70–75% del total). Tabla A respeta los switches de capa: apague el flagship en SUP_CONTROL!C12 y su columna se pone en cero al instante.</t>
  </si>
  <si>
    <t>Ojo: la columna del escenario activo es EN VIVO y refleja los switches actuales (hoy: flagship apagado → cheque menor); las otras columnas muestran el snapshot base (con flagship).</t>
  </si>
  <si>
    <t>Aporte ADICIONAL de socios para ACELERAR la expansión (USD — 0 = solo waterfall)</t>
  </si>
  <si>
    <t>→ mes de la inyección:</t>
  </si>
  <si>
    <t>Entra al pool de caja de CAPA3 en el mes elegido; el modelo lo invierte solo (fases de planta y nuevos PDV) respetando la reserva mínima y los gatillos. Cuenta como aporte de socios en CONSOLIDADO y en el resumen de inversión.</t>
  </si>
  <si>
    <t>Aporte adicional para ACELERAR la expansión (discrecional, SUP_CONTROL!C24)</t>
  </si>
  <si>
    <t>Palanca nueva: hoy en $0. Entra al pool del waterfall en el mes elegido (SUP_CONTROL!E24) y el modelo la invierte solo. Prueba de sensibilidad: +$500k en mes 13 ≈ +$210k de VPN en MEDIO.</t>
  </si>
  <si>
    <t>• ACELERADOR DE EXPANSIÓN (nuevo editable): SUP_CONTROL!C24 (monto) y E24 (mes) — aporte adicional y discrecional de socios que entra al pool del waterfall de la Capa 3; el modelo lo invierte solo respetando reserva y gatillos. En $0 por defecto. Sensibilidad: +$500k en mes 13 ≈ +$210k de VPN (MEDIO).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</si>
</sst>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64" formatCode="\$#,##0.00"/>
    <numFmt numFmtId="165" formatCode="0.0%"/>
    <numFmt numFmtId="167" formatCode="0.0"/>
    <numFmt numFmtId="168" formatCode="0.000"/>
    <numFmt numFmtId="169" formatCode="#,##0.0"/>
    <numFmt numFmtId="170" formatCode="\$#,##0"/>
    <numFmt numFmtId="171" formatCode="\$#,##0;&quot;($&quot;#,##0\);\-"/>
    <numFmt numFmtId="172" formatCode="0.0%;\(0.0%\);\-"/>
    <numFmt numFmtId="173" formatCode="0.0000"/>
    <numFmt numFmtId="174" formatCode="0.00000"/>
    <numFmt numFmtId="175" formatCode="&quot;$&quot;#,##0"/>
    <numFmt numFmtId="176" formatCode="&quot;$&quot;#,##0;\(&quot;$&quot;#,##0\);\-"/>
    <numFmt numFmtId="177" formatCode="&quot;$&quot;#,##0;\(&quot;$&quot;#,##0\)"/>
    <numFmt numFmtId="178" formatCode="\+&quot;$&quot;#,##0;\(&quot;$&quot;#,##0\)"/>
    <numFmt numFmtId="179" formatCode="\+0.0%;\-0.0%"/>
    <numFmt numFmtId="180" formatCode="0.0&quot;×&quot;"/>
    <numFmt numFmtId="181" formatCode="&quot;$&quot;0.00"/>
    <numFmt numFmtId="182" formatCode="0.0&quot; ventanas&quot;"/>
    <numFmt numFmtId="183" formatCode="&quot;$&quot;#,##0;&quot;($&quot;#,##0\);\-"/>
    <numFmt numFmtId="184" formatCode="&quot;$&quot;#,##0.00"/>
    <numFmt numFmtId="185" formatCode="&quot;$&quot;0.000"/>
    <numFmt numFmtId="187" formatCode="&quot;$&quot;0.0000"/>
  </numFmts>
  <fonts count="73" x14ac:knownFonts="1">
    <font>
      <sz val="11"/>
      <color theme="1"/>
      <name val="Calibri"/>
      <family val="2"/>
      <charset val="1"/>
    </font>
    <font>
      <sz val="10"/>
      <name val="Arial"/>
      <family val="2"/>
    </font>
    <font>
      <b/>
      <sz val="16"/>
      <color rgb="FFFFFFFF"/>
      <name val="Arial"/>
      <family val="2"/>
    </font>
    <font>
      <i/>
      <sz val="9.5"/>
      <color rgb="FFC7C8CD"/>
      <name val="Arial"/>
      <family val="2"/>
    </font>
    <font>
      <b/>
      <sz val="11.5"/>
      <color rgb="FFFFFFFF"/>
      <name val="Arial"/>
      <family val="2"/>
    </font>
    <font>
      <i/>
      <sz val="9"/>
      <color rgb="FF444444"/>
      <name val="Arial"/>
      <family val="2"/>
    </font>
    <font>
      <u/>
      <sz val="10.5"/>
      <color rgb="FF1155CC"/>
      <name val="Arial"/>
      <family val="2"/>
    </font>
    <font>
      <sz val="9"/>
      <color rgb="FF444444"/>
      <name val="Arial"/>
      <family val="2"/>
    </font>
    <font>
      <b/>
      <sz val="16"/>
      <color rgb="FFFFFFFF"/>
      <name val="Calibri"/>
      <family val="2"/>
      <charset val="1"/>
    </font>
    <font>
      <sz val="10"/>
      <color rgb="FFFFFFFF"/>
      <name val="Calibri"/>
      <family val="2"/>
      <charset val="1"/>
    </font>
    <font>
      <i/>
      <sz val="10"/>
      <color rgb="FF1F4E79"/>
      <name val="Calibri"/>
      <family val="2"/>
      <charset val="1"/>
    </font>
    <font>
      <b/>
      <sz val="10"/>
      <name val="Calibri"/>
      <family val="2"/>
      <charset val="1"/>
    </font>
    <font>
      <sz val="10"/>
      <name val="Calibri"/>
      <family val="2"/>
      <charset val="1"/>
    </font>
    <font>
      <i/>
      <sz val="8"/>
      <color rgb="FF808080"/>
      <name val="Calibri"/>
      <family val="2"/>
      <charset val="1"/>
    </font>
    <font>
      <i/>
      <sz val="9"/>
      <color rgb="FF595959"/>
      <name val="Calibri"/>
      <family val="2"/>
      <charset val="1"/>
    </font>
    <font>
      <b/>
      <sz val="12"/>
      <color rgb="FFFFFFFF"/>
      <name val="Calibri"/>
      <family val="2"/>
      <charset val="1"/>
    </font>
    <font>
      <b/>
      <sz val="10"/>
      <color rgb="FF0000FF"/>
      <name val="Calibri"/>
      <family val="2"/>
      <charset val="1"/>
    </font>
    <font>
      <b/>
      <sz val="10"/>
      <color rgb="FF008000"/>
      <name val="Calibri"/>
      <family val="2"/>
      <charset val="1"/>
    </font>
    <font>
      <sz val="10"/>
      <color rgb="FF0000FF"/>
      <name val="Calibri"/>
      <family val="2"/>
      <charset val="1"/>
    </font>
    <font>
      <sz val="10"/>
      <color rgb="FF008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4"/>
      <color rgb="FFFFFFFF"/>
      <name val="Calibri"/>
      <family val="2"/>
      <charset val="1"/>
    </font>
    <font>
      <b/>
      <sz val="11"/>
      <color rgb="FF1F4E79"/>
      <name val="Calibri"/>
      <family val="2"/>
      <charset val="1"/>
    </font>
    <font>
      <b/>
      <sz val="10"/>
      <color rgb="FFFFFFFF"/>
      <name val="Calibri"/>
      <family val="2"/>
      <charset val="1"/>
    </font>
    <font>
      <b/>
      <sz val="10"/>
      <name val="Arial"/>
      <family val="2"/>
    </font>
    <font>
      <sz val="10"/>
      <color rgb="FF0000FF"/>
      <name val="Arial"/>
      <family val="2"/>
    </font>
    <font>
      <i/>
      <sz val="8"/>
      <color rgb="FF808080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i/>
      <sz val="8"/>
      <color rgb="FF666666"/>
      <name val="Arial"/>
      <family val="2"/>
    </font>
    <font>
      <sz val="10"/>
      <color rgb="FF000000"/>
      <name val="Arial"/>
      <family val="2"/>
    </font>
    <font>
      <sz val="10"/>
      <color rgb="FF008000"/>
      <name val="Arial"/>
      <family val="2"/>
    </font>
    <font>
      <b/>
      <sz val="11"/>
      <color rgb="FFFFFFFF"/>
      <name val="Arial"/>
      <family val="2"/>
    </font>
    <font>
      <b/>
      <sz val="13"/>
      <color rgb="FFFFFFFF"/>
      <name val="Arial"/>
      <family val="2"/>
    </font>
    <font>
      <i/>
      <sz val="8.5"/>
      <color rgb="FFC7C8CD"/>
      <name val="Arial"/>
      <family val="2"/>
    </font>
    <font>
      <b/>
      <sz val="9"/>
      <color rgb="FFFFFFFF"/>
      <name val="Arial"/>
      <family val="2"/>
    </font>
    <font>
      <b/>
      <sz val="10"/>
      <color rgb="FF2563A8"/>
      <name val="Arial"/>
      <family val="2"/>
    </font>
    <font>
      <i/>
      <sz val="9"/>
      <color rgb="FF00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rgb="FF008000"/>
      <name val="Arial"/>
      <family val="2"/>
    </font>
    <font>
      <b/>
      <sz val="10"/>
      <color rgb="FFFFFFFF"/>
      <name val="Arial"/>
      <family val="2"/>
    </font>
    <font>
      <b/>
      <sz val="11"/>
      <name val="Arial"/>
      <family val="2"/>
    </font>
    <font>
      <u/>
      <sz val="11"/>
      <color theme="10"/>
      <name val="Calibri"/>
      <family val="2"/>
      <charset val="1"/>
    </font>
    <font>
      <b/>
      <sz val="11"/>
      <color theme="1"/>
      <name val="Calibri"/>
      <family val="2"/>
      <charset val="1"/>
    </font>
    <font>
      <b/>
      <sz val="12"/>
      <color rgb="FF1F4E78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color rgb="FF0000FF"/>
      <name val="Calibri"/>
      <family val="2"/>
      <charset val="1"/>
    </font>
    <font>
      <b/>
      <sz val="11"/>
      <color rgb="FF1F4E78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sz val="11"/>
      <color rgb="FF00B050"/>
      <name val="Calibri"/>
      <family val="2"/>
      <charset val="1"/>
    </font>
    <font>
      <b/>
      <sz val="10"/>
      <color rgb="FF1F4E78"/>
      <name val="Calibri"/>
      <family val="2"/>
      <charset val="1"/>
    </font>
    <font>
      <sz val="11"/>
      <color rgb="FF000000"/>
      <name val="Calibri"/>
      <family val="2"/>
      <charset val="1"/>
    </font>
    <font>
      <sz val="9"/>
      <color rgb="FF595959"/>
      <name val="Calibri"/>
      <family val="2"/>
      <charset val="1"/>
    </font>
    <font>
      <b/>
      <sz val="10"/>
      <color theme="1"/>
      <name val="Calibri"/>
      <family val="2"/>
      <charset val="1"/>
    </font>
    <font>
      <b/>
      <sz val="11"/>
      <color rgb="FF008000"/>
      <name val="Calibri"/>
      <family val="2"/>
      <charset val="1"/>
    </font>
    <font>
      <b/>
      <sz val="11"/>
      <color rgb="FF0000FF"/>
      <name val="Calibri"/>
      <family val="2"/>
      <charset val="1"/>
    </font>
    <font>
      <i/>
      <sz val="9"/>
      <color theme="1"/>
      <name val="Calibri"/>
      <family val="2"/>
      <charset val="1"/>
    </font>
    <font>
      <i/>
      <sz val="11"/>
      <color rgb="FFC00000"/>
      <name val="Calibri"/>
      <family val="2"/>
      <charset val="1"/>
    </font>
    <font>
      <b/>
      <sz val="11"/>
      <color rgb="FFC00000"/>
      <name val="Calibri"/>
      <family val="2"/>
      <charset val="1"/>
    </font>
    <font>
      <b/>
      <sz val="10"/>
      <color rgb="FFC00000"/>
      <name val="Calibri"/>
      <family val="2"/>
      <charset val="1"/>
    </font>
    <font>
      <b/>
      <sz val="14"/>
      <color rgb="FF1F4E78"/>
      <name val="Calibri"/>
      <family val="2"/>
      <charset val="1"/>
    </font>
    <font>
      <i/>
      <sz val="9"/>
      <color rgb="FF808080"/>
      <name val="Calibri"/>
      <family val="2"/>
      <charset val="1"/>
    </font>
    <font>
      <sz val="9"/>
      <color rgb="FFC00000"/>
      <name val="Calibri"/>
      <family val="2"/>
      <charset val="1"/>
    </font>
    <font>
      <sz val="9"/>
      <color rgb="FFBF8F00"/>
      <name val="Calibri"/>
      <family val="2"/>
      <charset val="1"/>
    </font>
    <font>
      <sz val="9"/>
      <color rgb="FF548235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i/>
      <sz val="10"/>
      <color rgb="FF595959"/>
      <name val="Calibri"/>
      <family val="2"/>
      <charset val="1"/>
    </font>
    <font>
      <b/>
      <i/>
      <sz val="9"/>
      <color rgb="FF595959"/>
      <name val="Calibri"/>
      <family val="2"/>
      <charset val="1"/>
    </font>
    <font>
      <sz val="10"/>
      <color theme="1"/>
      <name val="Arial"/>
      <family val="2"/>
    </font>
    <font>
      <i/>
      <sz val="10"/>
      <color rgb="FF808080"/>
      <name val="Calibri"/>
      <family val="2"/>
      <charset val="1"/>
    </font>
  </fonts>
  <fills count="22">
    <fill>
      <patternFill patternType="none"/>
    </fill>
    <fill>
      <patternFill patternType="gray125"/>
    </fill>
    <fill>
      <patternFill patternType="solid">
        <fgColor rgb="FF15161A"/>
        <bgColor rgb="FF000000"/>
      </patternFill>
    </fill>
    <fill>
      <patternFill patternType="solid">
        <fgColor rgb="FFED8B2B"/>
        <bgColor rgb="FFED7D31"/>
      </patternFill>
    </fill>
    <fill>
      <patternFill patternType="solid">
        <fgColor rgb="FF1F4E79"/>
        <bgColor rgb="FF2563A8"/>
      </patternFill>
    </fill>
    <fill>
      <patternFill patternType="solid">
        <fgColor rgb="FFFFD966"/>
        <bgColor rgb="FFFCE4C8"/>
      </patternFill>
    </fill>
    <fill>
      <patternFill patternType="solid">
        <fgColor rgb="FFD9E2F1"/>
        <bgColor rgb="FFE5E5E5"/>
      </patternFill>
    </fill>
    <fill>
      <patternFill patternType="solid">
        <fgColor rgb="FFFFF2CC"/>
        <bgColor rgb="FFFCE4C8"/>
      </patternFill>
    </fill>
    <fill>
      <patternFill patternType="solid">
        <fgColor rgb="FFF2F2F2"/>
        <bgColor rgb="FFEAF1F8"/>
      </patternFill>
    </fill>
    <fill>
      <patternFill patternType="solid">
        <fgColor rgb="FF2E75B6"/>
        <bgColor rgb="FF4672A8"/>
      </patternFill>
    </fill>
    <fill>
      <patternFill patternType="solid">
        <fgColor rgb="FFFFFF00"/>
        <bgColor rgb="FFFFD966"/>
      </patternFill>
    </fill>
    <fill>
      <patternFill patternType="solid">
        <fgColor rgb="FFFCE4C8"/>
        <bgColor rgb="FFFFF2CC"/>
      </patternFill>
    </fill>
    <fill>
      <patternFill patternType="solid">
        <fgColor rgb="FFEAF1F8"/>
        <bgColor rgb="FFF2F2F2"/>
      </patternFill>
    </fill>
    <fill>
      <patternFill patternType="solid">
        <fgColor rgb="FF1F4E78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E2F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D96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E5E5E5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hair">
        <color rgb="FFD9D9D9"/>
      </bottom>
      <diagonal/>
    </border>
    <border>
      <left/>
      <right/>
      <top style="hair">
        <color rgb="FFD9D9D9"/>
      </top>
      <bottom style="hair">
        <color rgb="FFD9D9D9"/>
      </bottom>
      <diagonal/>
    </border>
    <border>
      <left/>
      <right/>
      <top style="hair">
        <color rgb="FFD9D9D9"/>
      </top>
      <bottom/>
      <diagonal/>
    </border>
    <border>
      <left/>
      <right/>
      <top style="thin">
        <color rgb="FFE5E5E5"/>
      </top>
      <bottom/>
      <diagonal/>
    </border>
    <border>
      <left/>
      <right/>
      <top style="thin">
        <color rgb="FFE5E5E5"/>
      </top>
      <bottom style="thin">
        <color rgb="FFE5E5E5"/>
      </bottom>
      <diagonal/>
    </border>
  </borders>
  <cellStyleXfs count="2">
    <xf numFmtId="0" fontId="0" fillId="0" borderId="0"/>
    <xf numFmtId="0" fontId="44" fillId="0" borderId="0" applyNumberFormat="0" applyFill="0" applyBorder="0" applyAlignment="0" applyProtection="0"/>
  </cellStyleXfs>
  <cellXfs count="297">
    <xf numFmtId="0" fontId="0" fillId="0" borderId="0" xfId="0"/>
    <xf numFmtId="0" fontId="35" fillId="2" borderId="0" xfId="0" applyFont="1" applyFill="1" applyAlignment="1">
      <alignment horizontal="left" vertical="center" indent="1"/>
    </xf>
    <xf numFmtId="0" fontId="34" fillId="2" borderId="0" xfId="0" applyFont="1" applyFill="1" applyAlignment="1">
      <alignment horizontal="left" vertical="center" indent="1"/>
    </xf>
    <xf numFmtId="0" fontId="30" fillId="0" borderId="0" xfId="0" applyFont="1"/>
    <xf numFmtId="0" fontId="14" fillId="0" borderId="0" xfId="0" applyFont="1" applyAlignment="1">
      <alignment vertical="top" wrapText="1"/>
    </xf>
    <xf numFmtId="0" fontId="20" fillId="0" borderId="0" xfId="0" applyFont="1"/>
    <xf numFmtId="0" fontId="7" fillId="0" borderId="1" xfId="0" applyFont="1" applyBorder="1" applyAlignment="1">
      <alignment vertical="center" wrapText="1"/>
    </xf>
    <xf numFmtId="0" fontId="5" fillId="0" borderId="0" xfId="0" applyFont="1" applyAlignment="1">
      <alignment indent="1"/>
    </xf>
    <xf numFmtId="0" fontId="4" fillId="3" borderId="0" xfId="0" applyFont="1" applyFill="1" applyAlignment="1">
      <alignment vertical="center" indent="1"/>
    </xf>
    <xf numFmtId="0" fontId="3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0" fillId="2" borderId="0" xfId="0" applyFill="1"/>
    <xf numFmtId="0" fontId="6" fillId="0" borderId="1" xfId="0" applyFont="1" applyBorder="1"/>
    <xf numFmtId="0" fontId="7" fillId="0" borderId="1" xfId="0" applyFont="1" applyBorder="1" applyAlignment="1">
      <alignment vertical="center" wrapText="1"/>
    </xf>
    <xf numFmtId="0" fontId="0" fillId="4" borderId="0" xfId="0" applyFill="1"/>
    <xf numFmtId="0" fontId="8" fillId="4" borderId="0" xfId="0" applyFont="1" applyFill="1"/>
    <xf numFmtId="0" fontId="9" fillId="4" borderId="0" xfId="0" applyFont="1" applyFill="1"/>
    <xf numFmtId="0" fontId="10" fillId="0" borderId="0" xfId="0" applyFont="1"/>
    <xf numFmtId="0" fontId="11" fillId="0" borderId="0" xfId="0" applyFont="1" applyAlignment="1">
      <alignment vertical="top"/>
    </xf>
    <xf numFmtId="0" fontId="12" fillId="0" borderId="0" xfId="0" applyFont="1" applyAlignment="1">
      <alignment vertical="top" wrapText="1"/>
    </xf>
    <xf numFmtId="0" fontId="11" fillId="0" borderId="0" xfId="0" applyFont="1"/>
    <xf numFmtId="0" fontId="13" fillId="0" borderId="0" xfId="0" applyFont="1" applyAlignment="1">
      <alignment vertical="top" wrapText="1"/>
    </xf>
    <xf numFmtId="0" fontId="11" fillId="5" borderId="0" xfId="0" applyFont="1" applyFill="1"/>
    <xf numFmtId="0" fontId="14" fillId="0" borderId="0" xfId="0" applyFont="1"/>
    <xf numFmtId="0" fontId="15" fillId="4" borderId="0" xfId="0" applyFont="1" applyFill="1"/>
    <xf numFmtId="0" fontId="11" fillId="6" borderId="0" xfId="0" applyFont="1" applyFill="1"/>
    <xf numFmtId="0" fontId="0" fillId="6" borderId="0" xfId="0" applyFill="1"/>
    <xf numFmtId="3" fontId="16" fillId="5" borderId="0" xfId="0" applyNumberFormat="1" applyFont="1" applyFill="1"/>
    <xf numFmtId="3" fontId="17" fillId="0" borderId="0" xfId="0" applyNumberFormat="1" applyFont="1"/>
    <xf numFmtId="3" fontId="18" fillId="7" borderId="0" xfId="0" applyNumberFormat="1" applyFont="1" applyFill="1"/>
    <xf numFmtId="3" fontId="18" fillId="0" borderId="0" xfId="0" applyNumberFormat="1" applyFont="1"/>
    <xf numFmtId="164" fontId="19" fillId="0" borderId="0" xfId="0" applyNumberFormat="1" applyFont="1"/>
    <xf numFmtId="4" fontId="19" fillId="0" borderId="0" xfId="0" applyNumberFormat="1" applyFont="1"/>
    <xf numFmtId="165" fontId="18" fillId="7" borderId="0" xfId="0" applyNumberFormat="1" applyFont="1" applyFill="1"/>
    <xf numFmtId="10" fontId="20" fillId="0" borderId="0" xfId="0" applyNumberFormat="1" applyFont="1"/>
    <xf numFmtId="165" fontId="18" fillId="0" borderId="0" xfId="0" applyNumberFormat="1" applyFont="1"/>
    <xf numFmtId="165" fontId="19" fillId="0" borderId="0" xfId="0" applyNumberFormat="1" applyFont="1"/>
    <xf numFmtId="0" fontId="20" fillId="0" borderId="0" xfId="0" applyFont="1"/>
    <xf numFmtId="0" fontId="21" fillId="4" borderId="0" xfId="0" applyFont="1" applyFill="1"/>
    <xf numFmtId="0" fontId="13" fillId="0" borderId="0" xfId="0" applyFont="1"/>
    <xf numFmtId="0" fontId="22" fillId="8" borderId="0" xfId="0" applyFont="1" applyFill="1"/>
    <xf numFmtId="0" fontId="0" fillId="8" borderId="0" xfId="0" applyFill="1"/>
    <xf numFmtId="0" fontId="23" fillId="9" borderId="2" xfId="0" applyFont="1" applyFill="1" applyBorder="1" applyAlignment="1">
      <alignment vertical="center" wrapText="1"/>
    </xf>
    <xf numFmtId="0" fontId="12" fillId="0" borderId="2" xfId="0" applyFont="1" applyBorder="1"/>
    <xf numFmtId="0" fontId="12" fillId="0" borderId="2" xfId="0" applyFont="1" applyBorder="1" applyAlignment="1">
      <alignment vertical="top" wrapText="1"/>
    </xf>
    <xf numFmtId="0" fontId="12" fillId="10" borderId="2" xfId="0" applyFont="1" applyFill="1" applyBorder="1"/>
    <xf numFmtId="0" fontId="12" fillId="0" borderId="0" xfId="0" applyFont="1"/>
    <xf numFmtId="165" fontId="18" fillId="7" borderId="2" xfId="0" applyNumberFormat="1" applyFont="1" applyFill="1" applyBorder="1"/>
    <xf numFmtId="165" fontId="18" fillId="0" borderId="2" xfId="0" applyNumberFormat="1" applyFont="1" applyBorder="1"/>
    <xf numFmtId="165" fontId="11" fillId="0" borderId="2" xfId="0" applyNumberFormat="1" applyFont="1" applyBorder="1"/>
    <xf numFmtId="3" fontId="18" fillId="0" borderId="2" xfId="0" applyNumberFormat="1" applyFont="1" applyBorder="1"/>
    <xf numFmtId="3" fontId="19" fillId="0" borderId="2" xfId="0" applyNumberFormat="1" applyFont="1" applyBorder="1"/>
    <xf numFmtId="3" fontId="12" fillId="0" borderId="2" xfId="0" applyNumberFormat="1" applyFont="1" applyBorder="1"/>
    <xf numFmtId="3" fontId="11" fillId="0" borderId="2" xfId="0" applyNumberFormat="1" applyFont="1" applyBorder="1"/>
    <xf numFmtId="0" fontId="13" fillId="0" borderId="2" xfId="0" applyFont="1" applyBorder="1" applyAlignment="1">
      <alignment vertical="top" wrapText="1"/>
    </xf>
    <xf numFmtId="4" fontId="18" fillId="7" borderId="2" xfId="0" applyNumberFormat="1" applyFont="1" applyFill="1" applyBorder="1"/>
    <xf numFmtId="4" fontId="12" fillId="0" borderId="2" xfId="0" applyNumberFormat="1" applyFont="1" applyBorder="1"/>
    <xf numFmtId="4" fontId="19" fillId="0" borderId="2" xfId="0" applyNumberFormat="1" applyFont="1" applyBorder="1"/>
    <xf numFmtId="165" fontId="12" fillId="0" borderId="2" xfId="0" applyNumberFormat="1" applyFont="1" applyBorder="1"/>
    <xf numFmtId="4" fontId="18" fillId="0" borderId="2" xfId="0" applyNumberFormat="1" applyFont="1" applyBorder="1"/>
    <xf numFmtId="3" fontId="11" fillId="7" borderId="2" xfId="0" applyNumberFormat="1" applyFont="1" applyFill="1" applyBorder="1"/>
    <xf numFmtId="165" fontId="11" fillId="7" borderId="2" xfId="0" applyNumberFormat="1" applyFont="1" applyFill="1" applyBorder="1"/>
    <xf numFmtId="2" fontId="18" fillId="0" borderId="2" xfId="0" applyNumberFormat="1" applyFont="1" applyBorder="1"/>
    <xf numFmtId="4" fontId="11" fillId="7" borderId="0" xfId="0" applyNumberFormat="1" applyFont="1" applyFill="1"/>
    <xf numFmtId="165" fontId="20" fillId="0" borderId="2" xfId="0" applyNumberFormat="1" applyFont="1" applyBorder="1"/>
    <xf numFmtId="3" fontId="16" fillId="7" borderId="2" xfId="0" applyNumberFormat="1" applyFont="1" applyFill="1" applyBorder="1"/>
    <xf numFmtId="167" fontId="18" fillId="7" borderId="2" xfId="0" applyNumberFormat="1" applyFont="1" applyFill="1" applyBorder="1"/>
    <xf numFmtId="168" fontId="12" fillId="0" borderId="2" xfId="0" applyNumberFormat="1" applyFont="1" applyBorder="1"/>
    <xf numFmtId="169" fontId="12" fillId="0" borderId="2" xfId="0" applyNumberFormat="1" applyFont="1" applyBorder="1"/>
    <xf numFmtId="3" fontId="0" fillId="0" borderId="0" xfId="0" applyNumberFormat="1"/>
    <xf numFmtId="168" fontId="0" fillId="0" borderId="0" xfId="0" applyNumberFormat="1"/>
    <xf numFmtId="170" fontId="18" fillId="0" borderId="0" xfId="0" applyNumberFormat="1" applyFont="1"/>
    <xf numFmtId="170" fontId="11" fillId="0" borderId="0" xfId="0" applyNumberFormat="1" applyFont="1"/>
    <xf numFmtId="3" fontId="19" fillId="0" borderId="0" xfId="0" applyNumberFormat="1" applyFont="1"/>
    <xf numFmtId="0" fontId="24" fillId="0" borderId="0" xfId="0" applyFont="1"/>
    <xf numFmtId="170" fontId="11" fillId="7" borderId="0" xfId="0" applyNumberFormat="1" applyFont="1" applyFill="1"/>
    <xf numFmtId="165" fontId="11" fillId="0" borderId="0" xfId="0" applyNumberFormat="1" applyFont="1"/>
    <xf numFmtId="170" fontId="20" fillId="0" borderId="0" xfId="0" applyNumberFormat="1" applyFont="1"/>
    <xf numFmtId="0" fontId="25" fillId="0" borderId="0" xfId="0" applyFont="1"/>
    <xf numFmtId="0" fontId="26" fillId="0" borderId="0" xfId="0" applyFont="1"/>
    <xf numFmtId="170" fontId="11" fillId="5" borderId="0" xfId="0" applyNumberFormat="1" applyFont="1" applyFill="1"/>
    <xf numFmtId="0" fontId="25" fillId="6" borderId="0" xfId="0" applyFont="1" applyFill="1"/>
    <xf numFmtId="0" fontId="24" fillId="6" borderId="0" xfId="0" applyFont="1" applyFill="1"/>
    <xf numFmtId="3" fontId="11" fillId="0" borderId="0" xfId="0" applyNumberFormat="1" applyFont="1"/>
    <xf numFmtId="0" fontId="14" fillId="0" borderId="0" xfId="0" applyFont="1" applyAlignment="1">
      <alignment vertical="top" wrapText="1"/>
    </xf>
    <xf numFmtId="170" fontId="19" fillId="0" borderId="0" xfId="0" applyNumberFormat="1" applyFont="1"/>
    <xf numFmtId="0" fontId="27" fillId="0" borderId="0" xfId="0" applyFont="1"/>
    <xf numFmtId="3" fontId="11" fillId="8" borderId="0" xfId="0" applyNumberFormat="1" applyFont="1" applyFill="1"/>
    <xf numFmtId="3" fontId="20" fillId="0" borderId="0" xfId="0" applyNumberFormat="1" applyFont="1"/>
    <xf numFmtId="165" fontId="20" fillId="0" borderId="0" xfId="0" applyNumberFormat="1" applyFont="1"/>
    <xf numFmtId="170" fontId="18" fillId="7" borderId="0" xfId="0" applyNumberFormat="1" applyFont="1" applyFill="1"/>
    <xf numFmtId="168" fontId="11" fillId="7" borderId="2" xfId="0" applyNumberFormat="1" applyFont="1" applyFill="1" applyBorder="1"/>
    <xf numFmtId="3" fontId="12" fillId="0" borderId="0" xfId="0" applyNumberFormat="1" applyFont="1"/>
    <xf numFmtId="3" fontId="11" fillId="7" borderId="0" xfId="0" applyNumberFormat="1" applyFont="1" applyFill="1"/>
    <xf numFmtId="168" fontId="19" fillId="0" borderId="2" xfId="0" applyNumberFormat="1" applyFont="1" applyBorder="1"/>
    <xf numFmtId="165" fontId="19" fillId="0" borderId="2" xfId="0" applyNumberFormat="1" applyFont="1" applyBorder="1"/>
    <xf numFmtId="3" fontId="20" fillId="0" borderId="2" xfId="0" applyNumberFormat="1" applyFont="1" applyBorder="1"/>
    <xf numFmtId="0" fontId="23" fillId="9" borderId="0" xfId="0" applyFont="1" applyFill="1"/>
    <xf numFmtId="4" fontId="18" fillId="0" borderId="0" xfId="0" applyNumberFormat="1" applyFont="1"/>
    <xf numFmtId="4" fontId="20" fillId="0" borderId="0" xfId="0" applyNumberFormat="1" applyFont="1"/>
    <xf numFmtId="0" fontId="27" fillId="6" borderId="0" xfId="0" applyFont="1" applyFill="1"/>
    <xf numFmtId="4" fontId="16" fillId="5" borderId="0" xfId="0" applyNumberFormat="1" applyFont="1" applyFill="1"/>
    <xf numFmtId="0" fontId="18" fillId="0" borderId="0" xfId="0" applyFont="1"/>
    <xf numFmtId="0" fontId="28" fillId="0" borderId="0" xfId="0" applyFont="1"/>
    <xf numFmtId="0" fontId="19" fillId="0" borderId="0" xfId="0" applyFont="1"/>
    <xf numFmtId="164" fontId="18" fillId="0" borderId="0" xfId="0" applyNumberFormat="1" applyFont="1"/>
    <xf numFmtId="165" fontId="11" fillId="7" borderId="0" xfId="0" applyNumberFormat="1" applyFont="1" applyFill="1"/>
    <xf numFmtId="0" fontId="29" fillId="11" borderId="0" xfId="0" applyFont="1" applyFill="1"/>
    <xf numFmtId="0" fontId="0" fillId="11" borderId="0" xfId="0" applyFill="1"/>
    <xf numFmtId="0" fontId="29" fillId="0" borderId="0" xfId="0" applyFont="1"/>
    <xf numFmtId="165" fontId="25" fillId="0" borderId="0" xfId="0" applyNumberFormat="1" applyFont="1"/>
    <xf numFmtId="0" fontId="31" fillId="0" borderId="0" xfId="0" applyFont="1"/>
    <xf numFmtId="171" fontId="32" fillId="0" borderId="0" xfId="0" applyNumberFormat="1" applyFont="1"/>
    <xf numFmtId="165" fontId="32" fillId="0" borderId="0" xfId="0" applyNumberFormat="1" applyFont="1"/>
    <xf numFmtId="171" fontId="31" fillId="0" borderId="0" xfId="0" applyNumberFormat="1" applyFont="1"/>
    <xf numFmtId="0" fontId="33" fillId="2" borderId="0" xfId="0" applyFont="1" applyFill="1"/>
    <xf numFmtId="171" fontId="33" fillId="2" borderId="0" xfId="0" applyNumberFormat="1" applyFont="1" applyFill="1"/>
    <xf numFmtId="165" fontId="0" fillId="0" borderId="0" xfId="0" applyNumberFormat="1"/>
    <xf numFmtId="0" fontId="32" fillId="0" borderId="0" xfId="0" applyFont="1"/>
    <xf numFmtId="3" fontId="32" fillId="0" borderId="0" xfId="0" applyNumberFormat="1" applyFont="1"/>
    <xf numFmtId="0" fontId="36" fillId="2" borderId="0" xfId="0" applyFont="1" applyFill="1"/>
    <xf numFmtId="0" fontId="36" fillId="2" borderId="0" xfId="0" applyFont="1" applyFill="1" applyAlignment="1">
      <alignment horizontal="center"/>
    </xf>
    <xf numFmtId="0" fontId="37" fillId="12" borderId="0" xfId="0" applyFont="1" applyFill="1"/>
    <xf numFmtId="0" fontId="0" fillId="12" borderId="0" xfId="0" applyFill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41" fillId="0" borderId="0" xfId="0" applyFont="1"/>
    <xf numFmtId="172" fontId="41" fillId="0" borderId="0" xfId="0" applyNumberFormat="1" applyFont="1"/>
    <xf numFmtId="171" fontId="41" fillId="0" borderId="0" xfId="0" applyNumberFormat="1" applyFont="1"/>
    <xf numFmtId="172" fontId="40" fillId="0" borderId="0" xfId="0" applyNumberFormat="1" applyFont="1"/>
    <xf numFmtId="0" fontId="29" fillId="0" borderId="0" xfId="0" applyFont="1" applyAlignment="1">
      <alignment indent="1"/>
    </xf>
    <xf numFmtId="0" fontId="31" fillId="0" borderId="0" xfId="0" applyFont="1" applyAlignment="1">
      <alignment indent="2"/>
    </xf>
    <xf numFmtId="0" fontId="29" fillId="8" borderId="0" xfId="0" applyFont="1" applyFill="1" applyAlignment="1">
      <alignment indent="1"/>
    </xf>
    <xf numFmtId="171" fontId="29" fillId="8" borderId="0" xfId="0" applyNumberFormat="1" applyFont="1" applyFill="1"/>
    <xf numFmtId="0" fontId="29" fillId="8" borderId="0" xfId="0" applyFont="1" applyFill="1"/>
    <xf numFmtId="171" fontId="29" fillId="11" borderId="0" xfId="0" applyNumberFormat="1" applyFont="1" applyFill="1"/>
    <xf numFmtId="0" fontId="31" fillId="0" borderId="0" xfId="0" applyFont="1" applyAlignment="1">
      <alignment indent="1"/>
    </xf>
    <xf numFmtId="172" fontId="31" fillId="0" borderId="0" xfId="0" applyNumberFormat="1" applyFont="1"/>
    <xf numFmtId="0" fontId="42" fillId="2" borderId="0" xfId="0" applyFont="1" applyFill="1"/>
    <xf numFmtId="171" fontId="42" fillId="2" borderId="0" xfId="0" applyNumberFormat="1" applyFont="1" applyFill="1"/>
    <xf numFmtId="0" fontId="42" fillId="2" borderId="0" xfId="0" applyFont="1" applyFill="1" applyAlignment="1">
      <alignment indent="1"/>
    </xf>
    <xf numFmtId="172" fontId="42" fillId="2" borderId="0" xfId="0" applyNumberFormat="1" applyFont="1" applyFill="1"/>
    <xf numFmtId="0" fontId="29" fillId="0" borderId="0" xfId="0" applyFont="1" applyAlignment="1">
      <alignment horizontal="center"/>
    </xf>
    <xf numFmtId="0" fontId="43" fillId="0" borderId="0" xfId="0" applyFont="1"/>
    <xf numFmtId="0" fontId="17" fillId="0" borderId="0" xfId="0" applyFont="1"/>
    <xf numFmtId="4" fontId="17" fillId="0" borderId="0" xfId="0" applyNumberFormat="1" applyFont="1"/>
    <xf numFmtId="170" fontId="17" fillId="0" borderId="0" xfId="0" applyNumberFormat="1" applyFont="1"/>
    <xf numFmtId="165" fontId="17" fillId="0" borderId="0" xfId="0" applyNumberFormat="1" applyFont="1"/>
    <xf numFmtId="4" fontId="11" fillId="0" borderId="0" xfId="0" applyNumberFormat="1" applyFont="1"/>
    <xf numFmtId="0" fontId="45" fillId="0" borderId="0" xfId="0" applyFont="1"/>
    <xf numFmtId="0" fontId="46" fillId="0" borderId="0" xfId="0" applyFont="1"/>
    <xf numFmtId="0" fontId="47" fillId="13" borderId="0" xfId="0" applyFont="1" applyFill="1"/>
    <xf numFmtId="0" fontId="48" fillId="0" borderId="0" xfId="0" applyFont="1"/>
    <xf numFmtId="0" fontId="49" fillId="0" borderId="0" xfId="0" applyFont="1"/>
    <xf numFmtId="0" fontId="50" fillId="0" borderId="0" xfId="0" applyFont="1"/>
    <xf numFmtId="0" fontId="45" fillId="14" borderId="0" xfId="0" applyFont="1" applyFill="1"/>
    <xf numFmtId="0" fontId="51" fillId="0" borderId="0" xfId="0" applyFont="1"/>
    <xf numFmtId="168" fontId="45" fillId="0" borderId="0" xfId="0" applyNumberFormat="1" applyFont="1"/>
    <xf numFmtId="0" fontId="45" fillId="15" borderId="0" xfId="0" applyFont="1" applyFill="1"/>
    <xf numFmtId="0" fontId="45" fillId="16" borderId="0" xfId="0" applyFont="1" applyFill="1"/>
    <xf numFmtId="9" fontId="48" fillId="0" borderId="0" xfId="0" applyNumberFormat="1" applyFont="1"/>
    <xf numFmtId="173" fontId="0" fillId="0" borderId="0" xfId="0" applyNumberFormat="1"/>
    <xf numFmtId="168" fontId="48" fillId="0" borderId="0" xfId="0" applyNumberFormat="1" applyFont="1"/>
    <xf numFmtId="2" fontId="51" fillId="0" borderId="0" xfId="0" applyNumberFormat="1" applyFont="1"/>
    <xf numFmtId="174" fontId="51" fillId="0" borderId="0" xfId="0" applyNumberFormat="1" applyFont="1"/>
    <xf numFmtId="174" fontId="48" fillId="0" borderId="0" xfId="0" applyNumberFormat="1" applyFont="1"/>
    <xf numFmtId="174" fontId="52" fillId="0" borderId="0" xfId="0" applyNumberFormat="1" applyFont="1"/>
    <xf numFmtId="0" fontId="13" fillId="0" borderId="0" xfId="0" applyFont="1" applyFill="1" applyBorder="1" applyAlignment="1">
      <alignment vertical="top" wrapText="1"/>
    </xf>
    <xf numFmtId="0" fontId="0" fillId="16" borderId="0" xfId="0" applyFill="1"/>
    <xf numFmtId="0" fontId="53" fillId="16" borderId="0" xfId="0" applyFont="1" applyFill="1"/>
    <xf numFmtId="3" fontId="12" fillId="16" borderId="0" xfId="0" applyNumberFormat="1" applyFont="1" applyFill="1"/>
    <xf numFmtId="0" fontId="54" fillId="0" borderId="0" xfId="0" applyFont="1"/>
    <xf numFmtId="0" fontId="12" fillId="0" borderId="0" xfId="0" applyFont="1" applyBorder="1"/>
    <xf numFmtId="3" fontId="18" fillId="0" borderId="0" xfId="0" applyNumberFormat="1" applyFont="1" applyBorder="1"/>
    <xf numFmtId="3" fontId="20" fillId="0" borderId="0" xfId="0" applyNumberFormat="1" applyFont="1" applyBorder="1"/>
    <xf numFmtId="170" fontId="20" fillId="17" borderId="0" xfId="0" applyNumberFormat="1" applyFont="1" applyFill="1"/>
    <xf numFmtId="0" fontId="21" fillId="13" borderId="0" xfId="0" applyFont="1" applyFill="1"/>
    <xf numFmtId="0" fontId="0" fillId="13" borderId="0" xfId="0" applyFill="1"/>
    <xf numFmtId="0" fontId="55" fillId="0" borderId="0" xfId="0" applyFont="1"/>
    <xf numFmtId="0" fontId="56" fillId="18" borderId="0" xfId="0" applyFont="1" applyFill="1"/>
    <xf numFmtId="0" fontId="0" fillId="18" borderId="0" xfId="0" applyFill="1"/>
    <xf numFmtId="0" fontId="57" fillId="15" borderId="0" xfId="0" applyFont="1" applyFill="1"/>
    <xf numFmtId="3" fontId="51" fillId="0" borderId="0" xfId="0" applyNumberFormat="1" applyFont="1"/>
    <xf numFmtId="175" fontId="51" fillId="0" borderId="0" xfId="0" applyNumberFormat="1" applyFont="1"/>
    <xf numFmtId="175" fontId="57" fillId="0" borderId="0" xfId="0" applyNumberFormat="1" applyFont="1"/>
    <xf numFmtId="176" fontId="57" fillId="0" borderId="0" xfId="0" applyNumberFormat="1" applyFont="1"/>
    <xf numFmtId="165" fontId="57" fillId="0" borderId="0" xfId="0" applyNumberFormat="1" applyFont="1"/>
    <xf numFmtId="0" fontId="51" fillId="0" borderId="0" xfId="0" applyFont="1" applyAlignment="1">
      <alignment horizontal="right"/>
    </xf>
    <xf numFmtId="165" fontId="51" fillId="0" borderId="0" xfId="0" applyNumberFormat="1" applyFont="1"/>
    <xf numFmtId="3" fontId="48" fillId="0" borderId="0" xfId="0" applyNumberFormat="1" applyFont="1"/>
    <xf numFmtId="175" fontId="48" fillId="0" borderId="0" xfId="0" applyNumberFormat="1" applyFont="1"/>
    <xf numFmtId="175" fontId="58" fillId="0" borderId="0" xfId="0" applyNumberFormat="1" applyFont="1"/>
    <xf numFmtId="165" fontId="58" fillId="0" borderId="0" xfId="0" applyNumberFormat="1" applyFont="1"/>
    <xf numFmtId="175" fontId="0" fillId="0" borderId="0" xfId="0" applyNumberFormat="1"/>
    <xf numFmtId="175" fontId="45" fillId="0" borderId="0" xfId="0" applyNumberFormat="1" applyFont="1"/>
    <xf numFmtId="0" fontId="45" fillId="0" borderId="3" xfId="0" applyFont="1" applyBorder="1"/>
    <xf numFmtId="0" fontId="45" fillId="0" borderId="3" xfId="0" applyFont="1" applyBorder="1" applyAlignment="1">
      <alignment horizontal="center"/>
    </xf>
    <xf numFmtId="0" fontId="45" fillId="0" borderId="4" xfId="0" applyFont="1" applyBorder="1"/>
    <xf numFmtId="3" fontId="48" fillId="0" borderId="4" xfId="0" applyNumberFormat="1" applyFont="1" applyBorder="1"/>
    <xf numFmtId="3" fontId="0" fillId="0" borderId="4" xfId="0" applyNumberFormat="1" applyBorder="1"/>
    <xf numFmtId="175" fontId="48" fillId="0" borderId="4" xfId="0" applyNumberFormat="1" applyFont="1" applyBorder="1"/>
    <xf numFmtId="175" fontId="58" fillId="0" borderId="4" xfId="0" applyNumberFormat="1" applyFont="1" applyBorder="1"/>
    <xf numFmtId="176" fontId="58" fillId="0" borderId="4" xfId="0" applyNumberFormat="1" applyFont="1" applyBorder="1"/>
    <xf numFmtId="165" fontId="58" fillId="0" borderId="4" xfId="0" applyNumberFormat="1" applyFont="1" applyBorder="1"/>
    <xf numFmtId="0" fontId="48" fillId="0" borderId="4" xfId="0" applyFont="1" applyBorder="1" applyAlignment="1">
      <alignment horizontal="center"/>
    </xf>
    <xf numFmtId="0" fontId="45" fillId="0" borderId="5" xfId="0" applyFont="1" applyBorder="1"/>
    <xf numFmtId="176" fontId="58" fillId="0" borderId="5" xfId="0" applyNumberFormat="1" applyFont="1" applyBorder="1"/>
    <xf numFmtId="0" fontId="0" fillId="0" borderId="4" xfId="0" applyBorder="1"/>
    <xf numFmtId="3" fontId="0" fillId="0" borderId="5" xfId="0" applyNumberFormat="1" applyBorder="1"/>
    <xf numFmtId="176" fontId="0" fillId="0" borderId="4" xfId="0" applyNumberFormat="1" applyBorder="1"/>
    <xf numFmtId="176" fontId="0" fillId="0" borderId="5" xfId="0" applyNumberFormat="1" applyBorder="1"/>
    <xf numFmtId="3" fontId="51" fillId="0" borderId="4" xfId="0" applyNumberFormat="1" applyFont="1" applyBorder="1"/>
    <xf numFmtId="175" fontId="0" fillId="0" borderId="4" xfId="0" applyNumberFormat="1" applyBorder="1"/>
    <xf numFmtId="176" fontId="45" fillId="0" borderId="4" xfId="0" applyNumberFormat="1" applyFont="1" applyBorder="1"/>
    <xf numFmtId="165" fontId="0" fillId="0" borderId="4" xfId="0" applyNumberFormat="1" applyBorder="1"/>
    <xf numFmtId="175" fontId="51" fillId="0" borderId="4" xfId="0" applyNumberFormat="1" applyFont="1" applyBorder="1"/>
    <xf numFmtId="169" fontId="45" fillId="0" borderId="4" xfId="0" applyNumberFormat="1" applyFont="1" applyBorder="1"/>
    <xf numFmtId="9" fontId="45" fillId="0" borderId="5" xfId="0" applyNumberFormat="1" applyFont="1" applyBorder="1"/>
    <xf numFmtId="4" fontId="16" fillId="7" borderId="0" xfId="0" applyNumberFormat="1" applyFont="1" applyFill="1"/>
    <xf numFmtId="4" fontId="11" fillId="15" borderId="0" xfId="0" applyNumberFormat="1" applyFont="1" applyFill="1"/>
    <xf numFmtId="175" fontId="45" fillId="15" borderId="0" xfId="0" applyNumberFormat="1" applyFont="1" applyFill="1"/>
    <xf numFmtId="165" fontId="48" fillId="0" borderId="0" xfId="0" applyNumberFormat="1" applyFont="1"/>
    <xf numFmtId="0" fontId="23" fillId="19" borderId="0" xfId="0" applyFont="1" applyFill="1"/>
    <xf numFmtId="0" fontId="62" fillId="0" borderId="0" xfId="0" applyFont="1"/>
    <xf numFmtId="0" fontId="45" fillId="14" borderId="3" xfId="0" applyFont="1" applyFill="1" applyBorder="1"/>
    <xf numFmtId="0" fontId="45" fillId="14" borderId="3" xfId="0" applyFont="1" applyFill="1" applyBorder="1" applyAlignment="1">
      <alignment horizontal="center"/>
    </xf>
    <xf numFmtId="0" fontId="49" fillId="0" borderId="4" xfId="0" applyFont="1" applyBorder="1"/>
    <xf numFmtId="177" fontId="48" fillId="0" borderId="4" xfId="0" applyNumberFormat="1" applyFont="1" applyBorder="1"/>
    <xf numFmtId="165" fontId="48" fillId="0" borderId="4" xfId="0" applyNumberFormat="1" applyFont="1" applyBorder="1"/>
    <xf numFmtId="177" fontId="58" fillId="0" borderId="4" xfId="0" applyNumberFormat="1" applyFont="1" applyBorder="1"/>
    <xf numFmtId="0" fontId="58" fillId="0" borderId="4" xfId="0" applyFont="1" applyBorder="1" applyAlignment="1">
      <alignment horizontal="center"/>
    </xf>
    <xf numFmtId="0" fontId="60" fillId="0" borderId="4" xfId="0" applyFont="1" applyBorder="1"/>
    <xf numFmtId="178" fontId="60" fillId="0" borderId="4" xfId="0" applyNumberFormat="1" applyFont="1" applyBorder="1"/>
    <xf numFmtId="179" fontId="60" fillId="0" borderId="4" xfId="0" applyNumberFormat="1" applyFont="1" applyBorder="1"/>
    <xf numFmtId="0" fontId="60" fillId="0" borderId="5" xfId="0" applyFont="1" applyBorder="1"/>
    <xf numFmtId="178" fontId="60" fillId="0" borderId="5" xfId="0" applyNumberFormat="1" applyFont="1" applyBorder="1"/>
    <xf numFmtId="0" fontId="0" fillId="0" borderId="5" xfId="0" applyBorder="1"/>
    <xf numFmtId="179" fontId="60" fillId="0" borderId="5" xfId="0" applyNumberFormat="1" applyFont="1" applyBorder="1"/>
    <xf numFmtId="0" fontId="0" fillId="0" borderId="3" xfId="0" applyBorder="1"/>
    <xf numFmtId="180" fontId="45" fillId="0" borderId="3" xfId="0" applyNumberFormat="1" applyFont="1" applyBorder="1"/>
    <xf numFmtId="180" fontId="61" fillId="0" borderId="4" xfId="0" applyNumberFormat="1" applyFont="1" applyBorder="1"/>
    <xf numFmtId="181" fontId="57" fillId="0" borderId="4" xfId="0" applyNumberFormat="1" applyFont="1" applyBorder="1"/>
    <xf numFmtId="181" fontId="61" fillId="0" borderId="4" xfId="0" applyNumberFormat="1" applyFont="1" applyBorder="1"/>
    <xf numFmtId="182" fontId="45" fillId="0" borderId="4" xfId="0" applyNumberFormat="1" applyFont="1" applyBorder="1"/>
    <xf numFmtId="0" fontId="45" fillId="0" borderId="5" xfId="0" applyFont="1" applyBorder="1" applyAlignment="1">
      <alignment horizontal="left"/>
    </xf>
    <xf numFmtId="177" fontId="0" fillId="0" borderId="4" xfId="0" applyNumberFormat="1" applyBorder="1"/>
    <xf numFmtId="177" fontId="0" fillId="0" borderId="5" xfId="0" applyNumberFormat="1" applyBorder="1"/>
    <xf numFmtId="0" fontId="63" fillId="0" borderId="0" xfId="0" applyFont="1"/>
    <xf numFmtId="0" fontId="64" fillId="0" borderId="0" xfId="0" applyFont="1"/>
    <xf numFmtId="3" fontId="58" fillId="17" borderId="0" xfId="0" applyNumberFormat="1" applyFont="1" applyFill="1"/>
    <xf numFmtId="9" fontId="51" fillId="0" borderId="0" xfId="0" applyNumberFormat="1" applyFont="1"/>
    <xf numFmtId="0" fontId="65" fillId="0" borderId="0" xfId="0" applyFont="1"/>
    <xf numFmtId="0" fontId="66" fillId="0" borderId="0" xfId="0" applyFont="1"/>
    <xf numFmtId="0" fontId="67" fillId="0" borderId="0" xfId="0" applyFont="1"/>
    <xf numFmtId="0" fontId="55" fillId="0" borderId="0" xfId="0" quotePrefix="1" applyFont="1"/>
    <xf numFmtId="0" fontId="54" fillId="0" borderId="4" xfId="0" applyFont="1" applyBorder="1"/>
    <xf numFmtId="176" fontId="48" fillId="0" borderId="4" xfId="0" applyNumberFormat="1" applyFont="1" applyBorder="1"/>
    <xf numFmtId="0" fontId="68" fillId="0" borderId="4" xfId="0" applyFont="1" applyBorder="1"/>
    <xf numFmtId="176" fontId="68" fillId="0" borderId="4" xfId="0" applyNumberFormat="1" applyFont="1" applyBorder="1"/>
    <xf numFmtId="169" fontId="48" fillId="0" borderId="4" xfId="0" applyNumberFormat="1" applyFont="1" applyBorder="1"/>
    <xf numFmtId="0" fontId="54" fillId="0" borderId="5" xfId="0" applyFont="1" applyBorder="1"/>
    <xf numFmtId="3" fontId="54" fillId="0" borderId="5" xfId="0" applyNumberFormat="1" applyFont="1" applyBorder="1"/>
    <xf numFmtId="0" fontId="14" fillId="0" borderId="0" xfId="0" applyFont="1" applyFill="1" applyBorder="1"/>
    <xf numFmtId="168" fontId="48" fillId="17" borderId="0" xfId="0" applyNumberFormat="1" applyFont="1" applyFill="1"/>
    <xf numFmtId="1" fontId="48" fillId="0" borderId="0" xfId="0" applyNumberFormat="1" applyFont="1"/>
    <xf numFmtId="175" fontId="45" fillId="20" borderId="0" xfId="0" applyNumberFormat="1" applyFont="1" applyFill="1"/>
    <xf numFmtId="0" fontId="45" fillId="6" borderId="0" xfId="0" applyFont="1" applyFill="1"/>
    <xf numFmtId="3" fontId="0" fillId="6" borderId="0" xfId="0" applyNumberFormat="1" applyFill="1"/>
    <xf numFmtId="183" fontId="32" fillId="0" borderId="0" xfId="0" applyNumberFormat="1" applyFont="1"/>
    <xf numFmtId="0" fontId="47" fillId="13" borderId="0" xfId="0" applyFont="1" applyFill="1" applyAlignment="1">
      <alignment horizontal="center"/>
    </xf>
    <xf numFmtId="0" fontId="6" fillId="0" borderId="0" xfId="1" applyFont="1" applyBorder="1"/>
    <xf numFmtId="0" fontId="6" fillId="0" borderId="1" xfId="1" applyFont="1" applyBorder="1"/>
    <xf numFmtId="0" fontId="69" fillId="21" borderId="0" xfId="0" applyFont="1" applyFill="1"/>
    <xf numFmtId="0" fontId="7" fillId="0" borderId="6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0" fillId="14" borderId="0" xfId="0" applyFont="1" applyFill="1"/>
    <xf numFmtId="184" fontId="48" fillId="17" borderId="0" xfId="0" applyNumberFormat="1" applyFont="1" applyFill="1"/>
    <xf numFmtId="185" fontId="48" fillId="17" borderId="0" xfId="0" applyNumberFormat="1" applyFont="1" applyFill="1"/>
    <xf numFmtId="185" fontId="48" fillId="0" borderId="0" xfId="0" applyNumberFormat="1" applyFont="1"/>
    <xf numFmtId="185" fontId="45" fillId="0" borderId="0" xfId="0" applyNumberFormat="1" applyFont="1"/>
    <xf numFmtId="187" fontId="0" fillId="0" borderId="0" xfId="0" applyNumberFormat="1"/>
    <xf numFmtId="187" fontId="0" fillId="6" borderId="0" xfId="0" applyNumberFormat="1" applyFill="1"/>
    <xf numFmtId="175" fontId="0" fillId="6" borderId="0" xfId="0" applyNumberFormat="1" applyFill="1"/>
    <xf numFmtId="0" fontId="71" fillId="0" borderId="0" xfId="0" applyFont="1"/>
    <xf numFmtId="183" fontId="51" fillId="0" borderId="0" xfId="0" applyNumberFormat="1" applyFont="1"/>
    <xf numFmtId="0" fontId="72" fillId="0" borderId="0" xfId="0" applyFont="1"/>
    <xf numFmtId="3" fontId="72" fillId="0" borderId="0" xfId="0" applyNumberFormat="1" applyFont="1"/>
    <xf numFmtId="0" fontId="56" fillId="15" borderId="0" xfId="0" applyFont="1" applyFill="1"/>
    <xf numFmtId="176" fontId="51" fillId="0" borderId="4" xfId="0" applyNumberFormat="1" applyFont="1" applyBorder="1"/>
    <xf numFmtId="176" fontId="45" fillId="16" borderId="4" xfId="0" applyNumberFormat="1" applyFont="1" applyFill="1" applyBorder="1"/>
    <xf numFmtId="176" fontId="57" fillId="0" borderId="4" xfId="0" applyNumberFormat="1" applyFont="1" applyBorder="1"/>
    <xf numFmtId="0" fontId="45" fillId="17" borderId="4" xfId="0" applyFont="1" applyFill="1" applyBorder="1"/>
    <xf numFmtId="176" fontId="45" fillId="17" borderId="4" xfId="0" applyNumberFormat="1" applyFont="1" applyFill="1" applyBorder="1"/>
    <xf numFmtId="0" fontId="59" fillId="0" borderId="5" xfId="0" applyFont="1" applyBorder="1"/>
    <xf numFmtId="175" fontId="18" fillId="17" borderId="0" xfId="0" applyNumberFormat="1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F8F00"/>
      <rgbColor rgb="FF800080"/>
      <rgbColor rgb="FF00838F"/>
      <rgbColor rgb="FFBFBFBF"/>
      <rgbColor rgb="FF808080"/>
      <rgbColor rgb="FF93A9CE"/>
      <rgbColor rgb="FFAB4744"/>
      <rgbColor rgb="FFFFF2CC"/>
      <rgbColor rgb="FFEAF1F8"/>
      <rgbColor rgb="FF666666"/>
      <rgbColor rgb="FFDC853E"/>
      <rgbColor rgb="FF1155CC"/>
      <rgbColor rgb="FFC7C8CD"/>
      <rgbColor rgb="FF000080"/>
      <rgbColor rgb="FFFF00FF"/>
      <rgbColor rgb="FFD9E2F1"/>
      <rgbColor rgb="FF00FFFF"/>
      <rgbColor rgb="FF800080"/>
      <rgbColor rgb="FF800000"/>
      <rgbColor rgb="FF2563A8"/>
      <rgbColor rgb="FF0000FF"/>
      <rgbColor rgb="FF4672A8"/>
      <rgbColor rgb="FFF2F2F2"/>
      <rgbColor rgb="FFE5E5E5"/>
      <rgbColor rgb="FFFCE4C8"/>
      <rgbColor rgb="FFB3B3B3"/>
      <rgbColor rgb="FFD09493"/>
      <rgbColor rgb="FFD9D9D9"/>
      <rgbColor rgb="FFFFD966"/>
      <rgbColor rgb="FF2E75B6"/>
      <rgbColor rgb="FF4F81BD"/>
      <rgbColor rgb="FF8AA64F"/>
      <rgbColor rgb="FFB8CD97"/>
      <rgbColor rgb="FFED8B2B"/>
      <rgbColor rgb="FFED7D31"/>
      <rgbColor rgb="FF725990"/>
      <rgbColor rgb="FFA99BBD"/>
      <rgbColor rgb="FF2E7D32"/>
      <rgbColor rgb="FF4299B0"/>
      <rgbColor rgb="FF15161A"/>
      <rgbColor rgb="FF595959"/>
      <rgbColor rgb="FF843C0C"/>
      <rgbColor rgb="FF7030A0"/>
      <rgbColor rgb="FF1F4E7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eetMetadata" Target="metadata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Ventas anuales por escenario (USD)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RESUMEN_EJECUTIVO!$B$49</c:f>
              <c:strCache>
                <c:ptCount val="1"/>
                <c:pt idx="0">
                  <c:v>Ventas — BÁSICO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RESUMEN_EJECUTIVO!$C$48:$L$48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RESUMEN_EJECUTIVO!$C$49:$L$49</c:f>
              <c:numCache>
                <c:formatCode>"$"#,##0;\("$"#,##0\);\-</c:formatCode>
                <c:ptCount val="10"/>
                <c:pt idx="0">
                  <c:v>3117888</c:v>
                </c:pt>
                <c:pt idx="1">
                  <c:v>6296948</c:v>
                </c:pt>
                <c:pt idx="2">
                  <c:v>7316632</c:v>
                </c:pt>
                <c:pt idx="3">
                  <c:v>9812864</c:v>
                </c:pt>
                <c:pt idx="4">
                  <c:v>12158853</c:v>
                </c:pt>
                <c:pt idx="5">
                  <c:v>14762330</c:v>
                </c:pt>
                <c:pt idx="6">
                  <c:v>19032010</c:v>
                </c:pt>
                <c:pt idx="7">
                  <c:v>22490200</c:v>
                </c:pt>
                <c:pt idx="8">
                  <c:v>22805735</c:v>
                </c:pt>
                <c:pt idx="9">
                  <c:v>22805735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C9-BA4C-9A8B-94FEFB4CD71D}"/>
            </c:ext>
          </c:extLst>
        </c:ser>
        <c:ser>
          <c:idx val="2"/>
          <c:order val="1"/>
          <c:tx>
            <c:strRef>
              <c:f>RESUMEN_EJECUTIVO!$B$50</c:f>
              <c:strCache>
                <c:ptCount val="1"/>
                <c:pt idx="0">
                  <c:v>Ventas — MEDIO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RESUMEN_EJECUTIVO!$C$48:$L$48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RESUMEN_EJECUTIVO!$C$50:$L$50</c:f>
              <c:numCache>
                <c:formatCode>"$"#,##0;\("$"#,##0\);\-</c:formatCode>
                <c:ptCount val="10"/>
                <c:pt idx="0">
                  <c:v>3054168.7086127447</c:v>
                </c:pt>
                <c:pt idx="1">
                  <c:v>6460531.4195349347</c:v>
                </c:pt>
                <c:pt idx="2">
                  <c:v>8268819.3070438085</c:v>
                </c:pt>
                <c:pt idx="3">
                  <c:v>12038116.62645009</c:v>
                </c:pt>
                <c:pt idx="4">
                  <c:v>14420146.459296852</c:v>
                </c:pt>
                <c:pt idx="5">
                  <c:v>19816310.243322622</c:v>
                </c:pt>
                <c:pt idx="6">
                  <c:v>24796585.783417795</c:v>
                </c:pt>
                <c:pt idx="7">
                  <c:v>25404111.698096316</c:v>
                </c:pt>
                <c:pt idx="8">
                  <c:v>25404111.698096316</c:v>
                </c:pt>
                <c:pt idx="9">
                  <c:v>25404111.698096316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C9-BA4C-9A8B-94FEFB4CD71D}"/>
            </c:ext>
          </c:extLst>
        </c:ser>
        <c:ser>
          <c:idx val="3"/>
          <c:order val="2"/>
          <c:tx>
            <c:strRef>
              <c:f>RESUMEN_EJECUTIVO!$B$51</c:f>
              <c:strCache>
                <c:ptCount val="1"/>
                <c:pt idx="0">
                  <c:v>Ventas — ALTO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RESUMEN_EJECUTIVO!$C$48:$L$48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RESUMEN_EJECUTIVO!$C$51:$L$51</c:f>
              <c:numCache>
                <c:formatCode>"$"#,##0;\("$"#,##0\);\-</c:formatCode>
                <c:ptCount val="10"/>
                <c:pt idx="0">
                  <c:v>4454579</c:v>
                </c:pt>
                <c:pt idx="1">
                  <c:v>8901238</c:v>
                </c:pt>
                <c:pt idx="2">
                  <c:v>12918837</c:v>
                </c:pt>
                <c:pt idx="3">
                  <c:v>17310402</c:v>
                </c:pt>
                <c:pt idx="4">
                  <c:v>24233811</c:v>
                </c:pt>
                <c:pt idx="5">
                  <c:v>30579294</c:v>
                </c:pt>
                <c:pt idx="6">
                  <c:v>32582939</c:v>
                </c:pt>
                <c:pt idx="7">
                  <c:v>32582939</c:v>
                </c:pt>
                <c:pt idx="8">
                  <c:v>32582939</c:v>
                </c:pt>
                <c:pt idx="9">
                  <c:v>32582939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9C9-BA4C-9A8B-94FEFB4CD7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2149439"/>
        <c:axId val="172343743"/>
      </c:lineChart>
      <c:catAx>
        <c:axId val="2421494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72343743"/>
        <c:crosses val="autoZero"/>
        <c:auto val="1"/>
        <c:lblAlgn val="ctr"/>
        <c:lblOffset val="100"/>
        <c:noMultiLvlLbl val="0"/>
      </c:catAx>
      <c:valAx>
        <c:axId val="1723437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;\(&quot;$&quot;#,##0\);\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421494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Toneladas de pollo por año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RESUMEN_EJECUTIVO!$B$43</c:f>
              <c:strCache>
                <c:ptCount val="1"/>
                <c:pt idx="0">
                  <c:v>BÁSICO — toneladas/año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RESUMEN_EJECUTIVO!$C$38:$L$38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RESUMEN_EJECUTIVO!$C$43:$L$43</c:f>
              <c:numCache>
                <c:formatCode>#,##0</c:formatCode>
                <c:ptCount val="10"/>
                <c:pt idx="0">
                  <c:v>480</c:v>
                </c:pt>
                <c:pt idx="1">
                  <c:v>960</c:v>
                </c:pt>
                <c:pt idx="2">
                  <c:v>1116</c:v>
                </c:pt>
                <c:pt idx="3">
                  <c:v>1500</c:v>
                </c:pt>
                <c:pt idx="4">
                  <c:v>1872</c:v>
                </c:pt>
                <c:pt idx="5">
                  <c:v>2268</c:v>
                </c:pt>
                <c:pt idx="6">
                  <c:v>2928</c:v>
                </c:pt>
                <c:pt idx="7">
                  <c:v>3456</c:v>
                </c:pt>
                <c:pt idx="8">
                  <c:v>3504</c:v>
                </c:pt>
                <c:pt idx="9">
                  <c:v>3504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9D-5A4C-A868-C3FD9BB9C0AA}"/>
            </c:ext>
          </c:extLst>
        </c:ser>
        <c:ser>
          <c:idx val="1"/>
          <c:order val="1"/>
          <c:tx>
            <c:strRef>
              <c:f>RESUMEN_EJECUTIVO!$B$44</c:f>
              <c:strCache>
                <c:ptCount val="1"/>
                <c:pt idx="0">
                  <c:v>MEDIO — toneladas/año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RESUMEN_EJECUTIVO!$C$38:$L$38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RESUMEN_EJECUTIVO!$C$44:$L$44</c:f>
              <c:numCache>
                <c:formatCode>#,##0</c:formatCode>
                <c:ptCount val="10"/>
                <c:pt idx="0">
                  <c:v>470.67292999999995</c:v>
                </c:pt>
                <c:pt idx="1">
                  <c:v>995.6219000000001</c:v>
                </c:pt>
                <c:pt idx="2">
                  <c:v>1274.2941802500002</c:v>
                </c:pt>
                <c:pt idx="3">
                  <c:v>1855.1744074500002</c:v>
                </c:pt>
                <c:pt idx="4">
                  <c:v>2222.2651178000001</c:v>
                </c:pt>
                <c:pt idx="5">
                  <c:v>3053.8590673500003</c:v>
                </c:pt>
                <c:pt idx="6">
                  <c:v>3821.3611617999986</c:v>
                </c:pt>
                <c:pt idx="7">
                  <c:v>3914.9859839999986</c:v>
                </c:pt>
                <c:pt idx="8">
                  <c:v>3914.9859839999986</c:v>
                </c:pt>
                <c:pt idx="9">
                  <c:v>3914.9859839999986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9D-5A4C-A868-C3FD9BB9C0AA}"/>
            </c:ext>
          </c:extLst>
        </c:ser>
        <c:ser>
          <c:idx val="2"/>
          <c:order val="2"/>
          <c:tx>
            <c:strRef>
              <c:f>RESUMEN_EJECUTIVO!$B$45</c:f>
              <c:strCache>
                <c:ptCount val="1"/>
                <c:pt idx="0">
                  <c:v>ALTO — toneladas/año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RESUMEN_EJECUTIVO!$C$38:$L$38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RESUMEN_EJECUTIVO!$C$45:$L$45</c:f>
              <c:numCache>
                <c:formatCode>#,##0</c:formatCode>
                <c:ptCount val="10"/>
                <c:pt idx="0">
                  <c:v>684</c:v>
                </c:pt>
                <c:pt idx="1">
                  <c:v>1356</c:v>
                </c:pt>
                <c:pt idx="2">
                  <c:v>1980</c:v>
                </c:pt>
                <c:pt idx="3">
                  <c:v>2652</c:v>
                </c:pt>
                <c:pt idx="4">
                  <c:v>3720</c:v>
                </c:pt>
                <c:pt idx="5">
                  <c:v>4704</c:v>
                </c:pt>
                <c:pt idx="6">
                  <c:v>5016</c:v>
                </c:pt>
                <c:pt idx="7">
                  <c:v>5016</c:v>
                </c:pt>
                <c:pt idx="8">
                  <c:v>5016</c:v>
                </c:pt>
                <c:pt idx="9">
                  <c:v>5016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9D-5A4C-A868-C3FD9BB9C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6753663"/>
        <c:axId val="172845119"/>
      </c:barChart>
      <c:catAx>
        <c:axId val="406753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72845119"/>
        <c:crosses val="autoZero"/>
        <c:auto val="1"/>
        <c:lblAlgn val="ctr"/>
        <c:lblOffset val="100"/>
        <c:noMultiLvlLbl val="0"/>
      </c:catAx>
      <c:valAx>
        <c:axId val="1728451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067536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VPN a 120 meses por configuración — el flagship resta en los 3 escenarios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RESUMEN_EJECUTIVO!$C$134</c:f>
              <c:strCache>
                <c:ptCount val="1"/>
                <c:pt idx="0">
                  <c:v>BÁSICO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RESUMEN_EJECUTIVO!$B$135:$B$138</c:f>
              <c:strCache>
                <c:ptCount val="4"/>
                <c:pt idx="0">
                  <c:v>Solo piloto</c:v>
                </c:pt>
                <c:pt idx="1">
                  <c:v>+ Expansión</c:v>
                </c:pt>
                <c:pt idx="2">
                  <c:v>+ Retail</c:v>
                </c:pt>
                <c:pt idx="3">
                  <c:v>+ Flagship (completo)</c:v>
                </c:pt>
              </c:strCache>
            </c:strRef>
          </c:cat>
          <c:val>
            <c:numRef>
              <c:f>RESUMEN_EJECUTIVO!$C$135:$C$138</c:f>
              <c:numCache>
                <c:formatCode>"$"#,##0;\("$"#,##0\)</c:formatCode>
                <c:ptCount val="4"/>
                <c:pt idx="0">
                  <c:v>191788</c:v>
                </c:pt>
                <c:pt idx="1">
                  <c:v>224378</c:v>
                </c:pt>
                <c:pt idx="2">
                  <c:v>124794</c:v>
                </c:pt>
                <c:pt idx="3">
                  <c:v>-345923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32-E446-A5C5-9FCDC2F12355}"/>
            </c:ext>
          </c:extLst>
        </c:ser>
        <c:ser>
          <c:idx val="1"/>
          <c:order val="1"/>
          <c:tx>
            <c:strRef>
              <c:f>RESUMEN_EJECUTIVO!$D$134</c:f>
              <c:strCache>
                <c:ptCount val="1"/>
                <c:pt idx="0">
                  <c:v>MEDIO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RESUMEN_EJECUTIVO!$B$135:$B$138</c:f>
              <c:strCache>
                <c:ptCount val="4"/>
                <c:pt idx="0">
                  <c:v>Solo piloto</c:v>
                </c:pt>
                <c:pt idx="1">
                  <c:v>+ Expansión</c:v>
                </c:pt>
                <c:pt idx="2">
                  <c:v>+ Retail</c:v>
                </c:pt>
                <c:pt idx="3">
                  <c:v>+ Flagship (completo)</c:v>
                </c:pt>
              </c:strCache>
            </c:strRef>
          </c:cat>
          <c:val>
            <c:numRef>
              <c:f>RESUMEN_EJECUTIVO!$D$135:$D$138</c:f>
              <c:numCache>
                <c:formatCode>"$"#,##0;\("$"#,##0\)</c:formatCode>
                <c:ptCount val="4"/>
                <c:pt idx="0">
                  <c:v>698684</c:v>
                </c:pt>
                <c:pt idx="1">
                  <c:v>1227003</c:v>
                </c:pt>
                <c:pt idx="2">
                  <c:v>1274913</c:v>
                </c:pt>
                <c:pt idx="3">
                  <c:v>865150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32-E446-A5C5-9FCDC2F12355}"/>
            </c:ext>
          </c:extLst>
        </c:ser>
        <c:ser>
          <c:idx val="2"/>
          <c:order val="2"/>
          <c:tx>
            <c:strRef>
              <c:f>RESUMEN_EJECUTIVO!$E$134</c:f>
              <c:strCache>
                <c:ptCount val="1"/>
                <c:pt idx="0">
                  <c:v>ALTO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RESUMEN_EJECUTIVO!$B$135:$B$138</c:f>
              <c:strCache>
                <c:ptCount val="4"/>
                <c:pt idx="0">
                  <c:v>Solo piloto</c:v>
                </c:pt>
                <c:pt idx="1">
                  <c:v>+ Expansión</c:v>
                </c:pt>
                <c:pt idx="2">
                  <c:v>+ Retail</c:v>
                </c:pt>
                <c:pt idx="3">
                  <c:v>+ Flagship (completo)</c:v>
                </c:pt>
              </c:strCache>
            </c:strRef>
          </c:cat>
          <c:val>
            <c:numRef>
              <c:f>RESUMEN_EJECUTIVO!$E$135:$E$138</c:f>
              <c:numCache>
                <c:formatCode>"$"#,##0;\("$"#,##0\)</c:formatCode>
                <c:ptCount val="4"/>
                <c:pt idx="0">
                  <c:v>1711248</c:v>
                </c:pt>
                <c:pt idx="1">
                  <c:v>3741620</c:v>
                </c:pt>
                <c:pt idx="2">
                  <c:v>3770768</c:v>
                </c:pt>
                <c:pt idx="3">
                  <c:v>3641723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32-E446-A5C5-9FCDC2F12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2307135"/>
        <c:axId val="172308927"/>
      </c:barChart>
      <c:catAx>
        <c:axId val="1723071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72308927"/>
        <c:crosses val="autoZero"/>
        <c:auto val="1"/>
        <c:lblAlgn val="ctr"/>
        <c:lblOffset val="100"/>
        <c:noMultiLvlLbl val="0"/>
      </c:catAx>
      <c:valAx>
        <c:axId val="1723089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;\(&quot;$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723071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¿Quién pone la plata? Cheque de socios vs caja del negocio (USD)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RESUMEN_EJECUTIVO!$B$180</c:f>
              <c:strCache>
                <c:ptCount val="1"/>
                <c:pt idx="0">
                  <c:v>Lo que ponen los SOCIOS (cheque inicial)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RESUMEN_EJECUTIVO!$C$179:$E$179</c:f>
              <c:strCache>
                <c:ptCount val="3"/>
                <c:pt idx="0">
                  <c:v>BÁSICO</c:v>
                </c:pt>
                <c:pt idx="1">
                  <c:v>MEDIO ◀ activo</c:v>
                </c:pt>
                <c:pt idx="2">
                  <c:v>ALTO</c:v>
                </c:pt>
              </c:strCache>
            </c:strRef>
          </c:cat>
          <c:val>
            <c:numRef>
              <c:f>RESUMEN_EJECUTIVO!$C$180:$E$180</c:f>
              <c:numCache>
                <c:formatCode>"$"#,##0;\("$"#,##0\);\-</c:formatCode>
                <c:ptCount val="3"/>
                <c:pt idx="0">
                  <c:v>2493896</c:v>
                </c:pt>
                <c:pt idx="1">
                  <c:v>1959622.4677499998</c:v>
                </c:pt>
                <c:pt idx="2">
                  <c:v>2493896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61-A149-9E36-0B4A05F3F6E9}"/>
            </c:ext>
          </c:extLst>
        </c:ser>
        <c:ser>
          <c:idx val="1"/>
          <c:order val="1"/>
          <c:tx>
            <c:strRef>
              <c:f>RESUMEN_EJECUTIVO!$B$181</c:f>
              <c:strCache>
                <c:ptCount val="1"/>
                <c:pt idx="0">
                  <c:v>Lo que el NEGOCIO genera y reinvierte solo (waterfall)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RESUMEN_EJECUTIVO!$C$179:$E$179</c:f>
              <c:strCache>
                <c:ptCount val="3"/>
                <c:pt idx="0">
                  <c:v>BÁSICO</c:v>
                </c:pt>
                <c:pt idx="1">
                  <c:v>MEDIO ◀ activo</c:v>
                </c:pt>
                <c:pt idx="2">
                  <c:v>ALTO</c:v>
                </c:pt>
              </c:strCache>
            </c:strRef>
          </c:cat>
          <c:val>
            <c:numRef>
              <c:f>RESUMEN_EJECUTIVO!$C$181:$E$181</c:f>
              <c:numCache>
                <c:formatCode>"$"#,##0;\("$"#,##0\);\-</c:formatCode>
                <c:ptCount val="3"/>
                <c:pt idx="0">
                  <c:v>6299701</c:v>
                </c:pt>
                <c:pt idx="1">
                  <c:v>6976116.4147499986</c:v>
                </c:pt>
                <c:pt idx="2">
                  <c:v>6873414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61-A149-9E36-0B4A05F3F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2721919"/>
        <c:axId val="172723711"/>
      </c:barChart>
      <c:catAx>
        <c:axId val="1727219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72723711"/>
        <c:crosses val="autoZero"/>
        <c:auto val="1"/>
        <c:lblAlgn val="ctr"/>
        <c:lblOffset val="100"/>
        <c:noMultiLvlLbl val="0"/>
      </c:catAx>
      <c:valAx>
        <c:axId val="1727237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;\(&quot;$&quot;#,##0\);\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727219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Ingresos anuales en equilibrio (USD)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PUNTO_EQUILIBRIO!$B$34</c:f>
              <c:strCache>
                <c:ptCount val="1"/>
                <c:pt idx="0">
                  <c:v>Ingresos del año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PUNTO_EQUILIBRIO!$C$32:$L$32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PUNTO_EQUILIBRIO!$C$34:$L$34</c:f>
              <c:numCache>
                <c:formatCode>"$"#,##0;\("$"#,##0\);\-</c:formatCode>
                <c:ptCount val="10"/>
                <c:pt idx="0">
                  <c:v>3255473</c:v>
                </c:pt>
                <c:pt idx="1">
                  <c:v>6227514</c:v>
                </c:pt>
                <c:pt idx="2">
                  <c:v>7467961</c:v>
                </c:pt>
                <c:pt idx="3">
                  <c:v>10376363</c:v>
                </c:pt>
                <c:pt idx="4">
                  <c:v>12765542</c:v>
                </c:pt>
                <c:pt idx="5">
                  <c:v>16054857</c:v>
                </c:pt>
                <c:pt idx="6">
                  <c:v>20892818</c:v>
                </c:pt>
                <c:pt idx="7">
                  <c:v>23773871</c:v>
                </c:pt>
                <c:pt idx="8">
                  <c:v>23812098</c:v>
                </c:pt>
                <c:pt idx="9">
                  <c:v>23812098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69-814C-BBC7-CB795D8A20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9427775"/>
        <c:axId val="669429567"/>
      </c:barChart>
      <c:catAx>
        <c:axId val="6694277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69429567"/>
        <c:crosses val="autoZero"/>
        <c:auto val="1"/>
        <c:lblAlgn val="ctr"/>
        <c:lblOffset val="100"/>
        <c:noMultiLvlLbl val="0"/>
      </c:catAx>
      <c:valAx>
        <c:axId val="6694295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;\(&quot;$&quot;#,##0\);\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694277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Flujo de caja en equilibrio: FCF anual y acumulado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PUNTO_EQUILIBRIO!$B$37</c:f>
              <c:strCache>
                <c:ptCount val="1"/>
                <c:pt idx="0">
                  <c:v>Flujo de caja libre (FCF) del año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PUNTO_EQUILIBRIO!$C$32:$L$32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PUNTO_EQUILIBRIO!$C$37:$L$37</c:f>
              <c:numCache>
                <c:formatCode>"$"#,##0;\("$"#,##0\);\-</c:formatCode>
                <c:ptCount val="10"/>
                <c:pt idx="0">
                  <c:v>-2262690</c:v>
                </c:pt>
                <c:pt idx="1">
                  <c:v>162840</c:v>
                </c:pt>
                <c:pt idx="2">
                  <c:v>125111</c:v>
                </c:pt>
                <c:pt idx="3">
                  <c:v>394591</c:v>
                </c:pt>
                <c:pt idx="4">
                  <c:v>17340</c:v>
                </c:pt>
                <c:pt idx="5">
                  <c:v>658123</c:v>
                </c:pt>
                <c:pt idx="6">
                  <c:v>1038413</c:v>
                </c:pt>
                <c:pt idx="7">
                  <c:v>3001335</c:v>
                </c:pt>
                <c:pt idx="8">
                  <c:v>3007205</c:v>
                </c:pt>
                <c:pt idx="9">
                  <c:v>3007205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EF-AB49-B581-67B7E4CA8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7516223"/>
        <c:axId val="172623615"/>
      </c:barChart>
      <c:lineChart>
        <c:grouping val="standard"/>
        <c:varyColors val="0"/>
        <c:ser>
          <c:idx val="1"/>
          <c:order val="1"/>
          <c:tx>
            <c:strRef>
              <c:f>PUNTO_EQUILIBRIO!$B$38</c:f>
              <c:strCache>
                <c:ptCount val="1"/>
                <c:pt idx="0">
                  <c:v>FCF acumulado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PUNTO_EQUILIBRIO!$C$32:$L$32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PUNTO_EQUILIBRIO!$C$38:$L$38</c:f>
              <c:numCache>
                <c:formatCode>"$"#,##0;\("$"#,##0\);\-</c:formatCode>
                <c:ptCount val="10"/>
                <c:pt idx="0">
                  <c:v>-2262690</c:v>
                </c:pt>
                <c:pt idx="1">
                  <c:v>-2099850</c:v>
                </c:pt>
                <c:pt idx="2">
                  <c:v>-1974739</c:v>
                </c:pt>
                <c:pt idx="3">
                  <c:v>-1580148</c:v>
                </c:pt>
                <c:pt idx="4">
                  <c:v>-1562808</c:v>
                </c:pt>
                <c:pt idx="5">
                  <c:v>-904685</c:v>
                </c:pt>
                <c:pt idx="6">
                  <c:v>133728</c:v>
                </c:pt>
                <c:pt idx="7">
                  <c:v>3135063</c:v>
                </c:pt>
                <c:pt idx="8">
                  <c:v>6142268</c:v>
                </c:pt>
                <c:pt idx="9">
                  <c:v>9149473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EF-AB49-B581-67B7E4CA8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7516223"/>
        <c:axId val="172623615"/>
      </c:lineChart>
      <c:catAx>
        <c:axId val="2775162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72623615"/>
        <c:crosses val="autoZero"/>
        <c:auto val="1"/>
        <c:lblAlgn val="ctr"/>
        <c:lblOffset val="100"/>
        <c:noMultiLvlLbl val="0"/>
      </c:catAx>
      <c:valAx>
        <c:axId val="1726236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;\(&quot;$&quot;#,##0\);\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775162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Ingresos y EBITDA anuales (USD)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CAPA3_DASHBOARD!$B$18</c:f>
              <c:strCache>
                <c:ptCount val="1"/>
                <c:pt idx="0">
                  <c:v>Ingresos (USD)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CAPA3_DASHBOARD!$C$16:$L$16</c:f>
              <c:numCache>
                <c:formatCode>#,##0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CAPA3_DASHBOARD!$C$18:$L$18</c:f>
              <c:numCache>
                <c:formatCode>\$#,##0</c:formatCode>
                <c:ptCount val="10"/>
                <c:pt idx="0">
                  <c:v>3054168.7086127447</c:v>
                </c:pt>
                <c:pt idx="1">
                  <c:v>6460531.4195349347</c:v>
                </c:pt>
                <c:pt idx="2">
                  <c:v>8268819.3070438085</c:v>
                </c:pt>
                <c:pt idx="3">
                  <c:v>12038116.62645009</c:v>
                </c:pt>
                <c:pt idx="4">
                  <c:v>14420146.459296852</c:v>
                </c:pt>
                <c:pt idx="5">
                  <c:v>19816310.243322622</c:v>
                </c:pt>
                <c:pt idx="6">
                  <c:v>24796585.783417795</c:v>
                </c:pt>
                <c:pt idx="7">
                  <c:v>25404111.698096316</c:v>
                </c:pt>
                <c:pt idx="8">
                  <c:v>25404111.698096316</c:v>
                </c:pt>
                <c:pt idx="9">
                  <c:v>25404111.698096316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C9-F843-B2E5-89D7145A1489}"/>
            </c:ext>
          </c:extLst>
        </c:ser>
        <c:ser>
          <c:idx val="1"/>
          <c:order val="1"/>
          <c:tx>
            <c:strRef>
              <c:f>CAPA3_DASHBOARD!$B$19</c:f>
              <c:strCache>
                <c:ptCount val="1"/>
                <c:pt idx="0">
                  <c:v>EBITDA (USD)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CAPA3_DASHBOARD!$C$16:$L$16</c:f>
              <c:numCache>
                <c:formatCode>#,##0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CAPA3_DASHBOARD!$C$19:$L$19</c:f>
              <c:numCache>
                <c:formatCode>\$#,##0</c:formatCode>
                <c:ptCount val="10"/>
                <c:pt idx="0">
                  <c:v>394476.1871012685</c:v>
                </c:pt>
                <c:pt idx="1">
                  <c:v>1103745.81914057</c:v>
                </c:pt>
                <c:pt idx="2">
                  <c:v>1442578.7574944182</c:v>
                </c:pt>
                <c:pt idx="3">
                  <c:v>2234201.6044426654</c:v>
                </c:pt>
                <c:pt idx="4">
                  <c:v>2566007.84343349</c:v>
                </c:pt>
                <c:pt idx="5">
                  <c:v>3644497.8912969558</c:v>
                </c:pt>
                <c:pt idx="6">
                  <c:v>4666811.6113013169</c:v>
                </c:pt>
                <c:pt idx="7">
                  <c:v>4765603.7050963081</c:v>
                </c:pt>
                <c:pt idx="8">
                  <c:v>4765603.7050963081</c:v>
                </c:pt>
                <c:pt idx="9">
                  <c:v>4765603.7050963081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C9-F843-B2E5-89D7145A14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1573375"/>
        <c:axId val="251575167"/>
      </c:barChart>
      <c:catAx>
        <c:axId val="251573375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51575167"/>
        <c:crosses val="autoZero"/>
        <c:auto val="1"/>
        <c:lblAlgn val="ctr"/>
        <c:lblOffset val="100"/>
        <c:noMultiLvlLbl val="0"/>
      </c:catAx>
      <c:valAx>
        <c:axId val="251575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\$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515733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PDV a fin de año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CAPA3_DASHBOARD!$B$17</c:f>
              <c:strCache>
                <c:ptCount val="1"/>
                <c:pt idx="0">
                  <c:v>PDV a fin de año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CAPA3_DASHBOARD!$C$16:$L$16</c:f>
              <c:numCache>
                <c:formatCode>#,##0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CAPA3_DASHBOARD!$C$17:$L$17</c:f>
              <c:numCache>
                <c:formatCode>#,##0</c:formatCode>
                <c:ptCount val="10"/>
                <c:pt idx="0">
                  <c:v>10</c:v>
                </c:pt>
                <c:pt idx="1">
                  <c:v>13</c:v>
                </c:pt>
                <c:pt idx="2">
                  <c:v>21</c:v>
                </c:pt>
                <c:pt idx="3">
                  <c:v>24</c:v>
                </c:pt>
                <c:pt idx="4">
                  <c:v>35</c:v>
                </c:pt>
                <c:pt idx="5">
                  <c:v>47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2E-A143-8063-318629898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2769279"/>
        <c:axId val="172771071"/>
      </c:barChart>
      <c:catAx>
        <c:axId val="172769279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72771071"/>
        <c:crosses val="autoZero"/>
        <c:auto val="1"/>
        <c:lblAlgn val="ctr"/>
        <c:lblOffset val="100"/>
        <c:noMultiLvlLbl val="0"/>
      </c:catAx>
      <c:valAx>
        <c:axId val="1727710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727692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Toneladas de pollo promedio/mes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CAPA3_DASHBOARD!$B$22</c:f>
              <c:strCache>
                <c:ptCount val="1"/>
                <c:pt idx="0">
                  <c:v>Toneladas promedio/mes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CAPA3_DASHBOARD!$C$16:$L$16</c:f>
              <c:numCache>
                <c:formatCode>#,##0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CAPA3_DASHBOARD!$C$22:$L$22</c:f>
              <c:numCache>
                <c:formatCode>#,##0.00</c:formatCode>
                <c:ptCount val="10"/>
                <c:pt idx="0">
                  <c:v>39.222744166666665</c:v>
                </c:pt>
                <c:pt idx="1">
                  <c:v>82.968491666666679</c:v>
                </c:pt>
                <c:pt idx="2">
                  <c:v>106.19118168750002</c:v>
                </c:pt>
                <c:pt idx="3">
                  <c:v>154.59786728750001</c:v>
                </c:pt>
                <c:pt idx="4">
                  <c:v>185.18875981666667</c:v>
                </c:pt>
                <c:pt idx="5">
                  <c:v>254.48825561250001</c:v>
                </c:pt>
                <c:pt idx="6">
                  <c:v>318.4467634833332</c:v>
                </c:pt>
                <c:pt idx="7">
                  <c:v>326.24883199999988</c:v>
                </c:pt>
                <c:pt idx="8">
                  <c:v>326.24883199999988</c:v>
                </c:pt>
                <c:pt idx="9">
                  <c:v>326.24883199999988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F1-0D49-B3AD-DDD732055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2651199"/>
        <c:axId val="669401087"/>
      </c:areaChart>
      <c:catAx>
        <c:axId val="172651199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69401087"/>
        <c:crosses val="autoZero"/>
        <c:auto val="1"/>
        <c:lblAlgn val="ctr"/>
        <c:lblOffset val="100"/>
        <c:noMultiLvlLbl val="0"/>
      </c:catAx>
      <c:valAx>
        <c:axId val="669401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7265119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79</xdr:row>
      <xdr:rowOff>0</xdr:rowOff>
    </xdr:from>
    <xdr:to>
      <xdr:col>7</xdr:col>
      <xdr:colOff>0</xdr:colOff>
      <xdr:row>96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49C43F0-A613-BE8E-E4D9-2E4CD09A20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79</xdr:row>
      <xdr:rowOff>0</xdr:rowOff>
    </xdr:from>
    <xdr:to>
      <xdr:col>12</xdr:col>
      <xdr:colOff>0</xdr:colOff>
      <xdr:row>96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49B301A-A1BA-7A38-EAB9-82D32AE3FF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139</xdr:row>
      <xdr:rowOff>0</xdr:rowOff>
    </xdr:from>
    <xdr:to>
      <xdr:col>8</xdr:col>
      <xdr:colOff>0</xdr:colOff>
      <xdr:row>158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A9AAB2C-9904-7200-5428-3C06958EC0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185</xdr:row>
      <xdr:rowOff>0</xdr:rowOff>
    </xdr:from>
    <xdr:to>
      <xdr:col>8</xdr:col>
      <xdr:colOff>0</xdr:colOff>
      <xdr:row>203</xdr:row>
      <xdr:rowOff>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A4C0695-A354-E378-5389-269B2883AB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43</xdr:row>
      <xdr:rowOff>0</xdr:rowOff>
    </xdr:from>
    <xdr:to>
      <xdr:col>12</xdr:col>
      <xdr:colOff>0</xdr:colOff>
      <xdr:row>60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9B592F1-A57E-1C66-11C3-B82D580B50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43</xdr:row>
      <xdr:rowOff>0</xdr:rowOff>
    </xdr:from>
    <xdr:to>
      <xdr:col>8</xdr:col>
      <xdr:colOff>0</xdr:colOff>
      <xdr:row>60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185ABBA-36DC-9ABC-2247-F8FAF34A5B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23</xdr:row>
      <xdr:rowOff>0</xdr:rowOff>
    </xdr:from>
    <xdr:to>
      <xdr:col>7</xdr:col>
      <xdr:colOff>0</xdr:colOff>
      <xdr:row>40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F9606A8-8A46-52B0-AF82-EBC8010C45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23</xdr:row>
      <xdr:rowOff>0</xdr:rowOff>
    </xdr:from>
    <xdr:to>
      <xdr:col>12</xdr:col>
      <xdr:colOff>0</xdr:colOff>
      <xdr:row>40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90F6BE3-AED6-D5C1-33F5-96A3CFB684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40</xdr:row>
      <xdr:rowOff>0</xdr:rowOff>
    </xdr:from>
    <xdr:to>
      <xdr:col>7</xdr:col>
      <xdr:colOff>0</xdr:colOff>
      <xdr:row>57</xdr:row>
      <xdr:rowOff>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4C90A63F-2091-E164-3EA9-6C23161D1F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67192D0-464B-BC4B-9EAE-3B507CCDF1CD}">
  <we:reference id="wa200009404" version="1.0.0.8" store="es-ES" storeType="OMEX"/>
  <we:alternateReferences>
    <we:reference id="WA200009404" version="1.0.0.8" store="" storeType="OMEX"/>
  </we:alternateReferences>
  <we:properties>
    <we:property name="claude.fileId" value="&quot;885ff9b9-6959-4940-834f-49510cca9ea1&quot;"/>
  </we:properties>
  <we:bindings/>
  <we:snapshot xmlns:r="http://schemas.openxmlformats.org/officeDocument/2006/relationships"/>
</we:webextension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5161A"/>
  </sheetPr>
  <dimension ref="A2:G54"/>
  <sheetViews>
    <sheetView showGridLines="0" topLeftCell="A24" zoomScaleNormal="100" workbookViewId="0">
      <selection activeCell="J34" sqref="J34"/>
    </sheetView>
  </sheetViews>
  <sheetFormatPr baseColWidth="10" defaultColWidth="8.6640625" defaultRowHeight="15" x14ac:dyDescent="0.2"/>
  <cols>
    <col min="1" max="1" width="2" customWidth="1"/>
    <col min="2" max="2" width="22" customWidth="1"/>
    <col min="3" max="3" width="13.1640625" customWidth="1"/>
    <col min="4" max="7" width="13" customWidth="1"/>
  </cols>
  <sheetData>
    <row r="2" spans="1:7" ht="25.5" customHeight="1" x14ac:dyDescent="0.2">
      <c r="A2" s="11"/>
      <c r="B2" s="10" t="s">
        <v>0</v>
      </c>
      <c r="C2" s="10"/>
      <c r="D2" s="10"/>
      <c r="E2" s="10"/>
      <c r="F2" s="10"/>
      <c r="G2" s="10"/>
    </row>
    <row r="3" spans="1:7" ht="21.75" customHeight="1" x14ac:dyDescent="0.2">
      <c r="A3" s="11"/>
      <c r="B3" s="9" t="s">
        <v>1</v>
      </c>
      <c r="C3" s="9"/>
      <c r="D3" s="9"/>
      <c r="E3" s="9"/>
      <c r="F3" s="9"/>
      <c r="G3" s="9"/>
    </row>
    <row r="5" spans="1:7" ht="19.5" customHeight="1" x14ac:dyDescent="0.2">
      <c r="B5" s="8" t="s">
        <v>2</v>
      </c>
      <c r="C5" s="8"/>
      <c r="D5" s="8"/>
      <c r="E5" s="8"/>
      <c r="F5" s="8"/>
      <c r="G5" s="8"/>
    </row>
    <row r="6" spans="1:7" x14ac:dyDescent="0.2">
      <c r="B6" s="7" t="s">
        <v>3</v>
      </c>
      <c r="C6" s="7"/>
      <c r="D6" s="7"/>
      <c r="E6" s="7"/>
      <c r="F6" s="7"/>
      <c r="G6" s="7"/>
    </row>
    <row r="7" spans="1:7" ht="25.5" customHeight="1" x14ac:dyDescent="0.2">
      <c r="B7" s="12" t="s">
        <v>4</v>
      </c>
      <c r="C7" s="6" t="s">
        <v>5</v>
      </c>
      <c r="D7" s="6"/>
      <c r="E7" s="6"/>
      <c r="F7" s="6"/>
      <c r="G7" s="6"/>
    </row>
    <row r="8" spans="1:7" ht="25.5" customHeight="1" x14ac:dyDescent="0.2">
      <c r="B8" s="12" t="s">
        <v>6</v>
      </c>
      <c r="C8" s="6" t="s">
        <v>7</v>
      </c>
      <c r="D8" s="6"/>
      <c r="E8" s="6"/>
      <c r="F8" s="6"/>
      <c r="G8" s="6"/>
    </row>
    <row r="9" spans="1:7" ht="57" customHeight="1" x14ac:dyDescent="0.2">
      <c r="B9" s="271" t="s">
        <v>1842</v>
      </c>
      <c r="C9" s="274" t="s">
        <v>1843</v>
      </c>
      <c r="D9" s="274"/>
      <c r="E9" s="274"/>
      <c r="F9" s="274"/>
      <c r="G9" s="274"/>
    </row>
    <row r="10" spans="1:7" ht="58" customHeight="1" x14ac:dyDescent="0.2">
      <c r="B10" s="271" t="s">
        <v>1844</v>
      </c>
      <c r="C10" s="275" t="s">
        <v>1981</v>
      </c>
      <c r="D10" s="275"/>
      <c r="E10" s="275"/>
      <c r="F10" s="275"/>
      <c r="G10" s="275"/>
    </row>
    <row r="12" spans="1:7" ht="19.5" customHeight="1" x14ac:dyDescent="0.2">
      <c r="B12" s="8" t="s">
        <v>8</v>
      </c>
      <c r="C12" s="8"/>
      <c r="D12" s="8"/>
      <c r="E12" s="8"/>
      <c r="F12" s="8"/>
      <c r="G12" s="8"/>
    </row>
    <row r="13" spans="1:7" x14ac:dyDescent="0.2">
      <c r="B13" s="7" t="s">
        <v>9</v>
      </c>
      <c r="C13" s="7"/>
      <c r="D13" s="7"/>
      <c r="E13" s="7"/>
      <c r="F13" s="7"/>
      <c r="G13" s="7"/>
    </row>
    <row r="14" spans="1:7" ht="25.5" customHeight="1" x14ac:dyDescent="0.2">
      <c r="B14" s="12" t="s">
        <v>10</v>
      </c>
      <c r="C14" s="6" t="s">
        <v>11</v>
      </c>
      <c r="D14" s="6"/>
      <c r="E14" s="6"/>
      <c r="F14" s="6"/>
      <c r="G14" s="6"/>
    </row>
    <row r="15" spans="1:7" ht="25.5" customHeight="1" x14ac:dyDescent="0.2">
      <c r="B15" s="12" t="s">
        <v>12</v>
      </c>
      <c r="C15" s="6" t="s">
        <v>13</v>
      </c>
      <c r="D15" s="6"/>
      <c r="E15" s="6"/>
      <c r="F15" s="6"/>
      <c r="G15" s="6"/>
    </row>
    <row r="16" spans="1:7" ht="42" customHeight="1" x14ac:dyDescent="0.2">
      <c r="B16" s="12" t="s">
        <v>14</v>
      </c>
      <c r="C16" s="6" t="s">
        <v>1847</v>
      </c>
      <c r="D16" s="6"/>
      <c r="E16" s="6"/>
      <c r="F16" s="6"/>
      <c r="G16" s="6"/>
    </row>
    <row r="17" spans="2:7" ht="45" customHeight="1" x14ac:dyDescent="0.2">
      <c r="B17" s="272" t="s">
        <v>1845</v>
      </c>
      <c r="C17" s="276" t="s">
        <v>1846</v>
      </c>
      <c r="D17" s="276"/>
      <c r="E17" s="276"/>
      <c r="F17" s="276"/>
      <c r="G17" s="276"/>
    </row>
    <row r="18" spans="2:7" ht="25.5" customHeight="1" x14ac:dyDescent="0.2">
      <c r="B18" s="12" t="s">
        <v>15</v>
      </c>
      <c r="C18" s="6" t="s">
        <v>16</v>
      </c>
      <c r="D18" s="6"/>
      <c r="E18" s="6"/>
      <c r="F18" s="6"/>
      <c r="G18" s="6"/>
    </row>
    <row r="20" spans="2:7" ht="19.5" customHeight="1" x14ac:dyDescent="0.2">
      <c r="B20" s="8" t="s">
        <v>17</v>
      </c>
      <c r="C20" s="8"/>
      <c r="D20" s="8"/>
      <c r="E20" s="8"/>
      <c r="F20" s="8"/>
      <c r="G20" s="8"/>
    </row>
    <row r="21" spans="2:7" x14ac:dyDescent="0.2">
      <c r="B21" s="7" t="s">
        <v>18</v>
      </c>
      <c r="C21" s="7"/>
      <c r="D21" s="7"/>
      <c r="E21" s="7"/>
      <c r="F21" s="7"/>
      <c r="G21" s="7"/>
    </row>
    <row r="22" spans="2:7" ht="25.5" customHeight="1" x14ac:dyDescent="0.2">
      <c r="B22" s="12" t="s">
        <v>19</v>
      </c>
      <c r="C22" s="6" t="s">
        <v>20</v>
      </c>
      <c r="D22" s="6"/>
      <c r="E22" s="6"/>
      <c r="F22" s="6"/>
      <c r="G22" s="6"/>
    </row>
    <row r="23" spans="2:7" ht="25.5" customHeight="1" x14ac:dyDescent="0.2">
      <c r="B23" s="12" t="s">
        <v>21</v>
      </c>
      <c r="C23" s="6" t="s">
        <v>22</v>
      </c>
      <c r="D23" s="6"/>
      <c r="E23" s="6"/>
      <c r="F23" s="6"/>
      <c r="G23" s="6"/>
    </row>
    <row r="24" spans="2:7" ht="25.5" customHeight="1" x14ac:dyDescent="0.2">
      <c r="B24" s="272" t="s">
        <v>1944</v>
      </c>
      <c r="C24" s="13" t="s">
        <v>1945</v>
      </c>
      <c r="D24" s="13"/>
      <c r="E24" s="13"/>
      <c r="F24" s="13"/>
      <c r="G24" s="13"/>
    </row>
    <row r="25" spans="2:7" ht="25.5" customHeight="1" x14ac:dyDescent="0.2">
      <c r="B25" s="12" t="s">
        <v>23</v>
      </c>
      <c r="C25" s="6" t="s">
        <v>24</v>
      </c>
      <c r="D25" s="6"/>
      <c r="E25" s="6"/>
      <c r="F25" s="6"/>
      <c r="G25" s="6"/>
    </row>
    <row r="27" spans="2:7" ht="19.5" customHeight="1" x14ac:dyDescent="0.2">
      <c r="B27" s="8" t="s">
        <v>25</v>
      </c>
      <c r="C27" s="8"/>
      <c r="D27" s="8"/>
      <c r="E27" s="8"/>
      <c r="F27" s="8"/>
      <c r="G27" s="8"/>
    </row>
    <row r="28" spans="2:7" x14ac:dyDescent="0.2">
      <c r="B28" s="7" t="s">
        <v>26</v>
      </c>
      <c r="C28" s="7"/>
      <c r="D28" s="7"/>
      <c r="E28" s="7"/>
      <c r="F28" s="7"/>
      <c r="G28" s="7"/>
    </row>
    <row r="29" spans="2:7" ht="41" customHeight="1" x14ac:dyDescent="0.2">
      <c r="B29" s="12" t="s">
        <v>27</v>
      </c>
      <c r="C29" s="6" t="s">
        <v>1969</v>
      </c>
      <c r="D29" s="6"/>
      <c r="E29" s="6"/>
      <c r="F29" s="6"/>
      <c r="G29" s="6"/>
    </row>
    <row r="30" spans="2:7" ht="35" customHeight="1" x14ac:dyDescent="0.2">
      <c r="B30" s="12" t="s">
        <v>28</v>
      </c>
      <c r="C30" s="6" t="s">
        <v>29</v>
      </c>
      <c r="D30" s="6"/>
      <c r="E30" s="6"/>
      <c r="F30" s="6"/>
      <c r="G30" s="6"/>
    </row>
    <row r="31" spans="2:7" ht="37" customHeight="1" x14ac:dyDescent="0.2">
      <c r="B31" s="12" t="s">
        <v>30</v>
      </c>
      <c r="C31" s="6" t="s">
        <v>31</v>
      </c>
      <c r="D31" s="6"/>
      <c r="E31" s="6"/>
      <c r="F31" s="6"/>
      <c r="G31" s="6"/>
    </row>
    <row r="32" spans="2:7" ht="41" customHeight="1" x14ac:dyDescent="0.2">
      <c r="B32" s="12" t="s">
        <v>32</v>
      </c>
      <c r="C32" s="6" t="s">
        <v>1848</v>
      </c>
      <c r="D32" s="6"/>
      <c r="E32" s="6"/>
      <c r="F32" s="6"/>
      <c r="G32" s="6"/>
    </row>
    <row r="33" spans="2:7" ht="40" customHeight="1" x14ac:dyDescent="0.2">
      <c r="B33" s="12" t="s">
        <v>33</v>
      </c>
      <c r="C33" s="6" t="s">
        <v>1849</v>
      </c>
      <c r="D33" s="6"/>
      <c r="E33" s="6"/>
      <c r="F33" s="6"/>
      <c r="G33" s="6"/>
    </row>
    <row r="35" spans="2:7" ht="19.5" customHeight="1" x14ac:dyDescent="0.2">
      <c r="B35" s="8" t="s">
        <v>34</v>
      </c>
      <c r="C35" s="8"/>
      <c r="D35" s="8"/>
      <c r="E35" s="8"/>
      <c r="F35" s="8"/>
      <c r="G35" s="8"/>
    </row>
    <row r="36" spans="2:7" x14ac:dyDescent="0.2">
      <c r="B36" s="7" t="s">
        <v>35</v>
      </c>
      <c r="C36" s="7"/>
      <c r="D36" s="7"/>
      <c r="E36" s="7"/>
      <c r="F36" s="7"/>
      <c r="G36" s="7"/>
    </row>
    <row r="37" spans="2:7" ht="28" customHeight="1" x14ac:dyDescent="0.2">
      <c r="B37" s="12" t="s">
        <v>36</v>
      </c>
      <c r="C37" s="6" t="s">
        <v>37</v>
      </c>
      <c r="D37" s="6"/>
      <c r="E37" s="6"/>
      <c r="F37" s="6"/>
      <c r="G37" s="6"/>
    </row>
    <row r="38" spans="2:7" ht="32" customHeight="1" x14ac:dyDescent="0.2">
      <c r="B38" s="12" t="s">
        <v>38</v>
      </c>
      <c r="C38" s="6" t="s">
        <v>39</v>
      </c>
      <c r="D38" s="6"/>
      <c r="E38" s="6"/>
      <c r="F38" s="6"/>
      <c r="G38" s="6"/>
    </row>
    <row r="39" spans="2:7" ht="35" customHeight="1" x14ac:dyDescent="0.2">
      <c r="B39" s="12" t="s">
        <v>40</v>
      </c>
      <c r="C39" s="6" t="s">
        <v>41</v>
      </c>
      <c r="D39" s="6"/>
      <c r="E39" s="6"/>
      <c r="F39" s="6"/>
      <c r="G39" s="6"/>
    </row>
    <row r="40" spans="2:7" ht="34" customHeight="1" x14ac:dyDescent="0.2">
      <c r="B40" s="12" t="s">
        <v>42</v>
      </c>
      <c r="C40" s="6" t="s">
        <v>43</v>
      </c>
      <c r="D40" s="6"/>
      <c r="E40" s="6"/>
      <c r="F40" s="6"/>
      <c r="G40" s="6"/>
    </row>
    <row r="41" spans="2:7" ht="32" customHeight="1" x14ac:dyDescent="0.2">
      <c r="B41" s="12" t="s">
        <v>44</v>
      </c>
      <c r="C41" s="6" t="s">
        <v>45</v>
      </c>
      <c r="D41" s="6"/>
      <c r="E41" s="6"/>
      <c r="F41" s="6"/>
      <c r="G41" s="6"/>
    </row>
    <row r="42" spans="2:7" ht="31" customHeight="1" x14ac:dyDescent="0.2">
      <c r="B42" s="12" t="s">
        <v>46</v>
      </c>
      <c r="C42" s="6" t="s">
        <v>47</v>
      </c>
      <c r="D42" s="6"/>
      <c r="E42" s="6"/>
      <c r="F42" s="6"/>
      <c r="G42" s="6"/>
    </row>
    <row r="43" spans="2:7" ht="30" customHeight="1" x14ac:dyDescent="0.2">
      <c r="B43" s="12" t="s">
        <v>48</v>
      </c>
      <c r="C43" s="6" t="s">
        <v>49</v>
      </c>
      <c r="D43" s="6"/>
      <c r="E43" s="6"/>
      <c r="F43" s="6"/>
      <c r="G43" s="6"/>
    </row>
    <row r="45" spans="2:7" ht="19.5" customHeight="1" x14ac:dyDescent="0.2">
      <c r="B45" s="8" t="s">
        <v>50</v>
      </c>
      <c r="C45" s="8"/>
      <c r="D45" s="8"/>
      <c r="E45" s="8"/>
      <c r="F45" s="8"/>
      <c r="G45" s="8"/>
    </row>
    <row r="46" spans="2:7" x14ac:dyDescent="0.2">
      <c r="B46" s="7" t="s">
        <v>51</v>
      </c>
      <c r="C46" s="7"/>
      <c r="D46" s="7"/>
      <c r="E46" s="7"/>
      <c r="F46" s="7"/>
      <c r="G46" s="7"/>
    </row>
    <row r="47" spans="2:7" ht="25.5" customHeight="1" x14ac:dyDescent="0.2">
      <c r="B47" s="12" t="s">
        <v>52</v>
      </c>
      <c r="C47" s="6" t="s">
        <v>53</v>
      </c>
      <c r="D47" s="6"/>
      <c r="E47" s="6"/>
      <c r="F47" s="6"/>
      <c r="G47" s="6"/>
    </row>
    <row r="48" spans="2:7" ht="25.5" customHeight="1" x14ac:dyDescent="0.2">
      <c r="B48" s="12" t="s">
        <v>54</v>
      </c>
      <c r="C48" s="6" t="s">
        <v>55</v>
      </c>
      <c r="D48" s="6"/>
      <c r="E48" s="6"/>
      <c r="F48" s="6"/>
      <c r="G48" s="6"/>
    </row>
    <row r="49" spans="2:7" ht="25.5" customHeight="1" x14ac:dyDescent="0.2">
      <c r="B49" s="12" t="s">
        <v>56</v>
      </c>
      <c r="C49" s="6" t="s">
        <v>1850</v>
      </c>
      <c r="D49" s="6"/>
      <c r="E49" s="6"/>
      <c r="F49" s="6"/>
      <c r="G49" s="6"/>
    </row>
    <row r="50" spans="2:7" ht="25.5" customHeight="1" x14ac:dyDescent="0.2">
      <c r="B50" s="12" t="s">
        <v>57</v>
      </c>
      <c r="C50" s="6" t="s">
        <v>58</v>
      </c>
      <c r="D50" s="6"/>
      <c r="E50" s="6"/>
      <c r="F50" s="6"/>
      <c r="G50" s="6"/>
    </row>
    <row r="52" spans="2:7" ht="19.5" customHeight="1" x14ac:dyDescent="0.2">
      <c r="B52" s="8" t="s">
        <v>59</v>
      </c>
      <c r="C52" s="8"/>
      <c r="D52" s="8"/>
      <c r="E52" s="8"/>
      <c r="F52" s="8"/>
      <c r="G52" s="8"/>
    </row>
    <row r="53" spans="2:7" x14ac:dyDescent="0.2">
      <c r="B53" s="7" t="s">
        <v>60</v>
      </c>
      <c r="C53" s="7"/>
      <c r="D53" s="7"/>
      <c r="E53" s="7"/>
      <c r="F53" s="7"/>
      <c r="G53" s="7"/>
    </row>
    <row r="54" spans="2:7" ht="25.5" customHeight="1" x14ac:dyDescent="0.2">
      <c r="B54" s="12" t="s">
        <v>61</v>
      </c>
      <c r="C54" s="6" t="s">
        <v>62</v>
      </c>
      <c r="D54" s="6"/>
      <c r="E54" s="6"/>
      <c r="F54" s="6"/>
      <c r="G54" s="6"/>
    </row>
  </sheetData>
  <mergeCells count="45">
    <mergeCell ref="B53:G53"/>
    <mergeCell ref="C54:G54"/>
    <mergeCell ref="C9:G9"/>
    <mergeCell ref="C10:G10"/>
    <mergeCell ref="C17:G17"/>
    <mergeCell ref="C47:G47"/>
    <mergeCell ref="C48:G48"/>
    <mergeCell ref="C49:G49"/>
    <mergeCell ref="C50:G50"/>
    <mergeCell ref="B52:G52"/>
    <mergeCell ref="C41:G41"/>
    <mergeCell ref="C42:G42"/>
    <mergeCell ref="C43:G43"/>
    <mergeCell ref="B45:G45"/>
    <mergeCell ref="B46:G46"/>
    <mergeCell ref="B36:G36"/>
    <mergeCell ref="C37:G37"/>
    <mergeCell ref="C38:G38"/>
    <mergeCell ref="C39:G39"/>
    <mergeCell ref="C40:G40"/>
    <mergeCell ref="C30:G30"/>
    <mergeCell ref="C31:G31"/>
    <mergeCell ref="C32:G32"/>
    <mergeCell ref="C33:G33"/>
    <mergeCell ref="B35:G35"/>
    <mergeCell ref="C23:G23"/>
    <mergeCell ref="C25:G25"/>
    <mergeCell ref="B27:G27"/>
    <mergeCell ref="B28:G28"/>
    <mergeCell ref="C29:G29"/>
    <mergeCell ref="C16:G16"/>
    <mergeCell ref="C18:G18"/>
    <mergeCell ref="B20:G20"/>
    <mergeCell ref="B21:G21"/>
    <mergeCell ref="C22:G22"/>
    <mergeCell ref="C8:G8"/>
    <mergeCell ref="B12:G12"/>
    <mergeCell ref="B13:G13"/>
    <mergeCell ref="C14:G14"/>
    <mergeCell ref="C15:G15"/>
    <mergeCell ref="B2:G2"/>
    <mergeCell ref="B3:G3"/>
    <mergeCell ref="B5:G5"/>
    <mergeCell ref="B6:G6"/>
    <mergeCell ref="C7:G7"/>
  </mergeCells>
  <hyperlinks>
    <hyperlink ref="B7" location="'LEEME'!A1" display="LEEME" xr:uid="{00000000-0004-0000-0000-000000000000}"/>
    <hyperlink ref="B8" location="'SUP_CONTROL'!A1" display="SUP_CONTROL" xr:uid="{00000000-0004-0000-0000-000001000000}"/>
    <hyperlink ref="B14" location="'SUP_MENU'!A1" display="SUP_MENU" xr:uid="{00000000-0004-0000-0000-000002000000}"/>
    <hyperlink ref="B15" location="'SUP_PRECIOS'!A1" display="SUP_PRECIOS" xr:uid="{00000000-0004-0000-0000-000003000000}"/>
    <hyperlink ref="B16" location="'SUP_COSTOS'!A1" display="SUP_COSTOS" xr:uid="{00000000-0004-0000-0000-000004000000}"/>
    <hyperlink ref="B18" location="'SUP_VOLUMEN'!A1" display="SUP_VOLUMEN" xr:uid="{00000000-0004-0000-0000-000005000000}"/>
    <hyperlink ref="B22" location="'SUP_OPEX'!A1" display="SUP_OPEX" xr:uid="{00000000-0004-0000-0000-000006000000}"/>
    <hyperlink ref="B23" location="'SUP_OVERHEAD'!A1" display="SUP_OVERHEAD" xr:uid="{00000000-0004-0000-0000-000007000000}"/>
    <hyperlink ref="B25" location="'SUP_TECNOLOGIA'!A1" display="SUP_TECNOLOGIA" xr:uid="{00000000-0004-0000-0000-000008000000}"/>
    <hyperlink ref="B29" location="'SUP_CAPEX_PLANTA'!A1" display="SUP_CAPEX_PLANTA" xr:uid="{00000000-0004-0000-0000-000009000000}"/>
    <hyperlink ref="B30" location="'SUP_CAPEX_VENTANA'!A1" display="SUP_CAPEX_VENTANA" xr:uid="{00000000-0004-0000-0000-00000A000000}"/>
    <hyperlink ref="B31" location="'SUP_CAPEX_DINEIN'!A1" display="SUP_CAPEX_DINEIN" xr:uid="{00000000-0004-0000-0000-00000B000000}"/>
    <hyperlink ref="B32" location="'SUP_CAPEX_FLAGSHIP'!A1" display="SUP_CAPEX_FLAGSHIP" xr:uid="{00000000-0004-0000-0000-00000C000000}"/>
    <hyperlink ref="B33" location="'SUP_PRODUCCION'!A1" display="SUP_PRODUCCION" xr:uid="{00000000-0004-0000-0000-00000D000000}"/>
    <hyperlink ref="B37" location="'CAPA1_PILOTO'!A1" display="CAPA1_PILOTO" xr:uid="{00000000-0004-0000-0000-00000E000000}"/>
    <hyperlink ref="B38" location="'CAPA2_FLAGSHIP'!A1" display="CAPA2_FLAGSHIP" xr:uid="{00000000-0004-0000-0000-00000F000000}"/>
    <hyperlink ref="B39" location="'SUP_C3_EXPANSION'!A1" display="SUP_C3_EXPANSION" xr:uid="{00000000-0004-0000-0000-000010000000}"/>
    <hyperlink ref="B40" location="'CAPA3_EXPANSION'!A1" display="CAPA3_EXPANSION" xr:uid="{00000000-0004-0000-0000-000011000000}"/>
    <hyperlink ref="B41" location="'CAPA3_PDV_DETALLE'!A1" display="CAPA3_PDV_DETALLE" xr:uid="{00000000-0004-0000-0000-000012000000}"/>
    <hyperlink ref="B42" location="'SUP_C4_RETAIL'!A1" display="SUP_C4_RETAIL" xr:uid="{00000000-0004-0000-0000-000013000000}"/>
    <hyperlink ref="B43" location="'CAPA4_RETAIL'!A1" display="CAPA4_RETAIL" xr:uid="{00000000-0004-0000-0000-000014000000}"/>
    <hyperlink ref="B47" location="'CONSOLIDADO'!A1" display="CONSOLIDADO" xr:uid="{00000000-0004-0000-0000-000015000000}"/>
    <hyperlink ref="B48" location="'PL'!A1" display="PL" xr:uid="{00000000-0004-0000-0000-000016000000}"/>
    <hyperlink ref="B49" location="'CAPA3_DASHBOARD'!A1" display="CAPA3_DASHBOARD" xr:uid="{00000000-0004-0000-0000-000017000000}"/>
    <hyperlink ref="B50" location="'PROD_DEMANDA'!A1" display="PROD_DEMANDA" xr:uid="{00000000-0004-0000-0000-000018000000}"/>
    <hyperlink ref="B54" location="'CHECKLIST_V2'!A1" display="CHECKLIST_V2" xr:uid="{00000000-0004-0000-0000-000019000000}"/>
    <hyperlink ref="B9" location="'RESUMEN_EJECUTIVO'!A1" display="RESUMEN_EJECUTIVO" xr:uid="{01CC23FB-4425-784F-B1A6-43BD7C381F5C}"/>
    <hyperlink ref="B10" location="'PUNTO_EQUILIBRIO'!A1" display="PUNTO_EQUILIBRIO" xr:uid="{CDA968D7-9439-D64A-A5C3-7DECAE4A217E}"/>
    <hyperlink ref="B17" location="'SUP_INSUMOS'!A1" display="SUP_INSUMOS" xr:uid="{1C4BB38A-C750-5B48-A115-B1CFB9C5E1D2}"/>
    <hyperlink ref="B24" location="'SUP_PLANTA_OPEX'!A1" display="SUP_PLANTA_OPEX" xr:uid="{F08DCC0D-916F-854F-9F65-76DE4B2BB6A4}"/>
  </hyperlinks>
  <pageMargins left="0.75" right="0.75" top="1" bottom="1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2E75B6"/>
  </sheetPr>
  <dimension ref="A1:G62"/>
  <sheetViews>
    <sheetView showGridLines="0" topLeftCell="C1" zoomScale="140" zoomScaleNormal="140" workbookViewId="0">
      <selection activeCell="G7" sqref="G7"/>
    </sheetView>
  </sheetViews>
  <sheetFormatPr baseColWidth="10" defaultColWidth="8.6640625" defaultRowHeight="15" x14ac:dyDescent="0.2"/>
  <cols>
    <col min="1" max="1" width="3" customWidth="1"/>
    <col min="2" max="2" width="58" customWidth="1"/>
    <col min="3" max="5" width="14" customWidth="1"/>
    <col min="6" max="6" width="3" customWidth="1"/>
    <col min="7" max="7" width="75" customWidth="1"/>
  </cols>
  <sheetData>
    <row r="1" spans="1:7" ht="18.75" customHeight="1" x14ac:dyDescent="0.25">
      <c r="A1" s="38" t="s">
        <v>486</v>
      </c>
      <c r="B1" s="14"/>
      <c r="C1" s="14"/>
      <c r="D1" s="14"/>
      <c r="E1" s="14"/>
      <c r="F1" s="14"/>
      <c r="G1" s="14"/>
    </row>
    <row r="2" spans="1:7" ht="15" customHeight="1" x14ac:dyDescent="0.2">
      <c r="A2" s="17" t="s">
        <v>487</v>
      </c>
    </row>
    <row r="3" spans="1:7" ht="15" customHeight="1" x14ac:dyDescent="0.2">
      <c r="A3" s="39" t="s">
        <v>89</v>
      </c>
    </row>
    <row r="5" spans="1:7" ht="15" customHeight="1" x14ac:dyDescent="0.2">
      <c r="A5" s="40" t="s">
        <v>488</v>
      </c>
      <c r="B5" s="41"/>
      <c r="C5" s="41"/>
      <c r="D5" s="41"/>
      <c r="E5" s="41"/>
      <c r="F5" s="41"/>
      <c r="G5" s="41"/>
    </row>
    <row r="6" spans="1:7" ht="15" customHeight="1" x14ac:dyDescent="0.2">
      <c r="B6" s="46" t="s">
        <v>489</v>
      </c>
      <c r="C6" s="50">
        <v>972</v>
      </c>
      <c r="G6" s="39" t="s">
        <v>1964</v>
      </c>
    </row>
    <row r="7" spans="1:7" ht="15" customHeight="1" x14ac:dyDescent="0.2">
      <c r="B7" s="46" t="s">
        <v>490</v>
      </c>
      <c r="C7" s="50">
        <v>972</v>
      </c>
      <c r="G7" s="39" t="s">
        <v>491</v>
      </c>
    </row>
    <row r="8" spans="1:7" ht="15" customHeight="1" x14ac:dyDescent="0.2">
      <c r="B8" s="46" t="s">
        <v>492</v>
      </c>
      <c r="C8" s="62">
        <v>4.33</v>
      </c>
    </row>
    <row r="9" spans="1:7" ht="15" customHeight="1" x14ac:dyDescent="0.2">
      <c r="B9" s="46" t="s">
        <v>493</v>
      </c>
      <c r="C9" s="50">
        <v>1000</v>
      </c>
      <c r="G9" s="39" t="s">
        <v>494</v>
      </c>
    </row>
    <row r="10" spans="1:7" ht="15" customHeight="1" x14ac:dyDescent="0.2">
      <c r="B10" s="46" t="s">
        <v>495</v>
      </c>
      <c r="C10" s="52">
        <f>C6*C8</f>
        <v>4208.76</v>
      </c>
    </row>
    <row r="11" spans="1:7" ht="15" customHeight="1" x14ac:dyDescent="0.2">
      <c r="B11" s="20" t="s">
        <v>496</v>
      </c>
      <c r="C11" s="60">
        <f>C7*C8</f>
        <v>4208.76</v>
      </c>
      <c r="D11">
        <v>60</v>
      </c>
      <c r="E11">
        <f>+D11*30</f>
        <v>1800</v>
      </c>
    </row>
    <row r="12" spans="1:7" ht="15" customHeight="1" x14ac:dyDescent="0.2">
      <c r="C12">
        <v>0</v>
      </c>
      <c r="D12">
        <v>2000</v>
      </c>
      <c r="E12">
        <f>+(C11+E11)/2</f>
        <v>3004.38</v>
      </c>
      <c r="F12" t="s">
        <v>497</v>
      </c>
    </row>
    <row r="13" spans="1:7" ht="15" customHeight="1" x14ac:dyDescent="0.2">
      <c r="A13" s="40" t="s">
        <v>498</v>
      </c>
      <c r="B13" s="41"/>
      <c r="C13" s="41"/>
      <c r="D13" s="41"/>
      <c r="E13" s="41"/>
      <c r="F13" s="41"/>
      <c r="G13" s="41"/>
    </row>
    <row r="14" spans="1:7" ht="15" customHeight="1" x14ac:dyDescent="0.2">
      <c r="A14" s="42"/>
      <c r="B14" s="42"/>
      <c r="C14" s="42" t="s">
        <v>499</v>
      </c>
      <c r="D14" s="42" t="s">
        <v>500</v>
      </c>
      <c r="E14" s="42" t="s">
        <v>501</v>
      </c>
    </row>
    <row r="15" spans="1:7" ht="15" customHeight="1" x14ac:dyDescent="0.2">
      <c r="B15" s="46" t="s">
        <v>502</v>
      </c>
      <c r="C15" s="64">
        <f>C16/$C$11</f>
        <v>0.69996863684315569</v>
      </c>
      <c r="D15" s="64">
        <f>D16/$C$11</f>
        <v>0.79999809920261544</v>
      </c>
      <c r="E15" s="64">
        <f>E16/$C$11</f>
        <v>1.0000570239215349</v>
      </c>
      <c r="G15" s="23" t="s">
        <v>503</v>
      </c>
    </row>
    <row r="16" spans="1:7" ht="15" customHeight="1" x14ac:dyDescent="0.2">
      <c r="B16" s="20" t="s">
        <v>504</v>
      </c>
      <c r="C16" s="65">
        <v>2946</v>
      </c>
      <c r="D16" s="65">
        <v>3367</v>
      </c>
      <c r="E16" s="65">
        <v>4209</v>
      </c>
      <c r="G16" s="23" t="s">
        <v>1953</v>
      </c>
    </row>
    <row r="18" spans="1:7" ht="15" customHeight="1" x14ac:dyDescent="0.2">
      <c r="A18" s="40" t="s">
        <v>505</v>
      </c>
      <c r="B18" s="41"/>
      <c r="C18" s="41"/>
      <c r="D18" s="41"/>
      <c r="E18" s="41"/>
      <c r="F18" s="41"/>
      <c r="G18" s="41"/>
    </row>
    <row r="19" spans="1:7" ht="15" customHeight="1" x14ac:dyDescent="0.2">
      <c r="B19" s="46" t="s">
        <v>506</v>
      </c>
      <c r="C19" s="59">
        <v>11.9</v>
      </c>
      <c r="G19" s="39" t="s">
        <v>507</v>
      </c>
    </row>
    <row r="20" spans="1:7" ht="15" customHeight="1" x14ac:dyDescent="0.2">
      <c r="B20" s="46" t="s">
        <v>508</v>
      </c>
      <c r="C20" s="57">
        <f>SUP_PRECIOS!$D$8</f>
        <v>11.9</v>
      </c>
    </row>
    <row r="21" spans="1:7" ht="15" customHeight="1" x14ac:dyDescent="0.2">
      <c r="B21" s="46" t="s">
        <v>509</v>
      </c>
      <c r="C21" s="66">
        <v>-0.7</v>
      </c>
      <c r="D21" s="66">
        <v>-1</v>
      </c>
      <c r="E21" s="66">
        <v>-1.3</v>
      </c>
      <c r="G21" s="39" t="s">
        <v>510</v>
      </c>
    </row>
    <row r="22" spans="1:7" ht="15" customHeight="1" x14ac:dyDescent="0.2">
      <c r="B22" s="46" t="s">
        <v>511</v>
      </c>
      <c r="C22" s="67">
        <f>($C$20/$C$19)^C21</f>
        <v>1</v>
      </c>
      <c r="D22" s="67">
        <f>($C$20/$C$19)^D21</f>
        <v>1</v>
      </c>
      <c r="E22" s="67">
        <f>($C$20/$C$19)^E21</f>
        <v>1</v>
      </c>
    </row>
    <row r="23" spans="1:7" ht="15" customHeight="1" x14ac:dyDescent="0.2">
      <c r="B23" s="20" t="s">
        <v>512</v>
      </c>
      <c r="C23" s="60">
        <f>C16*C22</f>
        <v>2946</v>
      </c>
      <c r="D23" s="60">
        <f>D16*D22</f>
        <v>3367</v>
      </c>
      <c r="E23" s="60">
        <f>E16*E22</f>
        <v>4209</v>
      </c>
      <c r="G23" s="39" t="s">
        <v>513</v>
      </c>
    </row>
    <row r="25" spans="1:7" ht="15" customHeight="1" x14ac:dyDescent="0.2">
      <c r="A25" s="40" t="s">
        <v>514</v>
      </c>
      <c r="B25" s="41"/>
      <c r="C25" s="41"/>
      <c r="D25" s="41"/>
      <c r="E25" s="41"/>
      <c r="F25" s="41"/>
      <c r="G25" s="41"/>
    </row>
    <row r="26" spans="1:7" ht="15" customHeight="1" x14ac:dyDescent="0.2">
      <c r="B26" s="46" t="s">
        <v>515</v>
      </c>
      <c r="C26" s="48">
        <v>0.3</v>
      </c>
      <c r="G26" s="39" t="s">
        <v>516</v>
      </c>
    </row>
    <row r="27" spans="1:7" ht="15" customHeight="1" x14ac:dyDescent="0.2">
      <c r="B27" s="46" t="s">
        <v>517</v>
      </c>
      <c r="C27" s="47">
        <v>1</v>
      </c>
      <c r="G27" s="23" t="s">
        <v>518</v>
      </c>
    </row>
    <row r="29" spans="1:7" ht="15" customHeight="1" x14ac:dyDescent="0.2">
      <c r="A29" s="42"/>
      <c r="B29" s="42" t="s">
        <v>519</v>
      </c>
      <c r="C29" s="42" t="s">
        <v>499</v>
      </c>
      <c r="D29" s="42" t="s">
        <v>500</v>
      </c>
      <c r="E29" s="42" t="s">
        <v>501</v>
      </c>
    </row>
    <row r="30" spans="1:7" ht="15" customHeight="1" x14ac:dyDescent="0.2">
      <c r="B30" s="43" t="s">
        <v>520</v>
      </c>
      <c r="C30" s="52">
        <f>C23</f>
        <v>2946</v>
      </c>
      <c r="D30" s="52">
        <f>D23</f>
        <v>3367</v>
      </c>
      <c r="E30" s="52">
        <f>E23</f>
        <v>4209</v>
      </c>
    </row>
    <row r="31" spans="1:7" ht="15" customHeight="1" x14ac:dyDescent="0.2">
      <c r="B31" s="43" t="s">
        <v>521</v>
      </c>
      <c r="C31" s="52">
        <f>C23*(1+$C$26)</f>
        <v>3829.8</v>
      </c>
      <c r="D31" s="52">
        <f>D23*(1+$C$26)</f>
        <v>4377.1000000000004</v>
      </c>
      <c r="E31" s="52">
        <f>E23*(1+$C$26)</f>
        <v>5471.7</v>
      </c>
    </row>
    <row r="32" spans="1:7" ht="15" customHeight="1" x14ac:dyDescent="0.2">
      <c r="B32" s="43" t="s">
        <v>277</v>
      </c>
      <c r="C32" s="52">
        <f>C23*(1+$C$27)</f>
        <v>5892</v>
      </c>
      <c r="D32" s="52">
        <f>D23*(1+$C$27)</f>
        <v>6734</v>
      </c>
      <c r="E32" s="52">
        <f>E23*(1+$C$27)</f>
        <v>8418</v>
      </c>
    </row>
    <row r="34" spans="1:7" ht="15" customHeight="1" x14ac:dyDescent="0.2">
      <c r="A34" s="40" t="s">
        <v>522</v>
      </c>
      <c r="B34" s="41"/>
      <c r="C34" s="41"/>
      <c r="D34" s="41"/>
      <c r="E34" s="41"/>
      <c r="F34" s="41"/>
      <c r="G34" s="41"/>
    </row>
    <row r="35" spans="1:7" ht="15" customHeight="1" x14ac:dyDescent="0.2">
      <c r="B35" s="43" t="s">
        <v>523</v>
      </c>
      <c r="C35" s="48">
        <v>0.5</v>
      </c>
      <c r="G35" s="39" t="s">
        <v>524</v>
      </c>
    </row>
    <row r="36" spans="1:7" ht="15" customHeight="1" x14ac:dyDescent="0.2">
      <c r="B36" s="43" t="s">
        <v>525</v>
      </c>
      <c r="C36" s="48">
        <v>0.3</v>
      </c>
      <c r="G36" s="39" t="s">
        <v>526</v>
      </c>
    </row>
    <row r="37" spans="1:7" ht="15" customHeight="1" x14ac:dyDescent="0.2">
      <c r="B37" s="43" t="s">
        <v>527</v>
      </c>
      <c r="C37" s="48">
        <v>0.06</v>
      </c>
      <c r="G37" s="39" t="s">
        <v>528</v>
      </c>
    </row>
    <row r="38" spans="1:7" ht="15" customHeight="1" x14ac:dyDescent="0.2">
      <c r="B38" s="43" t="s">
        <v>529</v>
      </c>
      <c r="C38" s="48">
        <v>0.08</v>
      </c>
      <c r="G38" s="39" t="s">
        <v>530</v>
      </c>
    </row>
    <row r="39" spans="1:7" ht="15" customHeight="1" x14ac:dyDescent="0.2">
      <c r="B39" s="43" t="s">
        <v>531</v>
      </c>
      <c r="C39" s="48">
        <v>0.06</v>
      </c>
      <c r="G39" s="39" t="s">
        <v>532</v>
      </c>
    </row>
    <row r="40" spans="1:7" ht="15" customHeight="1" x14ac:dyDescent="0.2">
      <c r="B40" s="20" t="s">
        <v>533</v>
      </c>
      <c r="C40" s="49">
        <f>SUM(C35:C39)</f>
        <v>1</v>
      </c>
      <c r="G40" s="39" t="s">
        <v>534</v>
      </c>
    </row>
    <row r="42" spans="1:7" ht="15" customHeight="1" x14ac:dyDescent="0.2">
      <c r="A42" s="40" t="s">
        <v>535</v>
      </c>
      <c r="B42" s="41"/>
      <c r="C42" s="41"/>
      <c r="D42" s="41"/>
      <c r="E42" s="41"/>
      <c r="F42" s="41"/>
      <c r="G42" s="41"/>
    </row>
    <row r="43" spans="1:7" ht="15" customHeight="1" x14ac:dyDescent="0.2">
      <c r="B43" s="46" t="s">
        <v>536</v>
      </c>
      <c r="C43" s="50">
        <v>7</v>
      </c>
      <c r="G43" s="23" t="s">
        <v>537</v>
      </c>
    </row>
    <row r="44" spans="1:7" ht="15" customHeight="1" x14ac:dyDescent="0.2">
      <c r="B44" s="46" t="s">
        <v>538</v>
      </c>
      <c r="C44" s="50">
        <v>3</v>
      </c>
    </row>
    <row r="45" spans="1:7" ht="15" customHeight="1" x14ac:dyDescent="0.2">
      <c r="B45" s="46" t="s">
        <v>539</v>
      </c>
      <c r="C45" s="51">
        <f>SUP_CONTROL!$C$12</f>
        <v>0</v>
      </c>
    </row>
    <row r="47" spans="1:7" ht="15" customHeight="1" x14ac:dyDescent="0.2">
      <c r="A47" s="42"/>
      <c r="B47" s="42" t="s">
        <v>540</v>
      </c>
      <c r="C47" s="42" t="s">
        <v>499</v>
      </c>
      <c r="D47" s="42" t="s">
        <v>500</v>
      </c>
      <c r="E47" s="42" t="s">
        <v>501</v>
      </c>
    </row>
    <row r="48" spans="1:7" ht="15" customHeight="1" x14ac:dyDescent="0.2">
      <c r="B48" s="43" t="s">
        <v>541</v>
      </c>
      <c r="C48" s="52">
        <f>$C$43*C30+$C$44*C31+$C$45*C32</f>
        <v>32111.4</v>
      </c>
      <c r="D48" s="52">
        <f>$C$43*D30+$C$44*D31+$C$45*D32</f>
        <v>36700.300000000003</v>
      </c>
      <c r="E48" s="52">
        <f>$C$43*E30+$C$44*E31+$C$45*E32</f>
        <v>45878.1</v>
      </c>
      <c r="G48" s="39" t="s">
        <v>542</v>
      </c>
    </row>
    <row r="49" spans="1:7" ht="15" customHeight="1" x14ac:dyDescent="0.2">
      <c r="B49" s="43" t="s">
        <v>543</v>
      </c>
      <c r="C49" s="51">
        <f>C48*SUP_COSTOS!$C$6</f>
        <v>64222.8</v>
      </c>
      <c r="D49" s="51">
        <f>D48*SUP_COSTOS!$C$6</f>
        <v>73400.600000000006</v>
      </c>
      <c r="E49" s="51">
        <f>E48*SUP_COSTOS!$C$6</f>
        <v>91756.2</v>
      </c>
    </row>
    <row r="50" spans="1:7" ht="15" customHeight="1" x14ac:dyDescent="0.2">
      <c r="B50" s="43" t="s">
        <v>544</v>
      </c>
      <c r="C50" s="68">
        <f>C49/1000</f>
        <v>64.222800000000007</v>
      </c>
      <c r="D50" s="68">
        <f>D49/1000</f>
        <v>73.400600000000011</v>
      </c>
      <c r="E50" s="68">
        <f>E49/1000</f>
        <v>91.756199999999993</v>
      </c>
    </row>
    <row r="51" spans="1:7" ht="15" customHeight="1" x14ac:dyDescent="0.2">
      <c r="B51" s="43" t="s">
        <v>545</v>
      </c>
      <c r="C51" s="58">
        <f>C50/200</f>
        <v>0.32111400000000001</v>
      </c>
      <c r="D51" s="58">
        <f>D50/200</f>
        <v>0.36700300000000008</v>
      </c>
      <c r="E51" s="58">
        <f>E50/200</f>
        <v>0.45878099999999994</v>
      </c>
    </row>
    <row r="53" spans="1:7" ht="15" customHeight="1" x14ac:dyDescent="0.2">
      <c r="B53" s="46" t="s">
        <v>546</v>
      </c>
      <c r="C53" s="51">
        <f>SUP_PRECIOS!$J$25</f>
        <v>43696.52634112232</v>
      </c>
    </row>
    <row r="54" spans="1:7" ht="15" customHeight="1" x14ac:dyDescent="0.2">
      <c r="B54" s="46" t="s">
        <v>547</v>
      </c>
      <c r="C54" s="51">
        <f>SUP_PRECIOS!$K$25</f>
        <v>20423.700628094924</v>
      </c>
    </row>
    <row r="55" spans="1:7" ht="15" customHeight="1" x14ac:dyDescent="0.2">
      <c r="B55" s="46" t="s">
        <v>548</v>
      </c>
      <c r="C55" s="52">
        <f>C53*($C$43+$C$44*(1+$C$26)+$C$45*(1+$C$27))</f>
        <v>476292.13711823331</v>
      </c>
      <c r="D55" s="69"/>
      <c r="G55" s="39" t="s">
        <v>549</v>
      </c>
    </row>
    <row r="56" spans="1:7" ht="15" customHeight="1" x14ac:dyDescent="0.2">
      <c r="E56" s="70"/>
    </row>
    <row r="57" spans="1:7" ht="15" customHeight="1" x14ac:dyDescent="0.2">
      <c r="A57" s="40" t="s">
        <v>550</v>
      </c>
      <c r="B57" s="41"/>
      <c r="C57" s="41"/>
      <c r="D57" s="41"/>
      <c r="E57" s="41"/>
      <c r="F57" s="41"/>
      <c r="G57" s="41"/>
    </row>
    <row r="58" spans="1:7" ht="24" customHeight="1" x14ac:dyDescent="0.2">
      <c r="B58" s="21" t="s">
        <v>551</v>
      </c>
    </row>
    <row r="59" spans="1:7" ht="24" customHeight="1" x14ac:dyDescent="0.2">
      <c r="B59" s="21" t="s">
        <v>552</v>
      </c>
    </row>
    <row r="60" spans="1:7" ht="24" customHeight="1" x14ac:dyDescent="0.2">
      <c r="B60" s="21" t="s">
        <v>553</v>
      </c>
    </row>
    <row r="61" spans="1:7" ht="24" customHeight="1" x14ac:dyDescent="0.2">
      <c r="B61" s="21" t="s">
        <v>554</v>
      </c>
    </row>
    <row r="62" spans="1:7" ht="24" customHeight="1" x14ac:dyDescent="0.2">
      <c r="B62" s="21" t="s">
        <v>555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2E75B6"/>
  </sheetPr>
  <dimension ref="A1:I49"/>
  <sheetViews>
    <sheetView zoomScaleNormal="100" workbookViewId="0">
      <selection activeCell="C31" sqref="C31"/>
    </sheetView>
  </sheetViews>
  <sheetFormatPr baseColWidth="10" defaultColWidth="8.6640625" defaultRowHeight="15" x14ac:dyDescent="0.2"/>
  <cols>
    <col min="1" max="1" width="4" customWidth="1"/>
    <col min="2" max="2" width="52" customWidth="1"/>
    <col min="3" max="3" width="12" customWidth="1"/>
    <col min="4" max="6" width="11" customWidth="1"/>
    <col min="7" max="7" width="95" customWidth="1"/>
  </cols>
  <sheetData>
    <row r="1" spans="1:9" ht="15" customHeight="1" x14ac:dyDescent="0.2">
      <c r="A1" s="24" t="s">
        <v>556</v>
      </c>
      <c r="B1" s="14"/>
      <c r="C1" s="14"/>
      <c r="D1" s="14"/>
      <c r="E1" s="14"/>
      <c r="F1" s="14"/>
      <c r="G1" s="14"/>
      <c r="H1" s="14"/>
      <c r="I1" s="14"/>
    </row>
    <row r="2" spans="1:9" ht="15" customHeight="1" x14ac:dyDescent="0.2">
      <c r="A2" s="23" t="s">
        <v>557</v>
      </c>
    </row>
    <row r="3" spans="1:9" ht="15" customHeight="1" x14ac:dyDescent="0.2">
      <c r="A3" s="23" t="s">
        <v>89</v>
      </c>
    </row>
    <row r="5" spans="1:9" ht="15" customHeight="1" x14ac:dyDescent="0.2">
      <c r="A5" s="25" t="s">
        <v>558</v>
      </c>
      <c r="B5" s="26"/>
      <c r="C5" s="26"/>
      <c r="D5" s="26"/>
      <c r="E5" s="26"/>
      <c r="F5" s="26"/>
      <c r="G5" s="26"/>
      <c r="H5" s="26"/>
      <c r="I5" s="26"/>
    </row>
    <row r="6" spans="1:9" ht="15" customHeight="1" x14ac:dyDescent="0.2">
      <c r="B6" s="20" t="s">
        <v>559</v>
      </c>
      <c r="C6" s="20" t="s">
        <v>560</v>
      </c>
      <c r="D6" s="20" t="s">
        <v>275</v>
      </c>
      <c r="E6" s="20" t="s">
        <v>276</v>
      </c>
      <c r="F6" s="20" t="s">
        <v>277</v>
      </c>
    </row>
    <row r="7" spans="1:9" ht="15" customHeight="1" x14ac:dyDescent="0.2">
      <c r="B7" t="s">
        <v>561</v>
      </c>
      <c r="C7" s="71">
        <v>800</v>
      </c>
      <c r="D7" s="30">
        <v>0</v>
      </c>
      <c r="E7" s="30">
        <v>0</v>
      </c>
      <c r="F7" s="30">
        <v>1</v>
      </c>
    </row>
    <row r="8" spans="1:9" ht="15" customHeight="1" x14ac:dyDescent="0.2">
      <c r="B8" t="s">
        <v>562</v>
      </c>
      <c r="C8" s="71">
        <v>400</v>
      </c>
      <c r="D8" s="30">
        <v>1</v>
      </c>
      <c r="E8" s="30">
        <v>1</v>
      </c>
      <c r="F8" s="30">
        <v>3</v>
      </c>
    </row>
    <row r="9" spans="1:9" ht="15" customHeight="1" x14ac:dyDescent="0.2">
      <c r="B9" t="s">
        <v>563</v>
      </c>
      <c r="C9" s="71">
        <v>250</v>
      </c>
      <c r="D9" s="30">
        <v>3</v>
      </c>
      <c r="E9" s="30">
        <v>3</v>
      </c>
      <c r="F9" s="30">
        <v>6</v>
      </c>
    </row>
    <row r="10" spans="1:9" ht="15" customHeight="1" x14ac:dyDescent="0.2">
      <c r="B10" t="s">
        <v>564</v>
      </c>
      <c r="C10" s="71">
        <v>300</v>
      </c>
      <c r="D10" s="30">
        <v>1</v>
      </c>
      <c r="E10" s="30">
        <v>1</v>
      </c>
      <c r="F10" s="30">
        <v>4</v>
      </c>
    </row>
    <row r="11" spans="1:9" ht="15" customHeight="1" x14ac:dyDescent="0.2">
      <c r="B11" t="s">
        <v>565</v>
      </c>
      <c r="C11" s="71">
        <v>250</v>
      </c>
      <c r="D11" s="30">
        <v>0</v>
      </c>
      <c r="E11" s="30">
        <v>1</v>
      </c>
      <c r="F11" s="30">
        <v>2</v>
      </c>
    </row>
    <row r="12" spans="1:9" ht="15" customHeight="1" x14ac:dyDescent="0.2">
      <c r="B12" t="s">
        <v>566</v>
      </c>
      <c r="C12" s="71">
        <v>350</v>
      </c>
      <c r="D12" s="30">
        <v>0</v>
      </c>
      <c r="E12" s="30">
        <v>0</v>
      </c>
      <c r="F12" s="30">
        <v>2</v>
      </c>
    </row>
    <row r="13" spans="1:9" ht="15" customHeight="1" x14ac:dyDescent="0.2">
      <c r="B13" t="s">
        <v>567</v>
      </c>
      <c r="D13" s="72">
        <f>SUMPRODUCT($C$7:$C$12,D7:D12)</f>
        <v>1450</v>
      </c>
      <c r="E13" s="72">
        <f>SUMPRODUCT($C$7:$C$12,E7:E12)</f>
        <v>1700</v>
      </c>
      <c r="F13" s="72">
        <f>SUMPRODUCT($C$7:$C$12,F7:F12)</f>
        <v>5900</v>
      </c>
    </row>
    <row r="14" spans="1:9" ht="15" customHeight="1" x14ac:dyDescent="0.2">
      <c r="B14" t="s">
        <v>568</v>
      </c>
      <c r="C14" s="33">
        <v>0.4</v>
      </c>
      <c r="G14" s="23" t="s">
        <v>569</v>
      </c>
    </row>
    <row r="15" spans="1:9" ht="15" customHeight="1" x14ac:dyDescent="0.2">
      <c r="B15" t="s">
        <v>570</v>
      </c>
      <c r="D15" s="72">
        <f>D13*(1+$C$14)</f>
        <v>2029.9999999999998</v>
      </c>
      <c r="E15" s="72">
        <f>E13*(1+$C$14)</f>
        <v>2380</v>
      </c>
      <c r="F15" s="72">
        <f>F13*(1+$C$14)</f>
        <v>8260</v>
      </c>
    </row>
    <row r="17" spans="1:9" ht="15" customHeight="1" x14ac:dyDescent="0.2">
      <c r="A17" s="25" t="s">
        <v>571</v>
      </c>
      <c r="B17" s="26"/>
      <c r="C17" s="26"/>
      <c r="D17" s="26"/>
      <c r="E17" s="26"/>
      <c r="F17" s="26"/>
      <c r="G17" s="26"/>
      <c r="H17" s="26"/>
      <c r="I17" s="26"/>
    </row>
    <row r="18" spans="1:9" ht="15" customHeight="1" x14ac:dyDescent="0.2">
      <c r="B18" t="s">
        <v>572</v>
      </c>
      <c r="D18" s="73">
        <f>SUP_CAPEX_VENTANA!$C$6</f>
        <v>40</v>
      </c>
      <c r="E18" s="73">
        <f>SUP_CAPEX_DINEIN!$C$6</f>
        <v>80</v>
      </c>
      <c r="F18" s="73">
        <f>SUP_CAPEX_FLAGSHIP!$C$6</f>
        <v>400</v>
      </c>
    </row>
    <row r="19" spans="1:9" ht="15" customHeight="1" x14ac:dyDescent="0.2">
      <c r="B19" t="s">
        <v>573</v>
      </c>
      <c r="D19" s="71">
        <v>50</v>
      </c>
      <c r="E19" s="71">
        <v>40</v>
      </c>
      <c r="F19" s="71">
        <v>25</v>
      </c>
      <c r="G19" s="23" t="s">
        <v>574</v>
      </c>
    </row>
    <row r="20" spans="1:9" ht="15" customHeight="1" x14ac:dyDescent="0.2">
      <c r="B20" t="s">
        <v>575</v>
      </c>
      <c r="D20" s="72">
        <f>D18*D19</f>
        <v>2000</v>
      </c>
      <c r="E20" s="72">
        <f>E18*E19</f>
        <v>3200</v>
      </c>
      <c r="F20" s="72">
        <f>F18*F19</f>
        <v>10000</v>
      </c>
    </row>
    <row r="21" spans="1:9" ht="15" customHeight="1" x14ac:dyDescent="0.2">
      <c r="B21" s="74" t="s">
        <v>576</v>
      </c>
      <c r="D21">
        <f>D8*$C$47+(D9+D10+D11+D12)*$C$46</f>
        <v>115</v>
      </c>
      <c r="E21">
        <f>E8*$C$47+(E9+E10+E11+E12)*$C$46</f>
        <v>135</v>
      </c>
      <c r="F21">
        <f>F8*$C$47+(F9+F10+F11+F12)*$C$46</f>
        <v>385</v>
      </c>
    </row>
    <row r="22" spans="1:9" ht="15" customHeight="1" x14ac:dyDescent="0.2">
      <c r="A22" s="25" t="s">
        <v>577</v>
      </c>
      <c r="B22" s="26"/>
      <c r="C22" s="26"/>
      <c r="D22" s="26"/>
      <c r="E22" s="26"/>
      <c r="F22" s="26"/>
      <c r="G22" s="26"/>
      <c r="H22" s="26"/>
      <c r="I22" s="26"/>
    </row>
    <row r="23" spans="1:9" ht="15" customHeight="1" x14ac:dyDescent="0.2">
      <c r="B23" t="s">
        <v>578</v>
      </c>
      <c r="D23" s="75">
        <f>D15+D20+D21</f>
        <v>4145</v>
      </c>
      <c r="E23" s="75">
        <f>E15+E20+E21</f>
        <v>5715</v>
      </c>
      <c r="F23" s="75">
        <f>F15+F20+F21</f>
        <v>18645</v>
      </c>
    </row>
    <row r="25" spans="1:9" ht="15" customHeight="1" x14ac:dyDescent="0.2">
      <c r="A25" s="25" t="s">
        <v>579</v>
      </c>
      <c r="B25" s="26"/>
      <c r="C25" s="26"/>
      <c r="D25" s="26"/>
      <c r="E25" s="26"/>
      <c r="F25" s="26"/>
      <c r="G25" s="26"/>
      <c r="H25" s="26"/>
      <c r="I25" s="26"/>
    </row>
    <row r="26" spans="1:9" ht="15" customHeight="1" x14ac:dyDescent="0.2">
      <c r="B26" t="s">
        <v>580</v>
      </c>
      <c r="C26" s="35">
        <v>0.05</v>
      </c>
    </row>
    <row r="27" spans="1:9" ht="15" customHeight="1" x14ac:dyDescent="0.2">
      <c r="B27" t="s">
        <v>581</v>
      </c>
      <c r="C27" s="35">
        <v>0.01</v>
      </c>
    </row>
    <row r="28" spans="1:9" ht="15" customHeight="1" x14ac:dyDescent="0.2">
      <c r="B28" t="s">
        <v>582</v>
      </c>
      <c r="C28" s="35">
        <v>0.03</v>
      </c>
    </row>
    <row r="29" spans="1:9" ht="15" customHeight="1" x14ac:dyDescent="0.2">
      <c r="B29" t="s">
        <v>583</v>
      </c>
      <c r="C29" s="35">
        <v>5.0000000000000001E-3</v>
      </c>
    </row>
    <row r="30" spans="1:9" ht="15" customHeight="1" x14ac:dyDescent="0.2">
      <c r="B30" t="s">
        <v>584</v>
      </c>
      <c r="C30" s="76">
        <f>SUM(C26:C29)</f>
        <v>9.5000000000000001E-2</v>
      </c>
    </row>
    <row r="31" spans="1:9" ht="15" customHeight="1" x14ac:dyDescent="0.2">
      <c r="B31" t="s">
        <v>585</v>
      </c>
      <c r="C31" s="35">
        <v>0.03</v>
      </c>
      <c r="G31" s="23" t="s">
        <v>586</v>
      </c>
    </row>
    <row r="33" spans="1:9" ht="15" customHeight="1" x14ac:dyDescent="0.2">
      <c r="A33" s="25" t="s">
        <v>587</v>
      </c>
      <c r="B33" s="26"/>
      <c r="C33" s="26"/>
      <c r="D33" s="26"/>
      <c r="E33" s="26"/>
      <c r="F33" s="26"/>
      <c r="G33" s="26"/>
      <c r="H33" s="26"/>
      <c r="I33" s="26"/>
    </row>
    <row r="34" spans="1:9" ht="15" customHeight="1" x14ac:dyDescent="0.2">
      <c r="B34" t="s">
        <v>588</v>
      </c>
      <c r="C34" s="77">
        <v>0</v>
      </c>
      <c r="G34" s="23" t="s">
        <v>589</v>
      </c>
    </row>
    <row r="35" spans="1:9" ht="15" customHeight="1" x14ac:dyDescent="0.2">
      <c r="B35" s="23" t="s">
        <v>590</v>
      </c>
    </row>
    <row r="37" spans="1:9" ht="15" customHeight="1" x14ac:dyDescent="0.2">
      <c r="A37" s="25" t="s">
        <v>591</v>
      </c>
      <c r="B37" s="26"/>
      <c r="C37" s="26"/>
      <c r="D37" s="26"/>
      <c r="E37" s="26"/>
      <c r="F37" s="26"/>
      <c r="G37" s="26"/>
      <c r="H37" s="26"/>
      <c r="I37" s="26"/>
    </row>
    <row r="38" spans="1:9" ht="15" customHeight="1" x14ac:dyDescent="0.2">
      <c r="B38" t="s">
        <v>592</v>
      </c>
      <c r="C38" s="35">
        <v>0.7</v>
      </c>
    </row>
    <row r="39" spans="1:9" ht="15" customHeight="1" x14ac:dyDescent="0.2">
      <c r="B39" t="s">
        <v>593</v>
      </c>
      <c r="C39" s="35">
        <v>0.85</v>
      </c>
    </row>
    <row r="40" spans="1:9" ht="15" customHeight="1" x14ac:dyDescent="0.2">
      <c r="B40" t="s">
        <v>594</v>
      </c>
      <c r="C40" s="35">
        <v>1</v>
      </c>
      <c r="G40" s="23" t="s">
        <v>595</v>
      </c>
    </row>
    <row r="42" spans="1:9" ht="15" customHeight="1" x14ac:dyDescent="0.2">
      <c r="A42" s="25" t="s">
        <v>596</v>
      </c>
      <c r="B42" s="26"/>
      <c r="C42" s="26"/>
      <c r="D42" s="26"/>
      <c r="E42" s="26"/>
      <c r="F42" s="26"/>
      <c r="G42" s="26"/>
      <c r="H42" s="26"/>
      <c r="I42" s="26"/>
    </row>
    <row r="43" spans="1:9" ht="15" customHeight="1" x14ac:dyDescent="0.2">
      <c r="B43" t="s">
        <v>597</v>
      </c>
      <c r="C43" s="30">
        <v>10</v>
      </c>
      <c r="G43" s="23" t="s">
        <v>598</v>
      </c>
    </row>
    <row r="45" spans="1:9" ht="15" customHeight="1" x14ac:dyDescent="0.2">
      <c r="B45" s="74" t="s">
        <v>599</v>
      </c>
    </row>
    <row r="46" spans="1:9" ht="15" customHeight="1" x14ac:dyDescent="0.2">
      <c r="B46" t="s">
        <v>600</v>
      </c>
      <c r="C46" s="78">
        <v>20</v>
      </c>
    </row>
    <row r="47" spans="1:9" ht="15" customHeight="1" x14ac:dyDescent="0.2">
      <c r="B47" t="s">
        <v>601</v>
      </c>
      <c r="C47" s="78">
        <v>35</v>
      </c>
    </row>
    <row r="48" spans="1:9" ht="15" customHeight="1" x14ac:dyDescent="0.2">
      <c r="B48" t="s">
        <v>602</v>
      </c>
      <c r="C48" s="78">
        <v>100</v>
      </c>
    </row>
    <row r="49" spans="2:2" ht="15" customHeight="1" x14ac:dyDescent="0.2">
      <c r="B49" s="79" t="s">
        <v>603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1F4E79"/>
  </sheetPr>
  <dimension ref="A1:DS43"/>
  <sheetViews>
    <sheetView topLeftCell="A11" zoomScaleNormal="100" workbookViewId="0">
      <selection activeCell="J34" sqref="J34"/>
    </sheetView>
  </sheetViews>
  <sheetFormatPr baseColWidth="10" defaultColWidth="8.6640625" defaultRowHeight="15" x14ac:dyDescent="0.2"/>
  <cols>
    <col min="1" max="1" width="4" customWidth="1"/>
    <col min="2" max="2" width="79.1640625" customWidth="1"/>
    <col min="3" max="3" width="11" customWidth="1"/>
    <col min="4" max="123" width="10" customWidth="1"/>
  </cols>
  <sheetData>
    <row r="1" spans="1:9" ht="15" customHeight="1" x14ac:dyDescent="0.2">
      <c r="A1" s="24" t="s">
        <v>604</v>
      </c>
      <c r="B1" s="14"/>
      <c r="C1" s="14"/>
      <c r="D1" s="14"/>
      <c r="E1" s="14"/>
      <c r="F1" s="14"/>
      <c r="G1" s="14"/>
      <c r="H1" s="14"/>
      <c r="I1" s="14"/>
    </row>
    <row r="2" spans="1:9" ht="15" customHeight="1" x14ac:dyDescent="0.2">
      <c r="A2" s="23" t="s">
        <v>605</v>
      </c>
    </row>
    <row r="3" spans="1:9" ht="15" customHeight="1" x14ac:dyDescent="0.2">
      <c r="A3" s="23" t="s">
        <v>89</v>
      </c>
    </row>
    <row r="5" spans="1:9" ht="15" customHeight="1" x14ac:dyDescent="0.2">
      <c r="A5" s="25" t="s">
        <v>606</v>
      </c>
      <c r="B5" s="26"/>
      <c r="C5" s="26"/>
      <c r="D5" s="26"/>
      <c r="E5" s="26"/>
      <c r="F5" s="26"/>
      <c r="G5" s="26"/>
      <c r="H5" s="26"/>
      <c r="I5" s="26"/>
    </row>
    <row r="6" spans="1:9" ht="15" customHeight="1" x14ac:dyDescent="0.2">
      <c r="B6" t="s">
        <v>607</v>
      </c>
      <c r="C6" s="71">
        <v>4000</v>
      </c>
    </row>
    <row r="7" spans="1:9" ht="15" customHeight="1" x14ac:dyDescent="0.2">
      <c r="B7" t="s">
        <v>608</v>
      </c>
      <c r="C7" s="71">
        <v>3000</v>
      </c>
    </row>
    <row r="8" spans="1:9" ht="15" customHeight="1" x14ac:dyDescent="0.2">
      <c r="B8" t="s">
        <v>609</v>
      </c>
      <c r="C8" s="71">
        <v>1000</v>
      </c>
    </row>
    <row r="9" spans="1:9" ht="15" customHeight="1" x14ac:dyDescent="0.2">
      <c r="B9" t="s">
        <v>610</v>
      </c>
      <c r="C9" s="71">
        <v>500</v>
      </c>
    </row>
    <row r="10" spans="1:9" ht="15" customHeight="1" x14ac:dyDescent="0.2">
      <c r="B10" t="s">
        <v>611</v>
      </c>
      <c r="C10" s="72">
        <f>SUM(C6:C9)+C13+C14</f>
        <v>10500</v>
      </c>
    </row>
    <row r="11" spans="1:9" ht="15" customHeight="1" x14ac:dyDescent="0.2">
      <c r="B11" t="s">
        <v>612</v>
      </c>
      <c r="C11" s="36">
        <f>SUP_OPEX!$C$14</f>
        <v>0.4</v>
      </c>
    </row>
    <row r="12" spans="1:9" ht="15" customHeight="1" x14ac:dyDescent="0.2">
      <c r="B12" t="s">
        <v>613</v>
      </c>
      <c r="C12" s="80">
        <f>C10*(1+C11)+C18</f>
        <v>15039.999999999998</v>
      </c>
      <c r="G12" s="23" t="s">
        <v>614</v>
      </c>
    </row>
    <row r="13" spans="1:9" ht="15" customHeight="1" x14ac:dyDescent="0.2">
      <c r="B13" t="s">
        <v>615</v>
      </c>
      <c r="C13" s="78">
        <v>1200</v>
      </c>
    </row>
    <row r="14" spans="1:9" ht="15" customHeight="1" x14ac:dyDescent="0.2">
      <c r="A14" s="25" t="s">
        <v>616</v>
      </c>
      <c r="B14" s="26" t="s">
        <v>617</v>
      </c>
      <c r="C14" s="81">
        <v>800</v>
      </c>
      <c r="D14" s="26"/>
      <c r="E14" s="26"/>
      <c r="F14" s="26"/>
      <c r="G14" s="26"/>
      <c r="H14" s="26"/>
      <c r="I14" s="26"/>
    </row>
    <row r="15" spans="1:9" ht="15" customHeight="1" x14ac:dyDescent="0.2">
      <c r="B15" t="s">
        <v>618</v>
      </c>
      <c r="C15" s="71">
        <v>1200</v>
      </c>
    </row>
    <row r="16" spans="1:9" ht="15" customHeight="1" x14ac:dyDescent="0.2">
      <c r="B16" t="s">
        <v>619</v>
      </c>
      <c r="C16" s="30">
        <v>10</v>
      </c>
      <c r="G16" s="23" t="s">
        <v>620</v>
      </c>
    </row>
    <row r="17" spans="1:123" ht="15" customHeight="1" x14ac:dyDescent="0.2">
      <c r="B17" t="s">
        <v>621</v>
      </c>
      <c r="C17" s="30">
        <v>10</v>
      </c>
    </row>
    <row r="18" spans="1:123" ht="15" customHeight="1" x14ac:dyDescent="0.2">
      <c r="B18" s="74" t="s">
        <v>622</v>
      </c>
      <c r="C18">
        <f>2*SUP_OPEX!$C$48+4*SUP_OPEX!$C$47</f>
        <v>340</v>
      </c>
    </row>
    <row r="19" spans="1:123" ht="15" customHeight="1" x14ac:dyDescent="0.2">
      <c r="A19" s="25" t="s">
        <v>623</v>
      </c>
      <c r="B19" s="82" t="s">
        <v>624</v>
      </c>
      <c r="C19" s="26">
        <f>SUP_OPEX!$C$47</f>
        <v>35</v>
      </c>
      <c r="D19" s="26"/>
      <c r="E19" s="26"/>
      <c r="F19" s="26"/>
      <c r="G19" s="26"/>
      <c r="H19" s="26"/>
      <c r="I19" s="26"/>
    </row>
    <row r="20" spans="1:123" ht="15" customHeight="1" x14ac:dyDescent="0.2">
      <c r="B20" t="s">
        <v>625</v>
      </c>
      <c r="C20" s="83">
        <v>1</v>
      </c>
      <c r="D20" s="83">
        <v>2</v>
      </c>
      <c r="E20" s="83">
        <v>3</v>
      </c>
      <c r="F20" s="83">
        <v>4</v>
      </c>
      <c r="G20" s="83">
        <v>5</v>
      </c>
      <c r="H20" s="83">
        <v>6</v>
      </c>
      <c r="I20" s="83">
        <v>7</v>
      </c>
      <c r="J20" s="83">
        <v>8</v>
      </c>
      <c r="K20" s="83">
        <v>9</v>
      </c>
      <c r="L20" s="83">
        <v>10</v>
      </c>
    </row>
    <row r="21" spans="1:123" ht="15" customHeight="1" x14ac:dyDescent="0.2">
      <c r="B21" t="s">
        <v>626</v>
      </c>
      <c r="C21" s="35">
        <v>0.08</v>
      </c>
      <c r="D21" s="35">
        <v>7.0000000000000007E-2</v>
      </c>
      <c r="E21" s="35">
        <v>0.06</v>
      </c>
      <c r="F21" s="35">
        <v>5.5E-2</v>
      </c>
      <c r="G21" s="35">
        <v>0.05</v>
      </c>
      <c r="H21" s="35">
        <v>4.4999999999999998E-2</v>
      </c>
      <c r="I21" s="35">
        <v>0.04</v>
      </c>
      <c r="J21" s="35">
        <v>0.04</v>
      </c>
      <c r="K21" s="35">
        <v>0.04</v>
      </c>
      <c r="L21" s="35">
        <v>0.04</v>
      </c>
    </row>
    <row r="22" spans="1:123" ht="45" customHeight="1" x14ac:dyDescent="0.2">
      <c r="B22" s="4" t="s">
        <v>627</v>
      </c>
      <c r="C22" s="4"/>
      <c r="D22" s="4"/>
      <c r="E22" s="4"/>
      <c r="F22" s="4"/>
      <c r="G22" s="4"/>
      <c r="H22" s="4"/>
      <c r="I22" s="4"/>
      <c r="J22" s="4"/>
      <c r="K22" s="4"/>
      <c r="L22" s="4"/>
    </row>
    <row r="24" spans="1:123" ht="15" customHeight="1" x14ac:dyDescent="0.2">
      <c r="A24" s="25" t="s">
        <v>628</v>
      </c>
      <c r="B24" s="26"/>
      <c r="C24" s="26"/>
      <c r="D24" s="26"/>
      <c r="E24" s="26"/>
      <c r="F24" s="26"/>
      <c r="G24" s="26"/>
      <c r="H24" s="26"/>
      <c r="I24" s="26"/>
    </row>
    <row r="25" spans="1:123" ht="35" customHeight="1" x14ac:dyDescent="0.2">
      <c r="B25" t="s">
        <v>629</v>
      </c>
      <c r="C25" s="85">
        <f>SUP_TECNOLOGIA!$C$23</f>
        <v>675</v>
      </c>
    </row>
    <row r="27" spans="1:123" ht="15" customHeight="1" x14ac:dyDescent="0.2">
      <c r="B27" s="86" t="s">
        <v>630</v>
      </c>
      <c r="C27" s="78">
        <v>2</v>
      </c>
    </row>
    <row r="28" spans="1:123" ht="15" customHeight="1" x14ac:dyDescent="0.2">
      <c r="A28" s="25" t="s">
        <v>631</v>
      </c>
      <c r="B28" s="26"/>
      <c r="C28" s="26"/>
    </row>
    <row r="29" spans="1:123" ht="15" customHeight="1" x14ac:dyDescent="0.2">
      <c r="B29" s="20" t="s">
        <v>632</v>
      </c>
      <c r="D29" s="87">
        <v>1</v>
      </c>
      <c r="E29" s="87">
        <v>2</v>
      </c>
      <c r="F29" s="87">
        <v>3</v>
      </c>
      <c r="G29" s="87">
        <v>4</v>
      </c>
      <c r="H29" s="87">
        <v>5</v>
      </c>
      <c r="I29" s="87">
        <v>6</v>
      </c>
      <c r="J29" s="87">
        <v>7</v>
      </c>
      <c r="K29" s="87">
        <v>8</v>
      </c>
      <c r="L29" s="87">
        <v>9</v>
      </c>
      <c r="M29" s="87">
        <v>10</v>
      </c>
      <c r="N29" s="87">
        <v>11</v>
      </c>
      <c r="O29" s="87">
        <v>12</v>
      </c>
      <c r="P29" s="87">
        <v>13</v>
      </c>
      <c r="Q29" s="87">
        <v>14</v>
      </c>
      <c r="R29" s="87">
        <v>15</v>
      </c>
      <c r="S29" s="87">
        <v>16</v>
      </c>
      <c r="T29" s="87">
        <v>17</v>
      </c>
      <c r="U29" s="87">
        <v>18</v>
      </c>
      <c r="V29" s="87">
        <v>19</v>
      </c>
      <c r="W29" s="87">
        <v>20</v>
      </c>
      <c r="X29" s="87">
        <v>21</v>
      </c>
      <c r="Y29" s="87">
        <v>22</v>
      </c>
      <c r="Z29" s="87">
        <v>23</v>
      </c>
      <c r="AA29" s="87">
        <v>24</v>
      </c>
      <c r="AB29" s="87">
        <v>25</v>
      </c>
      <c r="AC29" s="87">
        <v>26</v>
      </c>
      <c r="AD29" s="87">
        <v>27</v>
      </c>
      <c r="AE29" s="87">
        <v>28</v>
      </c>
      <c r="AF29" s="87">
        <v>29</v>
      </c>
      <c r="AG29" s="87">
        <v>30</v>
      </c>
      <c r="AH29" s="87">
        <v>31</v>
      </c>
      <c r="AI29" s="87">
        <v>32</v>
      </c>
      <c r="AJ29" s="87">
        <v>33</v>
      </c>
      <c r="AK29" s="87">
        <v>34</v>
      </c>
      <c r="AL29" s="87">
        <v>35</v>
      </c>
      <c r="AM29" s="87">
        <v>36</v>
      </c>
      <c r="AN29" s="87">
        <v>37</v>
      </c>
      <c r="AO29" s="87">
        <v>38</v>
      </c>
      <c r="AP29" s="87">
        <v>39</v>
      </c>
      <c r="AQ29" s="87">
        <v>40</v>
      </c>
      <c r="AR29" s="87">
        <v>41</v>
      </c>
      <c r="AS29" s="87">
        <v>42</v>
      </c>
      <c r="AT29" s="87">
        <v>43</v>
      </c>
      <c r="AU29" s="87">
        <v>44</v>
      </c>
      <c r="AV29" s="87">
        <v>45</v>
      </c>
      <c r="AW29" s="87">
        <v>46</v>
      </c>
      <c r="AX29" s="87">
        <v>47</v>
      </c>
      <c r="AY29" s="87">
        <v>48</v>
      </c>
      <c r="AZ29" s="87">
        <v>49</v>
      </c>
      <c r="BA29" s="87">
        <v>50</v>
      </c>
      <c r="BB29" s="87">
        <v>51</v>
      </c>
      <c r="BC29" s="87">
        <v>52</v>
      </c>
      <c r="BD29" s="87">
        <v>53</v>
      </c>
      <c r="BE29" s="87">
        <v>54</v>
      </c>
      <c r="BF29" s="87">
        <v>55</v>
      </c>
      <c r="BG29" s="87">
        <v>56</v>
      </c>
      <c r="BH29" s="87">
        <v>57</v>
      </c>
      <c r="BI29" s="87">
        <v>58</v>
      </c>
      <c r="BJ29" s="87">
        <v>59</v>
      </c>
      <c r="BK29" s="87">
        <v>60</v>
      </c>
      <c r="BL29" s="87">
        <v>61</v>
      </c>
      <c r="BM29" s="87">
        <v>62</v>
      </c>
      <c r="BN29" s="87">
        <v>63</v>
      </c>
      <c r="BO29" s="87">
        <v>64</v>
      </c>
      <c r="BP29" s="87">
        <v>65</v>
      </c>
      <c r="BQ29" s="87">
        <v>66</v>
      </c>
      <c r="BR29" s="87">
        <v>67</v>
      </c>
      <c r="BS29" s="87">
        <v>68</v>
      </c>
      <c r="BT29" s="87">
        <v>69</v>
      </c>
      <c r="BU29" s="87">
        <v>70</v>
      </c>
      <c r="BV29" s="87">
        <v>71</v>
      </c>
      <c r="BW29" s="87">
        <v>72</v>
      </c>
      <c r="BX29" s="87">
        <v>73</v>
      </c>
      <c r="BY29" s="87">
        <v>74</v>
      </c>
      <c r="BZ29" s="87">
        <v>75</v>
      </c>
      <c r="CA29" s="87">
        <v>76</v>
      </c>
      <c r="CB29" s="87">
        <v>77</v>
      </c>
      <c r="CC29" s="87">
        <v>78</v>
      </c>
      <c r="CD29" s="87">
        <v>79</v>
      </c>
      <c r="CE29" s="87">
        <v>80</v>
      </c>
      <c r="CF29" s="87">
        <v>81</v>
      </c>
      <c r="CG29" s="87">
        <v>82</v>
      </c>
      <c r="CH29" s="87">
        <v>83</v>
      </c>
      <c r="CI29" s="87">
        <v>84</v>
      </c>
      <c r="CJ29" s="87">
        <v>85</v>
      </c>
      <c r="CK29" s="87">
        <v>86</v>
      </c>
      <c r="CL29" s="87">
        <v>87</v>
      </c>
      <c r="CM29" s="87">
        <v>88</v>
      </c>
      <c r="CN29" s="87">
        <v>89</v>
      </c>
      <c r="CO29" s="87">
        <v>90</v>
      </c>
      <c r="CP29" s="87">
        <v>91</v>
      </c>
      <c r="CQ29" s="87">
        <v>92</v>
      </c>
      <c r="CR29" s="87">
        <v>93</v>
      </c>
      <c r="CS29" s="87">
        <v>94</v>
      </c>
      <c r="CT29" s="87">
        <v>95</v>
      </c>
      <c r="CU29" s="87">
        <v>96</v>
      </c>
      <c r="CV29" s="87">
        <v>97</v>
      </c>
      <c r="CW29" s="87">
        <v>98</v>
      </c>
      <c r="CX29" s="87">
        <v>99</v>
      </c>
      <c r="CY29" s="87">
        <v>100</v>
      </c>
      <c r="CZ29" s="87">
        <v>101</v>
      </c>
      <c r="DA29" s="87">
        <v>102</v>
      </c>
      <c r="DB29" s="87">
        <v>103</v>
      </c>
      <c r="DC29" s="87">
        <v>104</v>
      </c>
      <c r="DD29" s="87">
        <v>105</v>
      </c>
      <c r="DE29" s="87">
        <v>106</v>
      </c>
      <c r="DF29" s="87">
        <v>107</v>
      </c>
      <c r="DG29" s="87">
        <v>108</v>
      </c>
      <c r="DH29" s="87">
        <v>109</v>
      </c>
      <c r="DI29" s="87">
        <v>110</v>
      </c>
      <c r="DJ29" s="87">
        <v>111</v>
      </c>
      <c r="DK29" s="87">
        <v>112</v>
      </c>
      <c r="DL29" s="87">
        <v>113</v>
      </c>
      <c r="DM29" s="87">
        <v>114</v>
      </c>
      <c r="DN29" s="87">
        <v>115</v>
      </c>
      <c r="DO29" s="87">
        <v>116</v>
      </c>
      <c r="DP29" s="87">
        <v>117</v>
      </c>
      <c r="DQ29" s="87">
        <v>118</v>
      </c>
      <c r="DR29" s="87">
        <v>119</v>
      </c>
      <c r="DS29" s="87">
        <v>120</v>
      </c>
    </row>
    <row r="30" spans="1:123" ht="15" customHeight="1" x14ac:dyDescent="0.2">
      <c r="B30" s="37" t="s">
        <v>633</v>
      </c>
      <c r="D30" s="88">
        <f>CAPA3_EXPANSION!D35</f>
        <v>0</v>
      </c>
      <c r="E30" s="88">
        <f>CAPA3_EXPANSION!E35</f>
        <v>0</v>
      </c>
      <c r="F30" s="88">
        <f>CAPA3_EXPANSION!F35</f>
        <v>0</v>
      </c>
      <c r="G30" s="88">
        <f>CAPA3_EXPANSION!G35</f>
        <v>2</v>
      </c>
      <c r="H30" s="88">
        <f>CAPA3_EXPANSION!H35</f>
        <v>4</v>
      </c>
      <c r="I30" s="88">
        <f>CAPA3_EXPANSION!I35</f>
        <v>6</v>
      </c>
      <c r="J30" s="88">
        <f>CAPA3_EXPANSION!J35</f>
        <v>8</v>
      </c>
      <c r="K30" s="88">
        <f>CAPA3_EXPANSION!K35</f>
        <v>10</v>
      </c>
      <c r="L30" s="88">
        <f>CAPA3_EXPANSION!L35</f>
        <v>10</v>
      </c>
      <c r="M30" s="88">
        <f>CAPA3_EXPANSION!M35</f>
        <v>10</v>
      </c>
      <c r="N30" s="88">
        <f>CAPA3_EXPANSION!N35</f>
        <v>10</v>
      </c>
      <c r="O30" s="88">
        <f>CAPA3_EXPANSION!O35</f>
        <v>10</v>
      </c>
      <c r="P30" s="88">
        <f>CAPA3_EXPANSION!P35</f>
        <v>10</v>
      </c>
      <c r="Q30" s="88">
        <f>CAPA3_EXPANSION!Q35</f>
        <v>11</v>
      </c>
      <c r="R30" s="88">
        <f>CAPA3_EXPANSION!R35</f>
        <v>11</v>
      </c>
      <c r="S30" s="88">
        <f>CAPA3_EXPANSION!S35</f>
        <v>12</v>
      </c>
      <c r="T30" s="88">
        <f>CAPA3_EXPANSION!T35</f>
        <v>13</v>
      </c>
      <c r="U30" s="88">
        <f>CAPA3_EXPANSION!U35</f>
        <v>13</v>
      </c>
      <c r="V30" s="88">
        <f>CAPA3_EXPANSION!V35</f>
        <v>13</v>
      </c>
      <c r="W30" s="88">
        <f>CAPA3_EXPANSION!W35</f>
        <v>13</v>
      </c>
      <c r="X30" s="88">
        <f>CAPA3_EXPANSION!X35</f>
        <v>13</v>
      </c>
      <c r="Y30" s="88">
        <f>CAPA3_EXPANSION!Y35</f>
        <v>13</v>
      </c>
      <c r="Z30" s="88">
        <f>CAPA3_EXPANSION!Z35</f>
        <v>13</v>
      </c>
      <c r="AA30" s="88">
        <f>CAPA3_EXPANSION!AA35</f>
        <v>13</v>
      </c>
      <c r="AB30" s="88">
        <f>CAPA3_EXPANSION!AB35</f>
        <v>13</v>
      </c>
      <c r="AC30" s="88">
        <f>CAPA3_EXPANSION!AC35</f>
        <v>14</v>
      </c>
      <c r="AD30" s="88">
        <f>CAPA3_EXPANSION!AD35</f>
        <v>15</v>
      </c>
      <c r="AE30" s="88">
        <f>CAPA3_EXPANSION!AE35</f>
        <v>15</v>
      </c>
      <c r="AF30" s="88">
        <f>CAPA3_EXPANSION!AF35</f>
        <v>16</v>
      </c>
      <c r="AG30" s="88">
        <f>CAPA3_EXPANSION!AG35</f>
        <v>17</v>
      </c>
      <c r="AH30" s="88">
        <f>CAPA3_EXPANSION!AH35</f>
        <v>17</v>
      </c>
      <c r="AI30" s="88">
        <f>CAPA3_EXPANSION!AI35</f>
        <v>17</v>
      </c>
      <c r="AJ30" s="88">
        <f>CAPA3_EXPANSION!AJ35</f>
        <v>18</v>
      </c>
      <c r="AK30" s="88">
        <f>CAPA3_EXPANSION!AK35</f>
        <v>19</v>
      </c>
      <c r="AL30" s="88">
        <f>CAPA3_EXPANSION!AL35</f>
        <v>20</v>
      </c>
      <c r="AM30" s="88">
        <f>CAPA3_EXPANSION!AM35</f>
        <v>21</v>
      </c>
      <c r="AN30" s="88">
        <f>CAPA3_EXPANSION!AN35</f>
        <v>21</v>
      </c>
      <c r="AO30" s="88">
        <f>CAPA3_EXPANSION!AO35</f>
        <v>22</v>
      </c>
      <c r="AP30" s="88">
        <f>CAPA3_EXPANSION!AP35</f>
        <v>22</v>
      </c>
      <c r="AQ30" s="88">
        <f>CAPA3_EXPANSION!AQ35</f>
        <v>23</v>
      </c>
      <c r="AR30" s="88">
        <f>CAPA3_EXPANSION!AR35</f>
        <v>24</v>
      </c>
      <c r="AS30" s="88">
        <f>CAPA3_EXPANSION!AS35</f>
        <v>24</v>
      </c>
      <c r="AT30" s="88">
        <f>CAPA3_EXPANSION!AT35</f>
        <v>24</v>
      </c>
      <c r="AU30" s="88">
        <f>CAPA3_EXPANSION!AU35</f>
        <v>24</v>
      </c>
      <c r="AV30" s="88">
        <f>CAPA3_EXPANSION!AV35</f>
        <v>24</v>
      </c>
      <c r="AW30" s="88">
        <f>CAPA3_EXPANSION!AW35</f>
        <v>24</v>
      </c>
      <c r="AX30" s="88">
        <f>CAPA3_EXPANSION!AX35</f>
        <v>24</v>
      </c>
      <c r="AY30" s="88">
        <f>CAPA3_EXPANSION!AY35</f>
        <v>24</v>
      </c>
      <c r="AZ30" s="88">
        <f>CAPA3_EXPANSION!AZ35</f>
        <v>24</v>
      </c>
      <c r="BA30" s="88">
        <f>CAPA3_EXPANSION!BA35</f>
        <v>25</v>
      </c>
      <c r="BB30" s="88">
        <f>CAPA3_EXPANSION!BB35</f>
        <v>26</v>
      </c>
      <c r="BC30" s="88">
        <f>CAPA3_EXPANSION!BC35</f>
        <v>27</v>
      </c>
      <c r="BD30" s="88">
        <f>CAPA3_EXPANSION!BD35</f>
        <v>28</v>
      </c>
      <c r="BE30" s="88">
        <f>CAPA3_EXPANSION!BE35</f>
        <v>29</v>
      </c>
      <c r="BF30" s="88">
        <f>CAPA3_EXPANSION!BF35</f>
        <v>30</v>
      </c>
      <c r="BG30" s="88">
        <f>CAPA3_EXPANSION!BG35</f>
        <v>31</v>
      </c>
      <c r="BH30" s="88">
        <f>CAPA3_EXPANSION!BH35</f>
        <v>32</v>
      </c>
      <c r="BI30" s="88">
        <f>CAPA3_EXPANSION!BI35</f>
        <v>33</v>
      </c>
      <c r="BJ30" s="88">
        <f>CAPA3_EXPANSION!BJ35</f>
        <v>34</v>
      </c>
      <c r="BK30" s="88">
        <f>CAPA3_EXPANSION!BK35</f>
        <v>35</v>
      </c>
      <c r="BL30" s="88">
        <f>CAPA3_EXPANSION!BL35</f>
        <v>36</v>
      </c>
      <c r="BM30" s="88">
        <f>CAPA3_EXPANSION!BM35</f>
        <v>37</v>
      </c>
      <c r="BN30" s="88">
        <f>CAPA3_EXPANSION!BN35</f>
        <v>38</v>
      </c>
      <c r="BO30" s="88">
        <f>CAPA3_EXPANSION!BO35</f>
        <v>39</v>
      </c>
      <c r="BP30" s="88">
        <f>CAPA3_EXPANSION!BP35</f>
        <v>40</v>
      </c>
      <c r="BQ30" s="88">
        <f>CAPA3_EXPANSION!BQ35</f>
        <v>41</v>
      </c>
      <c r="BR30" s="88">
        <f>CAPA3_EXPANSION!BR35</f>
        <v>42</v>
      </c>
      <c r="BS30" s="88">
        <f>CAPA3_EXPANSION!BS35</f>
        <v>43</v>
      </c>
      <c r="BT30" s="88">
        <f>CAPA3_EXPANSION!BT35</f>
        <v>44</v>
      </c>
      <c r="BU30" s="88">
        <f>CAPA3_EXPANSION!BU35</f>
        <v>45</v>
      </c>
      <c r="BV30" s="88">
        <f>CAPA3_EXPANSION!BV35</f>
        <v>46</v>
      </c>
      <c r="BW30" s="88">
        <f>CAPA3_EXPANSION!BW35</f>
        <v>47</v>
      </c>
      <c r="BX30" s="88">
        <f>CAPA3_EXPANSION!BX35</f>
        <v>48</v>
      </c>
      <c r="BY30" s="88">
        <f>CAPA3_EXPANSION!BY35</f>
        <v>49</v>
      </c>
      <c r="BZ30" s="88">
        <f>CAPA3_EXPANSION!BZ35</f>
        <v>50</v>
      </c>
      <c r="CA30" s="88">
        <f>CAPA3_EXPANSION!CA35</f>
        <v>50</v>
      </c>
      <c r="CB30" s="88">
        <f>CAPA3_EXPANSION!CB35</f>
        <v>50</v>
      </c>
      <c r="CC30" s="88">
        <f>CAPA3_EXPANSION!CC35</f>
        <v>50</v>
      </c>
      <c r="CD30" s="88">
        <f>CAPA3_EXPANSION!CD35</f>
        <v>50</v>
      </c>
      <c r="CE30" s="88">
        <f>CAPA3_EXPANSION!CE35</f>
        <v>50</v>
      </c>
      <c r="CF30" s="88">
        <f>CAPA3_EXPANSION!CF35</f>
        <v>50</v>
      </c>
      <c r="CG30" s="88">
        <f>CAPA3_EXPANSION!CG35</f>
        <v>50</v>
      </c>
      <c r="CH30" s="88">
        <f>CAPA3_EXPANSION!CH35</f>
        <v>50</v>
      </c>
      <c r="CI30" s="88">
        <f>CAPA3_EXPANSION!CI35</f>
        <v>50</v>
      </c>
      <c r="CJ30" s="88">
        <f>CAPA3_EXPANSION!CJ35</f>
        <v>50</v>
      </c>
      <c r="CK30" s="88">
        <f>CAPA3_EXPANSION!CK35</f>
        <v>50</v>
      </c>
      <c r="CL30" s="88">
        <f>CAPA3_EXPANSION!CL35</f>
        <v>50</v>
      </c>
      <c r="CM30" s="88">
        <f>CAPA3_EXPANSION!CM35</f>
        <v>50</v>
      </c>
      <c r="CN30" s="88">
        <f>CAPA3_EXPANSION!CN35</f>
        <v>50</v>
      </c>
      <c r="CO30" s="88">
        <f>CAPA3_EXPANSION!CO35</f>
        <v>50</v>
      </c>
      <c r="CP30" s="88">
        <f>CAPA3_EXPANSION!CP35</f>
        <v>50</v>
      </c>
      <c r="CQ30" s="88">
        <f>CAPA3_EXPANSION!CQ35</f>
        <v>50</v>
      </c>
      <c r="CR30" s="88">
        <f>CAPA3_EXPANSION!CR35</f>
        <v>50</v>
      </c>
      <c r="CS30" s="88">
        <f>CAPA3_EXPANSION!CS35</f>
        <v>50</v>
      </c>
      <c r="CT30" s="88">
        <f>CAPA3_EXPANSION!CT35</f>
        <v>50</v>
      </c>
      <c r="CU30" s="88">
        <f>CAPA3_EXPANSION!CU35</f>
        <v>50</v>
      </c>
      <c r="CV30" s="88">
        <f>CAPA3_EXPANSION!CV35</f>
        <v>50</v>
      </c>
      <c r="CW30" s="88">
        <f>CAPA3_EXPANSION!CW35</f>
        <v>50</v>
      </c>
      <c r="CX30" s="88">
        <f>CAPA3_EXPANSION!CX35</f>
        <v>50</v>
      </c>
      <c r="CY30" s="88">
        <f>CAPA3_EXPANSION!CY35</f>
        <v>50</v>
      </c>
      <c r="CZ30" s="88">
        <f>CAPA3_EXPANSION!CZ35</f>
        <v>50</v>
      </c>
      <c r="DA30" s="88">
        <f>CAPA3_EXPANSION!DA35</f>
        <v>50</v>
      </c>
      <c r="DB30" s="88">
        <f>CAPA3_EXPANSION!DB35</f>
        <v>50</v>
      </c>
      <c r="DC30" s="88">
        <f>CAPA3_EXPANSION!DC35</f>
        <v>50</v>
      </c>
      <c r="DD30" s="88">
        <f>CAPA3_EXPANSION!DD35</f>
        <v>50</v>
      </c>
      <c r="DE30" s="88">
        <f>CAPA3_EXPANSION!DE35</f>
        <v>50</v>
      </c>
      <c r="DF30" s="88">
        <f>CAPA3_EXPANSION!DF35</f>
        <v>50</v>
      </c>
      <c r="DG30" s="88">
        <f>CAPA3_EXPANSION!DG35</f>
        <v>50</v>
      </c>
      <c r="DH30" s="88">
        <f>CAPA3_EXPANSION!DH35</f>
        <v>50</v>
      </c>
      <c r="DI30" s="88">
        <f>CAPA3_EXPANSION!DI35</f>
        <v>50</v>
      </c>
      <c r="DJ30" s="88">
        <f>CAPA3_EXPANSION!DJ35</f>
        <v>50</v>
      </c>
      <c r="DK30" s="88">
        <f>CAPA3_EXPANSION!DK35</f>
        <v>50</v>
      </c>
      <c r="DL30" s="88">
        <f>CAPA3_EXPANSION!DL35</f>
        <v>50</v>
      </c>
      <c r="DM30" s="88">
        <f>CAPA3_EXPANSION!DM35</f>
        <v>50</v>
      </c>
      <c r="DN30" s="88">
        <f>CAPA3_EXPANSION!DN35</f>
        <v>50</v>
      </c>
      <c r="DO30" s="88">
        <f>CAPA3_EXPANSION!DO35</f>
        <v>50</v>
      </c>
      <c r="DP30" s="88">
        <f>CAPA3_EXPANSION!DP35</f>
        <v>50</v>
      </c>
      <c r="DQ30" s="88">
        <f>CAPA3_EXPANSION!DQ35</f>
        <v>50</v>
      </c>
      <c r="DR30" s="88">
        <f>CAPA3_EXPANSION!DR35</f>
        <v>50</v>
      </c>
      <c r="DS30" s="88">
        <f>CAPA3_EXPANSION!DS35</f>
        <v>50</v>
      </c>
    </row>
    <row r="31" spans="1:123" ht="15" customHeight="1" x14ac:dyDescent="0.2">
      <c r="B31" s="37" t="s">
        <v>634</v>
      </c>
      <c r="D31" s="88">
        <f t="shared" ref="D31:AI31" si="0">IF(D30&lt;=$C$17,0,ROUNDUP(D30/$C$16,0))</f>
        <v>0</v>
      </c>
      <c r="E31" s="88">
        <f t="shared" si="0"/>
        <v>0</v>
      </c>
      <c r="F31" s="88">
        <f t="shared" si="0"/>
        <v>0</v>
      </c>
      <c r="G31" s="88">
        <f t="shared" si="0"/>
        <v>0</v>
      </c>
      <c r="H31" s="88">
        <f t="shared" si="0"/>
        <v>0</v>
      </c>
      <c r="I31" s="88">
        <f t="shared" si="0"/>
        <v>0</v>
      </c>
      <c r="J31" s="88">
        <f t="shared" si="0"/>
        <v>0</v>
      </c>
      <c r="K31" s="88">
        <f t="shared" si="0"/>
        <v>0</v>
      </c>
      <c r="L31" s="88">
        <f t="shared" si="0"/>
        <v>0</v>
      </c>
      <c r="M31" s="88">
        <f t="shared" si="0"/>
        <v>0</v>
      </c>
      <c r="N31" s="88">
        <f t="shared" si="0"/>
        <v>0</v>
      </c>
      <c r="O31" s="88">
        <f t="shared" si="0"/>
        <v>0</v>
      </c>
      <c r="P31" s="88">
        <f t="shared" si="0"/>
        <v>0</v>
      </c>
      <c r="Q31" s="88">
        <f t="shared" si="0"/>
        <v>2</v>
      </c>
      <c r="R31" s="88">
        <f t="shared" si="0"/>
        <v>2</v>
      </c>
      <c r="S31" s="88">
        <f t="shared" si="0"/>
        <v>2</v>
      </c>
      <c r="T31" s="88">
        <f t="shared" si="0"/>
        <v>2</v>
      </c>
      <c r="U31" s="88">
        <f t="shared" si="0"/>
        <v>2</v>
      </c>
      <c r="V31" s="88">
        <f t="shared" si="0"/>
        <v>2</v>
      </c>
      <c r="W31" s="88">
        <f t="shared" si="0"/>
        <v>2</v>
      </c>
      <c r="X31" s="88">
        <f t="shared" si="0"/>
        <v>2</v>
      </c>
      <c r="Y31" s="88">
        <f t="shared" si="0"/>
        <v>2</v>
      </c>
      <c r="Z31" s="88">
        <f t="shared" si="0"/>
        <v>2</v>
      </c>
      <c r="AA31" s="88">
        <f t="shared" si="0"/>
        <v>2</v>
      </c>
      <c r="AB31" s="88">
        <f t="shared" si="0"/>
        <v>2</v>
      </c>
      <c r="AC31" s="88">
        <f t="shared" si="0"/>
        <v>2</v>
      </c>
      <c r="AD31" s="88">
        <f t="shared" si="0"/>
        <v>2</v>
      </c>
      <c r="AE31" s="88">
        <f t="shared" si="0"/>
        <v>2</v>
      </c>
      <c r="AF31" s="88">
        <f t="shared" si="0"/>
        <v>2</v>
      </c>
      <c r="AG31" s="88">
        <f t="shared" si="0"/>
        <v>2</v>
      </c>
      <c r="AH31" s="88">
        <f t="shared" si="0"/>
        <v>2</v>
      </c>
      <c r="AI31" s="88">
        <f t="shared" si="0"/>
        <v>2</v>
      </c>
      <c r="AJ31" s="88">
        <f t="shared" ref="AJ31:BO31" si="1">IF(AJ30&lt;=$C$17,0,ROUNDUP(AJ30/$C$16,0))</f>
        <v>2</v>
      </c>
      <c r="AK31" s="88">
        <f t="shared" si="1"/>
        <v>2</v>
      </c>
      <c r="AL31" s="88">
        <f t="shared" si="1"/>
        <v>2</v>
      </c>
      <c r="AM31" s="88">
        <f t="shared" si="1"/>
        <v>3</v>
      </c>
      <c r="AN31" s="88">
        <f t="shared" si="1"/>
        <v>3</v>
      </c>
      <c r="AO31" s="88">
        <f t="shared" si="1"/>
        <v>3</v>
      </c>
      <c r="AP31" s="88">
        <f t="shared" si="1"/>
        <v>3</v>
      </c>
      <c r="AQ31" s="88">
        <f t="shared" si="1"/>
        <v>3</v>
      </c>
      <c r="AR31" s="88">
        <f t="shared" si="1"/>
        <v>3</v>
      </c>
      <c r="AS31" s="88">
        <f t="shared" si="1"/>
        <v>3</v>
      </c>
      <c r="AT31" s="88">
        <f t="shared" si="1"/>
        <v>3</v>
      </c>
      <c r="AU31" s="88">
        <f t="shared" si="1"/>
        <v>3</v>
      </c>
      <c r="AV31" s="88">
        <f t="shared" si="1"/>
        <v>3</v>
      </c>
      <c r="AW31" s="88">
        <f t="shared" si="1"/>
        <v>3</v>
      </c>
      <c r="AX31" s="88">
        <f t="shared" si="1"/>
        <v>3</v>
      </c>
      <c r="AY31" s="88">
        <f t="shared" si="1"/>
        <v>3</v>
      </c>
      <c r="AZ31" s="88">
        <f t="shared" si="1"/>
        <v>3</v>
      </c>
      <c r="BA31" s="88">
        <f t="shared" si="1"/>
        <v>3</v>
      </c>
      <c r="BB31" s="88">
        <f t="shared" si="1"/>
        <v>3</v>
      </c>
      <c r="BC31" s="88">
        <f t="shared" si="1"/>
        <v>3</v>
      </c>
      <c r="BD31" s="88">
        <f t="shared" si="1"/>
        <v>3</v>
      </c>
      <c r="BE31" s="88">
        <f t="shared" si="1"/>
        <v>3</v>
      </c>
      <c r="BF31" s="88">
        <f t="shared" si="1"/>
        <v>3</v>
      </c>
      <c r="BG31" s="88">
        <f t="shared" si="1"/>
        <v>4</v>
      </c>
      <c r="BH31" s="88">
        <f t="shared" si="1"/>
        <v>4</v>
      </c>
      <c r="BI31" s="88">
        <f t="shared" si="1"/>
        <v>4</v>
      </c>
      <c r="BJ31" s="88">
        <f t="shared" si="1"/>
        <v>4</v>
      </c>
      <c r="BK31" s="88">
        <f t="shared" si="1"/>
        <v>4</v>
      </c>
      <c r="BL31" s="88">
        <f t="shared" si="1"/>
        <v>4</v>
      </c>
      <c r="BM31" s="88">
        <f t="shared" si="1"/>
        <v>4</v>
      </c>
      <c r="BN31" s="88">
        <f t="shared" si="1"/>
        <v>4</v>
      </c>
      <c r="BO31" s="88">
        <f t="shared" si="1"/>
        <v>4</v>
      </c>
      <c r="BP31" s="88">
        <f t="shared" ref="BP31:CU31" si="2">IF(BP30&lt;=$C$17,0,ROUNDUP(BP30/$C$16,0))</f>
        <v>4</v>
      </c>
      <c r="BQ31" s="88">
        <f t="shared" si="2"/>
        <v>5</v>
      </c>
      <c r="BR31" s="88">
        <f t="shared" si="2"/>
        <v>5</v>
      </c>
      <c r="BS31" s="88">
        <f t="shared" si="2"/>
        <v>5</v>
      </c>
      <c r="BT31" s="88">
        <f t="shared" si="2"/>
        <v>5</v>
      </c>
      <c r="BU31" s="88">
        <f t="shared" si="2"/>
        <v>5</v>
      </c>
      <c r="BV31" s="88">
        <f t="shared" si="2"/>
        <v>5</v>
      </c>
      <c r="BW31" s="88">
        <f t="shared" si="2"/>
        <v>5</v>
      </c>
      <c r="BX31" s="88">
        <f t="shared" si="2"/>
        <v>5</v>
      </c>
      <c r="BY31" s="88">
        <f t="shared" si="2"/>
        <v>5</v>
      </c>
      <c r="BZ31" s="88">
        <f t="shared" si="2"/>
        <v>5</v>
      </c>
      <c r="CA31" s="88">
        <f t="shared" si="2"/>
        <v>5</v>
      </c>
      <c r="CB31" s="88">
        <f t="shared" si="2"/>
        <v>5</v>
      </c>
      <c r="CC31" s="88">
        <f t="shared" si="2"/>
        <v>5</v>
      </c>
      <c r="CD31" s="88">
        <f t="shared" si="2"/>
        <v>5</v>
      </c>
      <c r="CE31" s="88">
        <f t="shared" si="2"/>
        <v>5</v>
      </c>
      <c r="CF31" s="88">
        <f t="shared" si="2"/>
        <v>5</v>
      </c>
      <c r="CG31" s="88">
        <f t="shared" si="2"/>
        <v>5</v>
      </c>
      <c r="CH31" s="88">
        <f t="shared" si="2"/>
        <v>5</v>
      </c>
      <c r="CI31" s="88">
        <f t="shared" si="2"/>
        <v>5</v>
      </c>
      <c r="CJ31" s="88">
        <f t="shared" si="2"/>
        <v>5</v>
      </c>
      <c r="CK31" s="88">
        <f t="shared" si="2"/>
        <v>5</v>
      </c>
      <c r="CL31" s="88">
        <f t="shared" si="2"/>
        <v>5</v>
      </c>
      <c r="CM31" s="88">
        <f t="shared" si="2"/>
        <v>5</v>
      </c>
      <c r="CN31" s="88">
        <f t="shared" si="2"/>
        <v>5</v>
      </c>
      <c r="CO31" s="88">
        <f t="shared" si="2"/>
        <v>5</v>
      </c>
      <c r="CP31" s="88">
        <f t="shared" si="2"/>
        <v>5</v>
      </c>
      <c r="CQ31" s="88">
        <f t="shared" si="2"/>
        <v>5</v>
      </c>
      <c r="CR31" s="88">
        <f t="shared" si="2"/>
        <v>5</v>
      </c>
      <c r="CS31" s="88">
        <f t="shared" si="2"/>
        <v>5</v>
      </c>
      <c r="CT31" s="88">
        <f t="shared" si="2"/>
        <v>5</v>
      </c>
      <c r="CU31" s="88">
        <f t="shared" si="2"/>
        <v>5</v>
      </c>
      <c r="CV31" s="88">
        <f t="shared" ref="CV31:EA31" si="3">IF(CV30&lt;=$C$17,0,ROUNDUP(CV30/$C$16,0))</f>
        <v>5</v>
      </c>
      <c r="CW31" s="88">
        <f t="shared" si="3"/>
        <v>5</v>
      </c>
      <c r="CX31" s="88">
        <f t="shared" si="3"/>
        <v>5</v>
      </c>
      <c r="CY31" s="88">
        <f t="shared" si="3"/>
        <v>5</v>
      </c>
      <c r="CZ31" s="88">
        <f t="shared" si="3"/>
        <v>5</v>
      </c>
      <c r="DA31" s="88">
        <f t="shared" si="3"/>
        <v>5</v>
      </c>
      <c r="DB31" s="88">
        <f t="shared" si="3"/>
        <v>5</v>
      </c>
      <c r="DC31" s="88">
        <f t="shared" si="3"/>
        <v>5</v>
      </c>
      <c r="DD31" s="88">
        <f t="shared" si="3"/>
        <v>5</v>
      </c>
      <c r="DE31" s="88">
        <f t="shared" si="3"/>
        <v>5</v>
      </c>
      <c r="DF31" s="88">
        <f t="shared" si="3"/>
        <v>5</v>
      </c>
      <c r="DG31" s="88">
        <f t="shared" si="3"/>
        <v>5</v>
      </c>
      <c r="DH31" s="88">
        <f t="shared" si="3"/>
        <v>5</v>
      </c>
      <c r="DI31" s="88">
        <f t="shared" si="3"/>
        <v>5</v>
      </c>
      <c r="DJ31" s="88">
        <f t="shared" si="3"/>
        <v>5</v>
      </c>
      <c r="DK31" s="88">
        <f t="shared" si="3"/>
        <v>5</v>
      </c>
      <c r="DL31" s="88">
        <f t="shared" si="3"/>
        <v>5</v>
      </c>
      <c r="DM31" s="88">
        <f t="shared" si="3"/>
        <v>5</v>
      </c>
      <c r="DN31" s="88">
        <f t="shared" si="3"/>
        <v>5</v>
      </c>
      <c r="DO31" s="88">
        <f t="shared" si="3"/>
        <v>5</v>
      </c>
      <c r="DP31" s="88">
        <f t="shared" si="3"/>
        <v>5</v>
      </c>
      <c r="DQ31" s="88">
        <f t="shared" si="3"/>
        <v>5</v>
      </c>
      <c r="DR31" s="88">
        <f t="shared" si="3"/>
        <v>5</v>
      </c>
      <c r="DS31" s="88">
        <f t="shared" si="3"/>
        <v>5</v>
      </c>
    </row>
    <row r="32" spans="1:123" ht="15" customHeight="1" x14ac:dyDescent="0.2">
      <c r="B32" s="37" t="s">
        <v>635</v>
      </c>
      <c r="D32" s="77">
        <f t="shared" ref="D32:AI32" si="4">IF(D$29&gt;=$C$27,$C$12+$C$25,0)+D31*($C$15*(1+$C$11)+$C$19)</f>
        <v>0</v>
      </c>
      <c r="E32" s="77">
        <f t="shared" si="4"/>
        <v>15714.999999999998</v>
      </c>
      <c r="F32" s="77">
        <f t="shared" si="4"/>
        <v>15714.999999999998</v>
      </c>
      <c r="G32" s="77">
        <f t="shared" si="4"/>
        <v>15714.999999999998</v>
      </c>
      <c r="H32" s="77">
        <f t="shared" si="4"/>
        <v>15714.999999999998</v>
      </c>
      <c r="I32" s="77">
        <f t="shared" si="4"/>
        <v>15714.999999999998</v>
      </c>
      <c r="J32" s="77">
        <f t="shared" si="4"/>
        <v>15714.999999999998</v>
      </c>
      <c r="K32" s="77">
        <f t="shared" si="4"/>
        <v>15714.999999999998</v>
      </c>
      <c r="L32" s="77">
        <f t="shared" si="4"/>
        <v>15714.999999999998</v>
      </c>
      <c r="M32" s="77">
        <f t="shared" si="4"/>
        <v>15714.999999999998</v>
      </c>
      <c r="N32" s="77">
        <f t="shared" si="4"/>
        <v>15714.999999999998</v>
      </c>
      <c r="O32" s="77">
        <f t="shared" si="4"/>
        <v>15714.999999999998</v>
      </c>
      <c r="P32" s="77">
        <f t="shared" si="4"/>
        <v>15714.999999999998</v>
      </c>
      <c r="Q32" s="77">
        <f t="shared" si="4"/>
        <v>19145</v>
      </c>
      <c r="R32" s="77">
        <f t="shared" si="4"/>
        <v>19145</v>
      </c>
      <c r="S32" s="77">
        <f t="shared" si="4"/>
        <v>19145</v>
      </c>
      <c r="T32" s="77">
        <f t="shared" si="4"/>
        <v>19145</v>
      </c>
      <c r="U32" s="77">
        <f t="shared" si="4"/>
        <v>19145</v>
      </c>
      <c r="V32" s="77">
        <f t="shared" si="4"/>
        <v>19145</v>
      </c>
      <c r="W32" s="77">
        <f t="shared" si="4"/>
        <v>19145</v>
      </c>
      <c r="X32" s="77">
        <f t="shared" si="4"/>
        <v>19145</v>
      </c>
      <c r="Y32" s="77">
        <f t="shared" si="4"/>
        <v>19145</v>
      </c>
      <c r="Z32" s="77">
        <f t="shared" si="4"/>
        <v>19145</v>
      </c>
      <c r="AA32" s="77">
        <f t="shared" si="4"/>
        <v>19145</v>
      </c>
      <c r="AB32" s="77">
        <f t="shared" si="4"/>
        <v>19145</v>
      </c>
      <c r="AC32" s="77">
        <f t="shared" si="4"/>
        <v>19145</v>
      </c>
      <c r="AD32" s="77">
        <f t="shared" si="4"/>
        <v>19145</v>
      </c>
      <c r="AE32" s="77">
        <f t="shared" si="4"/>
        <v>19145</v>
      </c>
      <c r="AF32" s="77">
        <f t="shared" si="4"/>
        <v>19145</v>
      </c>
      <c r="AG32" s="77">
        <f t="shared" si="4"/>
        <v>19145</v>
      </c>
      <c r="AH32" s="77">
        <f t="shared" si="4"/>
        <v>19145</v>
      </c>
      <c r="AI32" s="77">
        <f t="shared" si="4"/>
        <v>19145</v>
      </c>
      <c r="AJ32" s="77">
        <f t="shared" ref="AJ32:BO32" si="5">IF(AJ$29&gt;=$C$27,$C$12+$C$25,0)+AJ31*($C$15*(1+$C$11)+$C$19)</f>
        <v>19145</v>
      </c>
      <c r="AK32" s="77">
        <f t="shared" si="5"/>
        <v>19145</v>
      </c>
      <c r="AL32" s="77">
        <f t="shared" si="5"/>
        <v>19145</v>
      </c>
      <c r="AM32" s="77">
        <f t="shared" si="5"/>
        <v>20860</v>
      </c>
      <c r="AN32" s="77">
        <f t="shared" si="5"/>
        <v>20860</v>
      </c>
      <c r="AO32" s="77">
        <f t="shared" si="5"/>
        <v>20860</v>
      </c>
      <c r="AP32" s="77">
        <f t="shared" si="5"/>
        <v>20860</v>
      </c>
      <c r="AQ32" s="77">
        <f t="shared" si="5"/>
        <v>20860</v>
      </c>
      <c r="AR32" s="77">
        <f t="shared" si="5"/>
        <v>20860</v>
      </c>
      <c r="AS32" s="77">
        <f t="shared" si="5"/>
        <v>20860</v>
      </c>
      <c r="AT32" s="77">
        <f t="shared" si="5"/>
        <v>20860</v>
      </c>
      <c r="AU32" s="77">
        <f t="shared" si="5"/>
        <v>20860</v>
      </c>
      <c r="AV32" s="77">
        <f t="shared" si="5"/>
        <v>20860</v>
      </c>
      <c r="AW32" s="77">
        <f t="shared" si="5"/>
        <v>20860</v>
      </c>
      <c r="AX32" s="77">
        <f t="shared" si="5"/>
        <v>20860</v>
      </c>
      <c r="AY32" s="77">
        <f t="shared" si="5"/>
        <v>20860</v>
      </c>
      <c r="AZ32" s="77">
        <f t="shared" si="5"/>
        <v>20860</v>
      </c>
      <c r="BA32" s="77">
        <f t="shared" si="5"/>
        <v>20860</v>
      </c>
      <c r="BB32" s="77">
        <f t="shared" si="5"/>
        <v>20860</v>
      </c>
      <c r="BC32" s="77">
        <f t="shared" si="5"/>
        <v>20860</v>
      </c>
      <c r="BD32" s="77">
        <f t="shared" si="5"/>
        <v>20860</v>
      </c>
      <c r="BE32" s="77">
        <f t="shared" si="5"/>
        <v>20860</v>
      </c>
      <c r="BF32" s="77">
        <f t="shared" si="5"/>
        <v>20860</v>
      </c>
      <c r="BG32" s="77">
        <f t="shared" si="5"/>
        <v>22575</v>
      </c>
      <c r="BH32" s="77">
        <f t="shared" si="5"/>
        <v>22575</v>
      </c>
      <c r="BI32" s="77">
        <f t="shared" si="5"/>
        <v>22575</v>
      </c>
      <c r="BJ32" s="77">
        <f t="shared" si="5"/>
        <v>22575</v>
      </c>
      <c r="BK32" s="77">
        <f t="shared" si="5"/>
        <v>22575</v>
      </c>
      <c r="BL32" s="77">
        <f t="shared" si="5"/>
        <v>22575</v>
      </c>
      <c r="BM32" s="77">
        <f t="shared" si="5"/>
        <v>22575</v>
      </c>
      <c r="BN32" s="77">
        <f t="shared" si="5"/>
        <v>22575</v>
      </c>
      <c r="BO32" s="77">
        <f t="shared" si="5"/>
        <v>22575</v>
      </c>
      <c r="BP32" s="77">
        <f t="shared" ref="BP32:CU32" si="6">IF(BP$29&gt;=$C$27,$C$12+$C$25,0)+BP31*($C$15*(1+$C$11)+$C$19)</f>
        <v>22575</v>
      </c>
      <c r="BQ32" s="77">
        <f t="shared" si="6"/>
        <v>24290</v>
      </c>
      <c r="BR32" s="77">
        <f t="shared" si="6"/>
        <v>24290</v>
      </c>
      <c r="BS32" s="77">
        <f t="shared" si="6"/>
        <v>24290</v>
      </c>
      <c r="BT32" s="77">
        <f t="shared" si="6"/>
        <v>24290</v>
      </c>
      <c r="BU32" s="77">
        <f t="shared" si="6"/>
        <v>24290</v>
      </c>
      <c r="BV32" s="77">
        <f t="shared" si="6"/>
        <v>24290</v>
      </c>
      <c r="BW32" s="77">
        <f t="shared" si="6"/>
        <v>24290</v>
      </c>
      <c r="BX32" s="77">
        <f t="shared" si="6"/>
        <v>24290</v>
      </c>
      <c r="BY32" s="77">
        <f t="shared" si="6"/>
        <v>24290</v>
      </c>
      <c r="BZ32" s="77">
        <f t="shared" si="6"/>
        <v>24290</v>
      </c>
      <c r="CA32" s="77">
        <f t="shared" si="6"/>
        <v>24290</v>
      </c>
      <c r="CB32" s="77">
        <f t="shared" si="6"/>
        <v>24290</v>
      </c>
      <c r="CC32" s="77">
        <f t="shared" si="6"/>
        <v>24290</v>
      </c>
      <c r="CD32" s="77">
        <f t="shared" si="6"/>
        <v>24290</v>
      </c>
      <c r="CE32" s="77">
        <f t="shared" si="6"/>
        <v>24290</v>
      </c>
      <c r="CF32" s="77">
        <f t="shared" si="6"/>
        <v>24290</v>
      </c>
      <c r="CG32" s="77">
        <f t="shared" si="6"/>
        <v>24290</v>
      </c>
      <c r="CH32" s="77">
        <f t="shared" si="6"/>
        <v>24290</v>
      </c>
      <c r="CI32" s="77">
        <f t="shared" si="6"/>
        <v>24290</v>
      </c>
      <c r="CJ32" s="77">
        <f t="shared" si="6"/>
        <v>24290</v>
      </c>
      <c r="CK32" s="77">
        <f t="shared" si="6"/>
        <v>24290</v>
      </c>
      <c r="CL32" s="77">
        <f t="shared" si="6"/>
        <v>24290</v>
      </c>
      <c r="CM32" s="77">
        <f t="shared" si="6"/>
        <v>24290</v>
      </c>
      <c r="CN32" s="77">
        <f t="shared" si="6"/>
        <v>24290</v>
      </c>
      <c r="CO32" s="77">
        <f t="shared" si="6"/>
        <v>24290</v>
      </c>
      <c r="CP32" s="77">
        <f t="shared" si="6"/>
        <v>24290</v>
      </c>
      <c r="CQ32" s="77">
        <f t="shared" si="6"/>
        <v>24290</v>
      </c>
      <c r="CR32" s="77">
        <f t="shared" si="6"/>
        <v>24290</v>
      </c>
      <c r="CS32" s="77">
        <f t="shared" si="6"/>
        <v>24290</v>
      </c>
      <c r="CT32" s="77">
        <f t="shared" si="6"/>
        <v>24290</v>
      </c>
      <c r="CU32" s="77">
        <f t="shared" si="6"/>
        <v>24290</v>
      </c>
      <c r="CV32" s="77">
        <f t="shared" ref="CV32:EA32" si="7">IF(CV$29&gt;=$C$27,$C$12+$C$25,0)+CV31*($C$15*(1+$C$11)+$C$19)</f>
        <v>24290</v>
      </c>
      <c r="CW32" s="77">
        <f t="shared" si="7"/>
        <v>24290</v>
      </c>
      <c r="CX32" s="77">
        <f t="shared" si="7"/>
        <v>24290</v>
      </c>
      <c r="CY32" s="77">
        <f t="shared" si="7"/>
        <v>24290</v>
      </c>
      <c r="CZ32" s="77">
        <f t="shared" si="7"/>
        <v>24290</v>
      </c>
      <c r="DA32" s="77">
        <f t="shared" si="7"/>
        <v>24290</v>
      </c>
      <c r="DB32" s="77">
        <f t="shared" si="7"/>
        <v>24290</v>
      </c>
      <c r="DC32" s="77">
        <f t="shared" si="7"/>
        <v>24290</v>
      </c>
      <c r="DD32" s="77">
        <f t="shared" si="7"/>
        <v>24290</v>
      </c>
      <c r="DE32" s="77">
        <f t="shared" si="7"/>
        <v>24290</v>
      </c>
      <c r="DF32" s="77">
        <f t="shared" si="7"/>
        <v>24290</v>
      </c>
      <c r="DG32" s="77">
        <f t="shared" si="7"/>
        <v>24290</v>
      </c>
      <c r="DH32" s="77">
        <f t="shared" si="7"/>
        <v>24290</v>
      </c>
      <c r="DI32" s="77">
        <f t="shared" si="7"/>
        <v>24290</v>
      </c>
      <c r="DJ32" s="77">
        <f t="shared" si="7"/>
        <v>24290</v>
      </c>
      <c r="DK32" s="77">
        <f t="shared" si="7"/>
        <v>24290</v>
      </c>
      <c r="DL32" s="77">
        <f t="shared" si="7"/>
        <v>24290</v>
      </c>
      <c r="DM32" s="77">
        <f t="shared" si="7"/>
        <v>24290</v>
      </c>
      <c r="DN32" s="77">
        <f t="shared" si="7"/>
        <v>24290</v>
      </c>
      <c r="DO32" s="77">
        <f t="shared" si="7"/>
        <v>24290</v>
      </c>
      <c r="DP32" s="77">
        <f t="shared" si="7"/>
        <v>24290</v>
      </c>
      <c r="DQ32" s="77">
        <f t="shared" si="7"/>
        <v>24290</v>
      </c>
      <c r="DR32" s="77">
        <f t="shared" si="7"/>
        <v>24290</v>
      </c>
      <c r="DS32" s="77">
        <f t="shared" si="7"/>
        <v>24290</v>
      </c>
    </row>
    <row r="33" spans="2:123" ht="15" customHeight="1" x14ac:dyDescent="0.2">
      <c r="B33" s="37" t="s">
        <v>636</v>
      </c>
      <c r="D33" s="77">
        <f>SUP_CONTROL!$C$11*CAPA1_PILOTO!D15+SUP_CONTROL!$C$12*CAPA2_FLAGSHIP!D11+SUP_CONTROL!$C$13*CAPA3_EXPANSION!D39+SUP_CONTROL!$C$14*CAPA4_RETAIL!D8</f>
        <v>0</v>
      </c>
      <c r="E33" s="77">
        <f>SUP_CONTROL!$C$11*CAPA1_PILOTO!E15+SUP_CONTROL!$C$12*CAPA2_FLAGSHIP!E11+SUP_CONTROL!$C$13*CAPA3_EXPANSION!E39+SUP_CONTROL!$C$14*CAPA4_RETAIL!E8</f>
        <v>0</v>
      </c>
      <c r="F33" s="77">
        <f>SUP_CONTROL!$C$11*CAPA1_PILOTO!F15+SUP_CONTROL!$C$12*CAPA2_FLAGSHIP!F11+SUP_CONTROL!$C$13*CAPA3_EXPANSION!F39+SUP_CONTROL!$C$14*CAPA4_RETAIL!F8</f>
        <v>0</v>
      </c>
      <c r="G33" s="77">
        <f>SUP_CONTROL!$C$11*CAPA1_PILOTO!G15+SUP_CONTROL!$C$12*CAPA2_FLAGSHIP!G11+SUP_CONTROL!$C$13*CAPA3_EXPANSION!G39+SUP_CONTROL!$C$14*CAPA4_RETAIL!G8</f>
        <v>61175.13687757124</v>
      </c>
      <c r="H33" s="77">
        <f>SUP_CONTROL!$C$11*CAPA1_PILOTO!H15+SUP_CONTROL!$C$12*CAPA2_FLAGSHIP!H11+SUP_CONTROL!$C$13*CAPA3_EXPANSION!H39+SUP_CONTROL!$C$14*CAPA4_RETAIL!H8</f>
        <v>135459.23165747919</v>
      </c>
      <c r="I33" s="77">
        <f>SUP_CONTROL!$C$11*CAPA1_PILOTO!I15+SUP_CONTROL!$C$12*CAPA2_FLAGSHIP!I11+SUP_CONTROL!$C$13*CAPA3_EXPANSION!I39+SUP_CONTROL!$C$14*CAPA4_RETAIL!I8</f>
        <v>222852.28433972385</v>
      </c>
      <c r="J33" s="77">
        <f>SUP_CONTROL!$C$11*CAPA1_PILOTO!J15+SUP_CONTROL!$C$12*CAPA2_FLAGSHIP!J11+SUP_CONTROL!$C$13*CAPA3_EXPANSION!J39+SUP_CONTROL!$C$14*CAPA4_RETAIL!J8</f>
        <v>319421.60755360418</v>
      </c>
      <c r="K33" s="77">
        <f>SUP_CONTROL!$C$11*CAPA1_PILOTO!K15+SUP_CONTROL!$C$12*CAPA2_FLAGSHIP!K11+SUP_CONTROL!$C$13*CAPA3_EXPANSION!K39+SUP_CONTROL!$C$14*CAPA4_RETAIL!K8</f>
        <v>427133.5449844707</v>
      </c>
      <c r="L33" s="77">
        <f>SUP_CONTROL!$C$11*CAPA1_PILOTO!L15+SUP_CONTROL!$C$12*CAPA2_FLAGSHIP!L11+SUP_CONTROL!$C$13*CAPA3_EXPANSION!L39+SUP_CONTROL!$C$14*CAPA4_RETAIL!L8</f>
        <v>459250.49184519553</v>
      </c>
      <c r="M33" s="77">
        <f>SUP_CONTROL!$C$11*CAPA1_PILOTO!M15+SUP_CONTROL!$C$12*CAPA2_FLAGSHIP!M11+SUP_CONTROL!$C$13*CAPA3_EXPANSION!M39+SUP_CONTROL!$C$14*CAPA4_RETAIL!M8</f>
        <v>476292.13711823331</v>
      </c>
      <c r="N33" s="77">
        <f>SUP_CONTROL!$C$11*CAPA1_PILOTO!N15+SUP_CONTROL!$C$12*CAPA2_FLAGSHIP!N11+SUP_CONTROL!$C$13*CAPA3_EXPANSION!N39+SUP_CONTROL!$C$14*CAPA4_RETAIL!N8</f>
        <v>476292.13711823331</v>
      </c>
      <c r="O33" s="77">
        <f>SUP_CONTROL!$C$11*CAPA1_PILOTO!O15+SUP_CONTROL!$C$12*CAPA2_FLAGSHIP!O11+SUP_CONTROL!$C$13*CAPA3_EXPANSION!O39+SUP_CONTROL!$C$14*CAPA4_RETAIL!O8</f>
        <v>476292.13711823331</v>
      </c>
      <c r="P33" s="77">
        <f>SUP_CONTROL!$C$11*CAPA1_PILOTO!P15+SUP_CONTROL!$C$12*CAPA2_FLAGSHIP!P11+SUP_CONTROL!$C$13*CAPA3_EXPANSION!P39+SUP_CONTROL!$C$14*CAPA4_RETAIL!P8</f>
        <v>476292.13711823331</v>
      </c>
      <c r="Q33" s="77">
        <f>SUP_CONTROL!$C$11*CAPA1_PILOTO!Q15+SUP_CONTROL!$C$12*CAPA2_FLAGSHIP!Q11+SUP_CONTROL!$C$13*CAPA3_EXPANSION!Q39+SUP_CONTROL!$C$14*CAPA4_RETAIL!Q8</f>
        <v>476292.13711823331</v>
      </c>
      <c r="R33" s="77">
        <f>SUP_CONTROL!$C$11*CAPA1_PILOTO!R15+SUP_CONTROL!$C$12*CAPA2_FLAGSHIP!R11+SUP_CONTROL!$C$13*CAPA3_EXPANSION!R39+SUP_CONTROL!$C$14*CAPA4_RETAIL!R8</f>
        <v>476292.13711823331</v>
      </c>
      <c r="S33" s="77">
        <f>SUP_CONTROL!$C$11*CAPA1_PILOTO!S15+SUP_CONTROL!$C$12*CAPA2_FLAGSHIP!S11+SUP_CONTROL!$C$13*CAPA3_EXPANSION!S39+SUP_CONTROL!$C$14*CAPA4_RETAIL!S8</f>
        <v>476292.13711823331</v>
      </c>
      <c r="T33" s="77">
        <f>SUP_CONTROL!$C$11*CAPA1_PILOTO!T15+SUP_CONTROL!$C$12*CAPA2_FLAGSHIP!T11+SUP_CONTROL!$C$13*CAPA3_EXPANSION!T39+SUP_CONTROL!$C$14*CAPA4_RETAIL!T8</f>
        <v>504694.87923996284</v>
      </c>
      <c r="U33" s="77">
        <f>SUP_CONTROL!$C$11*CAPA1_PILOTO!U15+SUP_CONTROL!$C$12*CAPA2_FLAGSHIP!U11+SUP_CONTROL!$C$13*CAPA3_EXPANSION!U39+SUP_CONTROL!$C$14*CAPA4_RETAIL!U8</f>
        <v>511249.35819113115</v>
      </c>
      <c r="V33" s="77">
        <f>SUP_CONTROL!$C$11*CAPA1_PILOTO!V15+SUP_CONTROL!$C$12*CAPA2_FLAGSHIP!V11+SUP_CONTROL!$C$13*CAPA3_EXPANSION!V39+SUP_CONTROL!$C$14*CAPA4_RETAIL!V8</f>
        <v>544021.75294697285</v>
      </c>
      <c r="W33" s="77">
        <f>SUP_CONTROL!$C$11*CAPA1_PILOTO!W15+SUP_CONTROL!$C$12*CAPA2_FLAGSHIP!W11+SUP_CONTROL!$C$13*CAPA3_EXPANSION!W39+SUP_CONTROL!$C$14*CAPA4_RETAIL!W8</f>
        <v>583348.62665398302</v>
      </c>
      <c r="X33" s="77">
        <f>SUP_CONTROL!$C$11*CAPA1_PILOTO!X15+SUP_CONTROL!$C$12*CAPA2_FLAGSHIP!X11+SUP_CONTROL!$C$13*CAPA3_EXPANSION!X39+SUP_CONTROL!$C$14*CAPA4_RETAIL!X8</f>
        <v>594272.75823926355</v>
      </c>
      <c r="Y33" s="77">
        <f>SUP_CONTROL!$C$11*CAPA1_PILOTO!Y15+SUP_CONTROL!$C$12*CAPA2_FLAGSHIP!Y11+SUP_CONTROL!$C$13*CAPA3_EXPANSION!Y39+SUP_CONTROL!$C$14*CAPA4_RETAIL!Y8</f>
        <v>603012.063507488</v>
      </c>
      <c r="Z33" s="77">
        <f>SUP_CONTROL!$C$11*CAPA1_PILOTO!Z15+SUP_CONTROL!$C$12*CAPA2_FLAGSHIP!Z11+SUP_CONTROL!$C$13*CAPA3_EXPANSION!Z39+SUP_CONTROL!$C$14*CAPA4_RETAIL!Z8</f>
        <v>607381.71614160028</v>
      </c>
      <c r="AA33" s="77">
        <f>SUP_CONTROL!$C$11*CAPA1_PILOTO!AA15+SUP_CONTROL!$C$12*CAPA2_FLAGSHIP!AA11+SUP_CONTROL!$C$13*CAPA3_EXPANSION!AA39+SUP_CONTROL!$C$14*CAPA4_RETAIL!AA8</f>
        <v>607381.71614160028</v>
      </c>
      <c r="AB33" s="77">
        <f>SUP_CONTROL!$C$11*CAPA1_PILOTO!AB15+SUP_CONTROL!$C$12*CAPA2_FLAGSHIP!AB11+SUP_CONTROL!$C$13*CAPA3_EXPANSION!AB39+SUP_CONTROL!$C$14*CAPA4_RETAIL!AB8</f>
        <v>607381.71614160028</v>
      </c>
      <c r="AC33" s="77">
        <f>SUP_CONTROL!$C$11*CAPA1_PILOTO!AC15+SUP_CONTROL!$C$12*CAPA2_FLAGSHIP!AC11+SUP_CONTROL!$C$13*CAPA3_EXPANSION!AC39+SUP_CONTROL!$C$14*CAPA4_RETAIL!AC8</f>
        <v>607381.71614160028</v>
      </c>
      <c r="AD33" s="77">
        <f>SUP_CONTROL!$C$11*CAPA1_PILOTO!AD15+SUP_CONTROL!$C$12*CAPA2_FLAGSHIP!AD11+SUP_CONTROL!$C$13*CAPA3_EXPANSION!AD39+SUP_CONTROL!$C$14*CAPA4_RETAIL!AD8</f>
        <v>603449.02877089928</v>
      </c>
      <c r="AE33" s="77">
        <f>SUP_CONTROL!$C$11*CAPA1_PILOTO!AE15+SUP_CONTROL!$C$12*CAPA2_FLAGSHIP!AE11+SUP_CONTROL!$C$13*CAPA3_EXPANSION!AE39+SUP_CONTROL!$C$14*CAPA4_RETAIL!AE8</f>
        <v>603449.02877089928</v>
      </c>
      <c r="AF33" s="77">
        <f>SUP_CONTROL!$C$11*CAPA1_PILOTO!AF15+SUP_CONTROL!$C$12*CAPA2_FLAGSHIP!AF11+SUP_CONTROL!$C$13*CAPA3_EXPANSION!AF39+SUP_CONTROL!$C$14*CAPA4_RETAIL!AF8</f>
        <v>639264.88658640021</v>
      </c>
      <c r="AG33" s="77">
        <f>SUP_CONTROL!$C$11*CAPA1_PILOTO!AG15+SUP_CONTROL!$C$12*CAPA2_FLAGSHIP!AG11+SUP_CONTROL!$C$13*CAPA3_EXPANSION!AG39+SUP_CONTROL!$C$14*CAPA4_RETAIL!AG8</f>
        <v>675080.74440190103</v>
      </c>
      <c r="AH33" s="77">
        <f>SUP_CONTROL!$C$11*CAPA1_PILOTO!AH15+SUP_CONTROL!$C$12*CAPA2_FLAGSHIP!AH11+SUP_CONTROL!$C$13*CAPA3_EXPANSION!AH39+SUP_CONTROL!$C$14*CAPA4_RETAIL!AH8</f>
        <v>686948.72095614998</v>
      </c>
      <c r="AI33" s="77">
        <f>SUP_CONTROL!$C$11*CAPA1_PILOTO!AI15+SUP_CONTROL!$C$12*CAPA2_FLAGSHIP!AI11+SUP_CONTROL!$C$13*CAPA3_EXPANSION!AI39+SUP_CONTROL!$C$14*CAPA4_RETAIL!AI8</f>
        <v>724248.07584093185</v>
      </c>
      <c r="AJ33" s="77">
        <f>SUP_CONTROL!$C$11*CAPA1_PILOTO!AJ15+SUP_CONTROL!$C$12*CAPA2_FLAGSHIP!AJ11+SUP_CONTROL!$C$13*CAPA3_EXPANSION!AJ39+SUP_CONTROL!$C$14*CAPA4_RETAIL!AJ8</f>
        <v>762395.14333673171</v>
      </c>
      <c r="AK33" s="77">
        <f>SUP_CONTROL!$C$11*CAPA1_PILOTO!AK15+SUP_CONTROL!$C$12*CAPA2_FLAGSHIP!AK11+SUP_CONTROL!$C$13*CAPA3_EXPANSION!AK39+SUP_CONTROL!$C$14*CAPA4_RETAIL!AK8</f>
        <v>772991.5509744538</v>
      </c>
      <c r="AL33" s="77">
        <f>SUP_CONTROL!$C$11*CAPA1_PILOTO!AL15+SUP_CONTROL!$C$12*CAPA2_FLAGSHIP!AL11+SUP_CONTROL!$C$13*CAPA3_EXPANSION!AL39+SUP_CONTROL!$C$14*CAPA4_RETAIL!AL8</f>
        <v>773603.30234322953</v>
      </c>
      <c r="AM33" s="77">
        <f>SUP_CONTROL!$C$11*CAPA1_PILOTO!AM15+SUP_CONTROL!$C$12*CAPA2_FLAGSHIP!AM11+SUP_CONTROL!$C$13*CAPA3_EXPANSION!AM39+SUP_CONTROL!$C$14*CAPA4_RETAIL!AM8</f>
        <v>812625.39277901035</v>
      </c>
      <c r="AN33" s="77">
        <f>SUP_CONTROL!$C$11*CAPA1_PILOTO!AN15+SUP_CONTROL!$C$12*CAPA2_FLAGSHIP!AN11+SUP_CONTROL!$C$13*CAPA3_EXPANSION!AN39+SUP_CONTROL!$C$14*CAPA4_RETAIL!AN8</f>
        <v>847518.16147555504</v>
      </c>
      <c r="AO33" s="77">
        <f>SUP_CONTROL!$C$11*CAPA1_PILOTO!AO15+SUP_CONTROL!$C$12*CAPA2_FLAGSHIP!AO11+SUP_CONTROL!$C$13*CAPA3_EXPANSION!AO39+SUP_CONTROL!$C$14*CAPA4_RETAIL!AO8</f>
        <v>885920.85365045036</v>
      </c>
      <c r="AP33" s="77">
        <f>SUP_CONTROL!$C$11*CAPA1_PILOTO!AP15+SUP_CONTROL!$C$12*CAPA2_FLAGSHIP!AP11+SUP_CONTROL!$C$13*CAPA3_EXPANSION!AP39+SUP_CONTROL!$C$14*CAPA4_RETAIL!AP8</f>
        <v>928452.8675645818</v>
      </c>
      <c r="AQ33" s="77">
        <f>SUP_CONTROL!$C$11*CAPA1_PILOTO!AQ15+SUP_CONTROL!$C$12*CAPA2_FLAGSHIP!AQ11+SUP_CONTROL!$C$13*CAPA3_EXPANSION!AQ39+SUP_CONTROL!$C$14*CAPA4_RETAIL!AQ8</f>
        <v>942905.49365190789</v>
      </c>
      <c r="AR33" s="77">
        <f>SUP_CONTROL!$C$11*CAPA1_PILOTO!AR15+SUP_CONTROL!$C$12*CAPA2_FLAGSHIP!AR11+SUP_CONTROL!$C$13*CAPA3_EXPANSION!AR39+SUP_CONTROL!$C$14*CAPA4_RETAIL!AR8</f>
        <v>986056.90582692483</v>
      </c>
      <c r="AS33" s="77">
        <f>SUP_CONTROL!$C$11*CAPA1_PILOTO!AS15+SUP_CONTROL!$C$12*CAPA2_FLAGSHIP!AS11+SUP_CONTROL!$C$13*CAPA3_EXPANSION!AS39+SUP_CONTROL!$C$14*CAPA4_RETAIL!AS8</f>
        <v>998238.40495767118</v>
      </c>
      <c r="AT33" s="77">
        <f>SUP_CONTROL!$C$11*CAPA1_PILOTO!AT15+SUP_CONTROL!$C$12*CAPA2_FLAGSHIP!AT11+SUP_CONTROL!$C$13*CAPA3_EXPANSION!AT39+SUP_CONTROL!$C$14*CAPA4_RETAIL!AT8</f>
        <v>1030447.1145237125</v>
      </c>
      <c r="AU33" s="77">
        <f>SUP_CONTROL!$C$11*CAPA1_PILOTO!AU15+SUP_CONTROL!$C$12*CAPA2_FLAGSHIP!AU11+SUP_CONTROL!$C$13*CAPA3_EXPANSION!AU39+SUP_CONTROL!$C$14*CAPA4_RETAIL!AU8</f>
        <v>1068849.8066986077</v>
      </c>
      <c r="AV33" s="77">
        <f>SUP_CONTROL!$C$11*CAPA1_PILOTO!AV15+SUP_CONTROL!$C$12*CAPA2_FLAGSHIP!AV11+SUP_CONTROL!$C$13*CAPA3_EXPANSION!AV39+SUP_CONTROL!$C$14*CAPA4_RETAIL!AV8</f>
        <v>1079173.1110466977</v>
      </c>
      <c r="AW33" s="77">
        <f>SUP_CONTROL!$C$11*CAPA1_PILOTO!AW15+SUP_CONTROL!$C$12*CAPA2_FLAGSHIP!AW11+SUP_CONTROL!$C$13*CAPA3_EXPANSION!AW39+SUP_CONTROL!$C$14*CAPA4_RETAIL!AW8</f>
        <v>1087431.75452517</v>
      </c>
      <c r="AX33" s="77">
        <f>SUP_CONTROL!$C$11*CAPA1_PILOTO!AX15+SUP_CONTROL!$C$12*CAPA2_FLAGSHIP!AX11+SUP_CONTROL!$C$13*CAPA3_EXPANSION!AX39+SUP_CONTROL!$C$14*CAPA4_RETAIL!AX8</f>
        <v>1091561.0762644061</v>
      </c>
      <c r="AY33" s="77">
        <f>SUP_CONTROL!$C$11*CAPA1_PILOTO!AY15+SUP_CONTROL!$C$12*CAPA2_FLAGSHIP!AY11+SUP_CONTROL!$C$13*CAPA3_EXPANSION!AY39+SUP_CONTROL!$C$14*CAPA4_RETAIL!AY8</f>
        <v>1091561.0762644061</v>
      </c>
      <c r="AZ33" s="77">
        <f>SUP_CONTROL!$C$11*CAPA1_PILOTO!AZ15+SUP_CONTROL!$C$12*CAPA2_FLAGSHIP!AZ11+SUP_CONTROL!$C$13*CAPA3_EXPANSION!AZ39+SUP_CONTROL!$C$14*CAPA4_RETAIL!AZ8</f>
        <v>1091561.0762644061</v>
      </c>
      <c r="BA33" s="77">
        <f>SUP_CONTROL!$C$11*CAPA1_PILOTO!BA15+SUP_CONTROL!$C$12*CAPA2_FLAGSHIP!BA11+SUP_CONTROL!$C$13*CAPA3_EXPANSION!BA39+SUP_CONTROL!$C$14*CAPA4_RETAIL!BA8</f>
        <v>1075284.1202023381</v>
      </c>
      <c r="BB33" s="77">
        <f>SUP_CONTROL!$C$11*CAPA1_PILOTO!BB15+SUP_CONTROL!$C$12*CAPA2_FLAGSHIP!BB11+SUP_CONTROL!$C$13*CAPA3_EXPANSION!BB39+SUP_CONTROL!$C$14*CAPA4_RETAIL!BB8</f>
        <v>1075284.1202023381</v>
      </c>
      <c r="BC33" s="77">
        <f>SUP_CONTROL!$C$11*CAPA1_PILOTO!BC15+SUP_CONTROL!$C$12*CAPA2_FLAGSHIP!BC11+SUP_CONTROL!$C$13*CAPA3_EXPANSION!BC39+SUP_CONTROL!$C$14*CAPA4_RETAIL!BC8</f>
        <v>1075284.1202023381</v>
      </c>
      <c r="BD33" s="77">
        <f>SUP_CONTROL!$C$11*CAPA1_PILOTO!BD15+SUP_CONTROL!$C$12*CAPA2_FLAGSHIP!BD11+SUP_CONTROL!$C$13*CAPA3_EXPANSION!BD39+SUP_CONTROL!$C$14*CAPA4_RETAIL!BD8</f>
        <v>1127545.1657063204</v>
      </c>
      <c r="BE33" s="77">
        <f>SUP_CONTROL!$C$11*CAPA1_PILOTO!BE15+SUP_CONTROL!$C$12*CAPA2_FLAGSHIP!BE11+SUP_CONTROL!$C$13*CAPA3_EXPANSION!BE39+SUP_CONTROL!$C$14*CAPA4_RETAIL!BE8</f>
        <v>1165735.9297284614</v>
      </c>
      <c r="BF33" s="77">
        <f>SUP_CONTROL!$C$11*CAPA1_PILOTO!BF15+SUP_CONTROL!$C$12*CAPA2_FLAGSHIP!BF11+SUP_CONTROL!$C$13*CAPA3_EXPANSION!BF39+SUP_CONTROL!$C$14*CAPA4_RETAIL!BF8</f>
        <v>1197743.6352733334</v>
      </c>
      <c r="BG33" s="77">
        <f>SUP_CONTROL!$C$11*CAPA1_PILOTO!BG15+SUP_CONTROL!$C$12*CAPA2_FLAGSHIP!BG11+SUP_CONTROL!$C$13*CAPA3_EXPANSION!BG39+SUP_CONTROL!$C$14*CAPA4_RETAIL!BG8</f>
        <v>1242772.9056678598</v>
      </c>
      <c r="BH33" s="77">
        <f>SUP_CONTROL!$C$11*CAPA1_PILOTO!BH15+SUP_CONTROL!$C$12*CAPA2_FLAGSHIP!BH11+SUP_CONTROL!$C$13*CAPA3_EXPANSION!BH39+SUP_CONTROL!$C$14*CAPA4_RETAIL!BH8</f>
        <v>1283279.5855860803</v>
      </c>
      <c r="BI33" s="77">
        <f>SUP_CONTROL!$C$11*CAPA1_PILOTO!BI15+SUP_CONTROL!$C$12*CAPA2_FLAGSHIP!BI11+SUP_CONTROL!$C$13*CAPA3_EXPANSION!BI39+SUP_CONTROL!$C$14*CAPA4_RETAIL!BI8</f>
        <v>1323786.2655043006</v>
      </c>
      <c r="BJ33" s="77">
        <f>SUP_CONTROL!$C$11*CAPA1_PILOTO!BJ15+SUP_CONTROL!$C$12*CAPA2_FLAGSHIP!BJ11+SUP_CONTROL!$C$13*CAPA3_EXPANSION!BJ39+SUP_CONTROL!$C$14*CAPA4_RETAIL!BJ8</f>
        <v>1370781.8795841779</v>
      </c>
      <c r="BK33" s="77">
        <f>SUP_CONTROL!$C$11*CAPA1_PILOTO!BK15+SUP_CONTROL!$C$12*CAPA2_FLAGSHIP!BK11+SUP_CONTROL!$C$13*CAPA3_EXPANSION!BK39+SUP_CONTROL!$C$14*CAPA4_RETAIL!BK8</f>
        <v>1391087.6553748972</v>
      </c>
      <c r="BL33" s="77">
        <f>SUP_CONTROL!$C$11*CAPA1_PILOTO!BL15+SUP_CONTROL!$C$12*CAPA2_FLAGSHIP!BL11+SUP_CONTROL!$C$13*CAPA3_EXPANSION!BL39+SUP_CONTROL!$C$14*CAPA4_RETAIL!BL8</f>
        <v>1430694.1868504905</v>
      </c>
      <c r="BM33" s="77">
        <f>SUP_CONTROL!$C$11*CAPA1_PILOTO!BM15+SUP_CONTROL!$C$12*CAPA2_FLAGSHIP!BM11+SUP_CONTROL!$C$13*CAPA3_EXPANSION!BM39+SUP_CONTROL!$C$14*CAPA4_RETAIL!BM8</f>
        <v>1470300.7183260839</v>
      </c>
      <c r="BN33" s="77">
        <f>SUP_CONTROL!$C$11*CAPA1_PILOTO!BN15+SUP_CONTROL!$C$12*CAPA2_FLAGSHIP!BN11+SUP_CONTROL!$C$13*CAPA3_EXPANSION!BN39+SUP_CONTROL!$C$14*CAPA4_RETAIL!BN8</f>
        <v>1516251.9854264082</v>
      </c>
      <c r="BO33" s="77">
        <f>SUP_CONTROL!$C$11*CAPA1_PILOTO!BO15+SUP_CONTROL!$C$12*CAPA2_FLAGSHIP!BO11+SUP_CONTROL!$C$13*CAPA3_EXPANSION!BO39+SUP_CONTROL!$C$14*CAPA4_RETAIL!BO8</f>
        <v>1556435.3110497044</v>
      </c>
      <c r="BP33" s="77">
        <f>SUP_CONTROL!$C$11*CAPA1_PILOTO!BP15+SUP_CONTROL!$C$12*CAPA2_FLAGSHIP!BP11+SUP_CONTROL!$C$13*CAPA3_EXPANSION!BP39+SUP_CONTROL!$C$14*CAPA4_RETAIL!BP8</f>
        <v>1576955.1998194957</v>
      </c>
      <c r="BQ33" s="77">
        <f>SUP_CONTROL!$C$11*CAPA1_PILOTO!BQ15+SUP_CONTROL!$C$12*CAPA2_FLAGSHIP!BQ11+SUP_CONTROL!$C$13*CAPA3_EXPANSION!BQ39+SUP_CONTROL!$C$14*CAPA4_RETAIL!BQ8</f>
        <v>1615886.6199631186</v>
      </c>
      <c r="BR33" s="77">
        <f>SUP_CONTROL!$C$11*CAPA1_PILOTO!BR15+SUP_CONTROL!$C$12*CAPA2_FLAGSHIP!BR11+SUP_CONTROL!$C$13*CAPA3_EXPANSION!BR39+SUP_CONTROL!$C$14*CAPA4_RETAIL!BR8</f>
        <v>1661054.6268287781</v>
      </c>
      <c r="BS33" s="77">
        <f>SUP_CONTROL!$C$11*CAPA1_PILOTO!BS15+SUP_CONTROL!$C$12*CAPA2_FLAGSHIP!BS11+SUP_CONTROL!$C$13*CAPA3_EXPANSION!BS39+SUP_CONTROL!$C$14*CAPA4_RETAIL!BS8</f>
        <v>1725121.3813369733</v>
      </c>
      <c r="BT33" s="77">
        <f>SUP_CONTROL!$C$11*CAPA1_PILOTO!BT15+SUP_CONTROL!$C$12*CAPA2_FLAGSHIP!BT11+SUP_CONTROL!$C$13*CAPA3_EXPANSION!BT39+SUP_CONTROL!$C$14*CAPA4_RETAIL!BT8</f>
        <v>1769722.4257733568</v>
      </c>
      <c r="BU33" s="77">
        <f>SUP_CONTROL!$C$11*CAPA1_PILOTO!BU15+SUP_CONTROL!$C$12*CAPA2_FLAGSHIP!BU11+SUP_CONTROL!$C$13*CAPA3_EXPANSION!BU39+SUP_CONTROL!$C$14*CAPA4_RETAIL!BU8</f>
        <v>1789263.5123531059</v>
      </c>
      <c r="BV33" s="77">
        <f>SUP_CONTROL!$C$11*CAPA1_PILOTO!BV15+SUP_CONTROL!$C$12*CAPA2_FLAGSHIP!BV11+SUP_CONTROL!$C$13*CAPA3_EXPANSION!BV39+SUP_CONTROL!$C$14*CAPA4_RETAIL!BV8</f>
        <v>1830119.7644820553</v>
      </c>
      <c r="BW33" s="77">
        <f>SUP_CONTROL!$C$11*CAPA1_PILOTO!BW15+SUP_CONTROL!$C$12*CAPA2_FLAGSHIP!BW11+SUP_CONTROL!$C$13*CAPA3_EXPANSION!BW39+SUP_CONTROL!$C$14*CAPA4_RETAIL!BW8</f>
        <v>1874504.5111130504</v>
      </c>
      <c r="BX33" s="77">
        <f>SUP_CONTROL!$C$11*CAPA1_PILOTO!BX15+SUP_CONTROL!$C$12*CAPA2_FLAGSHIP!BX11+SUP_CONTROL!$C$13*CAPA3_EXPANSION!BX39+SUP_CONTROL!$C$14*CAPA4_RETAIL!BX8</f>
        <v>1913317.9506355522</v>
      </c>
      <c r="BY33" s="77">
        <f>SUP_CONTROL!$C$11*CAPA1_PILOTO!BY15+SUP_CONTROL!$C$12*CAPA2_FLAGSHIP!BY11+SUP_CONTROL!$C$13*CAPA3_EXPANSION!BY39+SUP_CONTROL!$C$14*CAPA4_RETAIL!BY8</f>
        <v>1951574.2594472046</v>
      </c>
      <c r="BZ33" s="77">
        <f>SUP_CONTROL!$C$11*CAPA1_PILOTO!BZ15+SUP_CONTROL!$C$12*CAPA2_FLAGSHIP!BZ11+SUP_CONTROL!$C$13*CAPA3_EXPANSION!BZ39+SUP_CONTROL!$C$14*CAPA4_RETAIL!BZ8</f>
        <v>1995882.5371571027</v>
      </c>
      <c r="CA33" s="77">
        <f>SUP_CONTROL!$C$11*CAPA1_PILOTO!CA15+SUP_CONTROL!$C$12*CAPA2_FLAGSHIP!CA11+SUP_CONTROL!$C$13*CAPA3_EXPANSION!CA39+SUP_CONTROL!$C$14*CAPA4_RETAIL!CA8</f>
        <v>2045250.8726173027</v>
      </c>
      <c r="CB33" s="77">
        <f>SUP_CONTROL!$C$11*CAPA1_PILOTO!CB15+SUP_CONTROL!$C$12*CAPA2_FLAGSHIP!CB11+SUP_CONTROL!$C$13*CAPA3_EXPANSION!CB39+SUP_CONTROL!$C$14*CAPA4_RETAIL!CB8</f>
        <v>2087278.1916521941</v>
      </c>
      <c r="CC33" s="77">
        <f>SUP_CONTROL!$C$11*CAPA1_PILOTO!CC15+SUP_CONTROL!$C$12*CAPA2_FLAGSHIP!CC11+SUP_CONTROL!$C$13*CAPA3_EXPANSION!CC39+SUP_CONTROL!$C$14*CAPA4_RETAIL!CC8</f>
        <v>2104896.6310729343</v>
      </c>
      <c r="CD33" s="77">
        <f>SUP_CONTROL!$C$11*CAPA1_PILOTO!CD15+SUP_CONTROL!$C$12*CAPA2_FLAGSHIP!CD11+SUP_CONTROL!$C$13*CAPA3_EXPANSION!CD39+SUP_CONTROL!$C$14*CAPA4_RETAIL!CD8</f>
        <v>2113338.7999620391</v>
      </c>
      <c r="CE33" s="77">
        <f>SUP_CONTROL!$C$11*CAPA1_PILOTO!CE15+SUP_CONTROL!$C$12*CAPA2_FLAGSHIP!CE11+SUP_CONTROL!$C$13*CAPA3_EXPANSION!CE39+SUP_CONTROL!$C$14*CAPA4_RETAIL!CE8</f>
        <v>2117009.3081746935</v>
      </c>
      <c r="CF33" s="77">
        <f>SUP_CONTROL!$C$11*CAPA1_PILOTO!CF15+SUP_CONTROL!$C$12*CAPA2_FLAGSHIP!CF11+SUP_CONTROL!$C$13*CAPA3_EXPANSION!CF39+SUP_CONTROL!$C$14*CAPA4_RETAIL!CF8</f>
        <v>2117009.3081746935</v>
      </c>
      <c r="CG33" s="77">
        <f>SUP_CONTROL!$C$11*CAPA1_PILOTO!CG15+SUP_CONTROL!$C$12*CAPA2_FLAGSHIP!CG11+SUP_CONTROL!$C$13*CAPA3_EXPANSION!CG39+SUP_CONTROL!$C$14*CAPA4_RETAIL!CG8</f>
        <v>2117009.3081746935</v>
      </c>
      <c r="CH33" s="77">
        <f>SUP_CONTROL!$C$11*CAPA1_PILOTO!CH15+SUP_CONTROL!$C$12*CAPA2_FLAGSHIP!CH11+SUP_CONTROL!$C$13*CAPA3_EXPANSION!CH39+SUP_CONTROL!$C$14*CAPA4_RETAIL!CH8</f>
        <v>2117009.3081746935</v>
      </c>
      <c r="CI33" s="77">
        <f>SUP_CONTROL!$C$11*CAPA1_PILOTO!CI15+SUP_CONTROL!$C$12*CAPA2_FLAGSHIP!CI11+SUP_CONTROL!$C$13*CAPA3_EXPANSION!CI39+SUP_CONTROL!$C$14*CAPA4_RETAIL!CI8</f>
        <v>2117009.3081746935</v>
      </c>
      <c r="CJ33" s="77">
        <f>SUP_CONTROL!$C$11*CAPA1_PILOTO!CJ15+SUP_CONTROL!$C$12*CAPA2_FLAGSHIP!CJ11+SUP_CONTROL!$C$13*CAPA3_EXPANSION!CJ39+SUP_CONTROL!$C$14*CAPA4_RETAIL!CJ8</f>
        <v>2117009.3081746935</v>
      </c>
      <c r="CK33" s="77">
        <f>SUP_CONTROL!$C$11*CAPA1_PILOTO!CK15+SUP_CONTROL!$C$12*CAPA2_FLAGSHIP!CK11+SUP_CONTROL!$C$13*CAPA3_EXPANSION!CK39+SUP_CONTROL!$C$14*CAPA4_RETAIL!CK8</f>
        <v>2117009.3081746935</v>
      </c>
      <c r="CL33" s="77">
        <f>SUP_CONTROL!$C$11*CAPA1_PILOTO!CL15+SUP_CONTROL!$C$12*CAPA2_FLAGSHIP!CL11+SUP_CONTROL!$C$13*CAPA3_EXPANSION!CL39+SUP_CONTROL!$C$14*CAPA4_RETAIL!CL8</f>
        <v>2117009.3081746935</v>
      </c>
      <c r="CM33" s="77">
        <f>SUP_CONTROL!$C$11*CAPA1_PILOTO!CM15+SUP_CONTROL!$C$12*CAPA2_FLAGSHIP!CM11+SUP_CONTROL!$C$13*CAPA3_EXPANSION!CM39+SUP_CONTROL!$C$14*CAPA4_RETAIL!CM8</f>
        <v>2117009.3081746935</v>
      </c>
      <c r="CN33" s="77">
        <f>SUP_CONTROL!$C$11*CAPA1_PILOTO!CN15+SUP_CONTROL!$C$12*CAPA2_FLAGSHIP!CN11+SUP_CONTROL!$C$13*CAPA3_EXPANSION!CN39+SUP_CONTROL!$C$14*CAPA4_RETAIL!CN8</f>
        <v>2117009.3081746935</v>
      </c>
      <c r="CO33" s="77">
        <f>SUP_CONTROL!$C$11*CAPA1_PILOTO!CO15+SUP_CONTROL!$C$12*CAPA2_FLAGSHIP!CO11+SUP_CONTROL!$C$13*CAPA3_EXPANSION!CO39+SUP_CONTROL!$C$14*CAPA4_RETAIL!CO8</f>
        <v>2117009.3081746935</v>
      </c>
      <c r="CP33" s="77">
        <f>SUP_CONTROL!$C$11*CAPA1_PILOTO!CP15+SUP_CONTROL!$C$12*CAPA2_FLAGSHIP!CP11+SUP_CONTROL!$C$13*CAPA3_EXPANSION!CP39+SUP_CONTROL!$C$14*CAPA4_RETAIL!CP8</f>
        <v>2117009.3081746935</v>
      </c>
      <c r="CQ33" s="77">
        <f>SUP_CONTROL!$C$11*CAPA1_PILOTO!CQ15+SUP_CONTROL!$C$12*CAPA2_FLAGSHIP!CQ11+SUP_CONTROL!$C$13*CAPA3_EXPANSION!CQ39+SUP_CONTROL!$C$14*CAPA4_RETAIL!CQ8</f>
        <v>2117009.3081746935</v>
      </c>
      <c r="CR33" s="77">
        <f>SUP_CONTROL!$C$11*CAPA1_PILOTO!CR15+SUP_CONTROL!$C$12*CAPA2_FLAGSHIP!CR11+SUP_CONTROL!$C$13*CAPA3_EXPANSION!CR39+SUP_CONTROL!$C$14*CAPA4_RETAIL!CR8</f>
        <v>2117009.3081746935</v>
      </c>
      <c r="CS33" s="77">
        <f>SUP_CONTROL!$C$11*CAPA1_PILOTO!CS15+SUP_CONTROL!$C$12*CAPA2_FLAGSHIP!CS11+SUP_CONTROL!$C$13*CAPA3_EXPANSION!CS39+SUP_CONTROL!$C$14*CAPA4_RETAIL!CS8</f>
        <v>2117009.3081746935</v>
      </c>
      <c r="CT33" s="77">
        <f>SUP_CONTROL!$C$11*CAPA1_PILOTO!CT15+SUP_CONTROL!$C$12*CAPA2_FLAGSHIP!CT11+SUP_CONTROL!$C$13*CAPA3_EXPANSION!CT39+SUP_CONTROL!$C$14*CAPA4_RETAIL!CT8</f>
        <v>2117009.3081746935</v>
      </c>
      <c r="CU33" s="77">
        <f>SUP_CONTROL!$C$11*CAPA1_PILOTO!CU15+SUP_CONTROL!$C$12*CAPA2_FLAGSHIP!CU11+SUP_CONTROL!$C$13*CAPA3_EXPANSION!CU39+SUP_CONTROL!$C$14*CAPA4_RETAIL!CU8</f>
        <v>2117009.3081746935</v>
      </c>
      <c r="CV33" s="77">
        <f>SUP_CONTROL!$C$11*CAPA1_PILOTO!CV15+SUP_CONTROL!$C$12*CAPA2_FLAGSHIP!CV11+SUP_CONTROL!$C$13*CAPA3_EXPANSION!CV39+SUP_CONTROL!$C$14*CAPA4_RETAIL!CV8</f>
        <v>2117009.3081746935</v>
      </c>
      <c r="CW33" s="77">
        <f>SUP_CONTROL!$C$11*CAPA1_PILOTO!CW15+SUP_CONTROL!$C$12*CAPA2_FLAGSHIP!CW11+SUP_CONTROL!$C$13*CAPA3_EXPANSION!CW39+SUP_CONTROL!$C$14*CAPA4_RETAIL!CW8</f>
        <v>2117009.3081746935</v>
      </c>
      <c r="CX33" s="77">
        <f>SUP_CONTROL!$C$11*CAPA1_PILOTO!CX15+SUP_CONTROL!$C$12*CAPA2_FLAGSHIP!CX11+SUP_CONTROL!$C$13*CAPA3_EXPANSION!CX39+SUP_CONTROL!$C$14*CAPA4_RETAIL!CX8</f>
        <v>2117009.3081746935</v>
      </c>
      <c r="CY33" s="77">
        <f>SUP_CONTROL!$C$11*CAPA1_PILOTO!CY15+SUP_CONTROL!$C$12*CAPA2_FLAGSHIP!CY11+SUP_CONTROL!$C$13*CAPA3_EXPANSION!CY39+SUP_CONTROL!$C$14*CAPA4_RETAIL!CY8</f>
        <v>2117009.3081746935</v>
      </c>
      <c r="CZ33" s="77">
        <f>SUP_CONTROL!$C$11*CAPA1_PILOTO!CZ15+SUP_CONTROL!$C$12*CAPA2_FLAGSHIP!CZ11+SUP_CONTROL!$C$13*CAPA3_EXPANSION!CZ39+SUP_CONTROL!$C$14*CAPA4_RETAIL!CZ8</f>
        <v>2117009.3081746935</v>
      </c>
      <c r="DA33" s="77">
        <f>SUP_CONTROL!$C$11*CAPA1_PILOTO!DA15+SUP_CONTROL!$C$12*CAPA2_FLAGSHIP!DA11+SUP_CONTROL!$C$13*CAPA3_EXPANSION!DA39+SUP_CONTROL!$C$14*CAPA4_RETAIL!DA8</f>
        <v>2117009.3081746935</v>
      </c>
      <c r="DB33" s="77">
        <f>SUP_CONTROL!$C$11*CAPA1_PILOTO!DB15+SUP_CONTROL!$C$12*CAPA2_FLAGSHIP!DB11+SUP_CONTROL!$C$13*CAPA3_EXPANSION!DB39+SUP_CONTROL!$C$14*CAPA4_RETAIL!DB8</f>
        <v>2117009.3081746935</v>
      </c>
      <c r="DC33" s="77">
        <f>SUP_CONTROL!$C$11*CAPA1_PILOTO!DC15+SUP_CONTROL!$C$12*CAPA2_FLAGSHIP!DC11+SUP_CONTROL!$C$13*CAPA3_EXPANSION!DC39+SUP_CONTROL!$C$14*CAPA4_RETAIL!DC8</f>
        <v>2117009.3081746935</v>
      </c>
      <c r="DD33" s="77">
        <f>SUP_CONTROL!$C$11*CAPA1_PILOTO!DD15+SUP_CONTROL!$C$12*CAPA2_FLAGSHIP!DD11+SUP_CONTROL!$C$13*CAPA3_EXPANSION!DD39+SUP_CONTROL!$C$14*CAPA4_RETAIL!DD8</f>
        <v>2117009.3081746935</v>
      </c>
      <c r="DE33" s="77">
        <f>SUP_CONTROL!$C$11*CAPA1_PILOTO!DE15+SUP_CONTROL!$C$12*CAPA2_FLAGSHIP!DE11+SUP_CONTROL!$C$13*CAPA3_EXPANSION!DE39+SUP_CONTROL!$C$14*CAPA4_RETAIL!DE8</f>
        <v>2117009.3081746935</v>
      </c>
      <c r="DF33" s="77">
        <f>SUP_CONTROL!$C$11*CAPA1_PILOTO!DF15+SUP_CONTROL!$C$12*CAPA2_FLAGSHIP!DF11+SUP_CONTROL!$C$13*CAPA3_EXPANSION!DF39+SUP_CONTROL!$C$14*CAPA4_RETAIL!DF8</f>
        <v>2117009.3081746935</v>
      </c>
      <c r="DG33" s="77">
        <f>SUP_CONTROL!$C$11*CAPA1_PILOTO!DG15+SUP_CONTROL!$C$12*CAPA2_FLAGSHIP!DG11+SUP_CONTROL!$C$13*CAPA3_EXPANSION!DG39+SUP_CONTROL!$C$14*CAPA4_RETAIL!DG8</f>
        <v>2117009.3081746935</v>
      </c>
      <c r="DH33" s="77">
        <f>SUP_CONTROL!$C$11*CAPA1_PILOTO!DH15+SUP_CONTROL!$C$12*CAPA2_FLAGSHIP!DH11+SUP_CONTROL!$C$13*CAPA3_EXPANSION!DH39+SUP_CONTROL!$C$14*CAPA4_RETAIL!DH8</f>
        <v>2117009.3081746935</v>
      </c>
      <c r="DI33" s="77">
        <f>SUP_CONTROL!$C$11*CAPA1_PILOTO!DI15+SUP_CONTROL!$C$12*CAPA2_FLAGSHIP!DI11+SUP_CONTROL!$C$13*CAPA3_EXPANSION!DI39+SUP_CONTROL!$C$14*CAPA4_RETAIL!DI8</f>
        <v>2117009.3081746935</v>
      </c>
      <c r="DJ33" s="77">
        <f>SUP_CONTROL!$C$11*CAPA1_PILOTO!DJ15+SUP_CONTROL!$C$12*CAPA2_FLAGSHIP!DJ11+SUP_CONTROL!$C$13*CAPA3_EXPANSION!DJ39+SUP_CONTROL!$C$14*CAPA4_RETAIL!DJ8</f>
        <v>2117009.3081746935</v>
      </c>
      <c r="DK33" s="77">
        <f>SUP_CONTROL!$C$11*CAPA1_PILOTO!DK15+SUP_CONTROL!$C$12*CAPA2_FLAGSHIP!DK11+SUP_CONTROL!$C$13*CAPA3_EXPANSION!DK39+SUP_CONTROL!$C$14*CAPA4_RETAIL!DK8</f>
        <v>2117009.3081746935</v>
      </c>
      <c r="DL33" s="77">
        <f>SUP_CONTROL!$C$11*CAPA1_PILOTO!DL15+SUP_CONTROL!$C$12*CAPA2_FLAGSHIP!DL11+SUP_CONTROL!$C$13*CAPA3_EXPANSION!DL39+SUP_CONTROL!$C$14*CAPA4_RETAIL!DL8</f>
        <v>2117009.3081746935</v>
      </c>
      <c r="DM33" s="77">
        <f>SUP_CONTROL!$C$11*CAPA1_PILOTO!DM15+SUP_CONTROL!$C$12*CAPA2_FLAGSHIP!DM11+SUP_CONTROL!$C$13*CAPA3_EXPANSION!DM39+SUP_CONTROL!$C$14*CAPA4_RETAIL!DM8</f>
        <v>2117009.3081746935</v>
      </c>
      <c r="DN33" s="77">
        <f>SUP_CONTROL!$C$11*CAPA1_PILOTO!DN15+SUP_CONTROL!$C$12*CAPA2_FLAGSHIP!DN11+SUP_CONTROL!$C$13*CAPA3_EXPANSION!DN39+SUP_CONTROL!$C$14*CAPA4_RETAIL!DN8</f>
        <v>2117009.3081746935</v>
      </c>
      <c r="DO33" s="77">
        <f>SUP_CONTROL!$C$11*CAPA1_PILOTO!DO15+SUP_CONTROL!$C$12*CAPA2_FLAGSHIP!DO11+SUP_CONTROL!$C$13*CAPA3_EXPANSION!DO39+SUP_CONTROL!$C$14*CAPA4_RETAIL!DO8</f>
        <v>2117009.3081746935</v>
      </c>
      <c r="DP33" s="77">
        <f>SUP_CONTROL!$C$11*CAPA1_PILOTO!DP15+SUP_CONTROL!$C$12*CAPA2_FLAGSHIP!DP11+SUP_CONTROL!$C$13*CAPA3_EXPANSION!DP39+SUP_CONTROL!$C$14*CAPA4_RETAIL!DP8</f>
        <v>2117009.3081746935</v>
      </c>
      <c r="DQ33" s="77">
        <f>SUP_CONTROL!$C$11*CAPA1_PILOTO!DQ15+SUP_CONTROL!$C$12*CAPA2_FLAGSHIP!DQ11+SUP_CONTROL!$C$13*CAPA3_EXPANSION!DQ39+SUP_CONTROL!$C$14*CAPA4_RETAIL!DQ8</f>
        <v>2117009.3081746935</v>
      </c>
      <c r="DR33" s="77">
        <f>SUP_CONTROL!$C$11*CAPA1_PILOTO!DR15+SUP_CONTROL!$C$12*CAPA2_FLAGSHIP!DR11+SUP_CONTROL!$C$13*CAPA3_EXPANSION!DR39+SUP_CONTROL!$C$14*CAPA4_RETAIL!DR8</f>
        <v>2117009.3081746935</v>
      </c>
      <c r="DS33" s="77">
        <f>SUP_CONTROL!$C$11*CAPA1_PILOTO!DS15+SUP_CONTROL!$C$12*CAPA2_FLAGSHIP!DS11+SUP_CONTROL!$C$13*CAPA3_EXPANSION!DS39+SUP_CONTROL!$C$14*CAPA4_RETAIL!DS8</f>
        <v>2117009.3081746935</v>
      </c>
    </row>
    <row r="34" spans="2:123" ht="15" customHeight="1" x14ac:dyDescent="0.2">
      <c r="B34" s="37" t="s">
        <v>637</v>
      </c>
      <c r="D34" s="89">
        <f t="shared" ref="D34:AI34" si="8">INDEX($C$21:$L$21,ROUNDUP(D29/12,0))</f>
        <v>0.08</v>
      </c>
      <c r="E34" s="89">
        <f t="shared" si="8"/>
        <v>0.08</v>
      </c>
      <c r="F34" s="89">
        <f t="shared" si="8"/>
        <v>0.08</v>
      </c>
      <c r="G34" s="89">
        <f t="shared" si="8"/>
        <v>0.08</v>
      </c>
      <c r="H34" s="89">
        <f t="shared" si="8"/>
        <v>0.08</v>
      </c>
      <c r="I34" s="89">
        <f t="shared" si="8"/>
        <v>0.08</v>
      </c>
      <c r="J34" s="89">
        <f t="shared" si="8"/>
        <v>0.08</v>
      </c>
      <c r="K34" s="89">
        <f t="shared" si="8"/>
        <v>0.08</v>
      </c>
      <c r="L34" s="89">
        <f t="shared" si="8"/>
        <v>0.08</v>
      </c>
      <c r="M34" s="89">
        <f t="shared" si="8"/>
        <v>0.08</v>
      </c>
      <c r="N34" s="89">
        <f t="shared" si="8"/>
        <v>0.08</v>
      </c>
      <c r="O34" s="89">
        <f t="shared" si="8"/>
        <v>0.08</v>
      </c>
      <c r="P34" s="89">
        <f t="shared" si="8"/>
        <v>7.0000000000000007E-2</v>
      </c>
      <c r="Q34" s="89">
        <f t="shared" si="8"/>
        <v>7.0000000000000007E-2</v>
      </c>
      <c r="R34" s="89">
        <f t="shared" si="8"/>
        <v>7.0000000000000007E-2</v>
      </c>
      <c r="S34" s="89">
        <f t="shared" si="8"/>
        <v>7.0000000000000007E-2</v>
      </c>
      <c r="T34" s="89">
        <f t="shared" si="8"/>
        <v>7.0000000000000007E-2</v>
      </c>
      <c r="U34" s="89">
        <f t="shared" si="8"/>
        <v>7.0000000000000007E-2</v>
      </c>
      <c r="V34" s="89">
        <f t="shared" si="8"/>
        <v>7.0000000000000007E-2</v>
      </c>
      <c r="W34" s="89">
        <f t="shared" si="8"/>
        <v>7.0000000000000007E-2</v>
      </c>
      <c r="X34" s="89">
        <f t="shared" si="8"/>
        <v>7.0000000000000007E-2</v>
      </c>
      <c r="Y34" s="89">
        <f t="shared" si="8"/>
        <v>7.0000000000000007E-2</v>
      </c>
      <c r="Z34" s="89">
        <f t="shared" si="8"/>
        <v>7.0000000000000007E-2</v>
      </c>
      <c r="AA34" s="89">
        <f t="shared" si="8"/>
        <v>7.0000000000000007E-2</v>
      </c>
      <c r="AB34" s="89">
        <f t="shared" si="8"/>
        <v>0.06</v>
      </c>
      <c r="AC34" s="89">
        <f t="shared" si="8"/>
        <v>0.06</v>
      </c>
      <c r="AD34" s="89">
        <f t="shared" si="8"/>
        <v>0.06</v>
      </c>
      <c r="AE34" s="89">
        <f t="shared" si="8"/>
        <v>0.06</v>
      </c>
      <c r="AF34" s="89">
        <f t="shared" si="8"/>
        <v>0.06</v>
      </c>
      <c r="AG34" s="89">
        <f t="shared" si="8"/>
        <v>0.06</v>
      </c>
      <c r="AH34" s="89">
        <f t="shared" si="8"/>
        <v>0.06</v>
      </c>
      <c r="AI34" s="89">
        <f t="shared" si="8"/>
        <v>0.06</v>
      </c>
      <c r="AJ34" s="89">
        <f t="shared" ref="AJ34:BO34" si="9">INDEX($C$21:$L$21,ROUNDUP(AJ29/12,0))</f>
        <v>0.06</v>
      </c>
      <c r="AK34" s="89">
        <f t="shared" si="9"/>
        <v>0.06</v>
      </c>
      <c r="AL34" s="89">
        <f t="shared" si="9"/>
        <v>0.06</v>
      </c>
      <c r="AM34" s="89">
        <f t="shared" si="9"/>
        <v>0.06</v>
      </c>
      <c r="AN34" s="89">
        <f t="shared" si="9"/>
        <v>5.5E-2</v>
      </c>
      <c r="AO34" s="89">
        <f t="shared" si="9"/>
        <v>5.5E-2</v>
      </c>
      <c r="AP34" s="89">
        <f t="shared" si="9"/>
        <v>5.5E-2</v>
      </c>
      <c r="AQ34" s="89">
        <f t="shared" si="9"/>
        <v>5.5E-2</v>
      </c>
      <c r="AR34" s="89">
        <f t="shared" si="9"/>
        <v>5.5E-2</v>
      </c>
      <c r="AS34" s="89">
        <f t="shared" si="9"/>
        <v>5.5E-2</v>
      </c>
      <c r="AT34" s="89">
        <f t="shared" si="9"/>
        <v>5.5E-2</v>
      </c>
      <c r="AU34" s="89">
        <f t="shared" si="9"/>
        <v>5.5E-2</v>
      </c>
      <c r="AV34" s="89">
        <f t="shared" si="9"/>
        <v>5.5E-2</v>
      </c>
      <c r="AW34" s="89">
        <f t="shared" si="9"/>
        <v>5.5E-2</v>
      </c>
      <c r="AX34" s="89">
        <f t="shared" si="9"/>
        <v>5.5E-2</v>
      </c>
      <c r="AY34" s="89">
        <f t="shared" si="9"/>
        <v>5.5E-2</v>
      </c>
      <c r="AZ34" s="89">
        <f t="shared" si="9"/>
        <v>0.05</v>
      </c>
      <c r="BA34" s="89">
        <f t="shared" si="9"/>
        <v>0.05</v>
      </c>
      <c r="BB34" s="89">
        <f t="shared" si="9"/>
        <v>0.05</v>
      </c>
      <c r="BC34" s="89">
        <f t="shared" si="9"/>
        <v>0.05</v>
      </c>
      <c r="BD34" s="89">
        <f t="shared" si="9"/>
        <v>0.05</v>
      </c>
      <c r="BE34" s="89">
        <f t="shared" si="9"/>
        <v>0.05</v>
      </c>
      <c r="BF34" s="89">
        <f t="shared" si="9"/>
        <v>0.05</v>
      </c>
      <c r="BG34" s="89">
        <f t="shared" si="9"/>
        <v>0.05</v>
      </c>
      <c r="BH34" s="89">
        <f t="shared" si="9"/>
        <v>0.05</v>
      </c>
      <c r="BI34" s="89">
        <f t="shared" si="9"/>
        <v>0.05</v>
      </c>
      <c r="BJ34" s="89">
        <f t="shared" si="9"/>
        <v>0.05</v>
      </c>
      <c r="BK34" s="89">
        <f t="shared" si="9"/>
        <v>0.05</v>
      </c>
      <c r="BL34" s="89">
        <f t="shared" si="9"/>
        <v>4.4999999999999998E-2</v>
      </c>
      <c r="BM34" s="89">
        <f t="shared" si="9"/>
        <v>4.4999999999999998E-2</v>
      </c>
      <c r="BN34" s="89">
        <f t="shared" si="9"/>
        <v>4.4999999999999998E-2</v>
      </c>
      <c r="BO34" s="89">
        <f t="shared" si="9"/>
        <v>4.4999999999999998E-2</v>
      </c>
      <c r="BP34" s="89">
        <f t="shared" ref="BP34:CU34" si="10">INDEX($C$21:$L$21,ROUNDUP(BP29/12,0))</f>
        <v>4.4999999999999998E-2</v>
      </c>
      <c r="BQ34" s="89">
        <f t="shared" si="10"/>
        <v>4.4999999999999998E-2</v>
      </c>
      <c r="BR34" s="89">
        <f t="shared" si="10"/>
        <v>4.4999999999999998E-2</v>
      </c>
      <c r="BS34" s="89">
        <f t="shared" si="10"/>
        <v>4.4999999999999998E-2</v>
      </c>
      <c r="BT34" s="89">
        <f t="shared" si="10"/>
        <v>4.4999999999999998E-2</v>
      </c>
      <c r="BU34" s="89">
        <f t="shared" si="10"/>
        <v>4.4999999999999998E-2</v>
      </c>
      <c r="BV34" s="89">
        <f t="shared" si="10"/>
        <v>4.4999999999999998E-2</v>
      </c>
      <c r="BW34" s="89">
        <f t="shared" si="10"/>
        <v>4.4999999999999998E-2</v>
      </c>
      <c r="BX34" s="89">
        <f t="shared" si="10"/>
        <v>0.04</v>
      </c>
      <c r="BY34" s="89">
        <f t="shared" si="10"/>
        <v>0.04</v>
      </c>
      <c r="BZ34" s="89">
        <f t="shared" si="10"/>
        <v>0.04</v>
      </c>
      <c r="CA34" s="89">
        <f t="shared" si="10"/>
        <v>0.04</v>
      </c>
      <c r="CB34" s="89">
        <f t="shared" si="10"/>
        <v>0.04</v>
      </c>
      <c r="CC34" s="89">
        <f t="shared" si="10"/>
        <v>0.04</v>
      </c>
      <c r="CD34" s="89">
        <f t="shared" si="10"/>
        <v>0.04</v>
      </c>
      <c r="CE34" s="89">
        <f t="shared" si="10"/>
        <v>0.04</v>
      </c>
      <c r="CF34" s="89">
        <f t="shared" si="10"/>
        <v>0.04</v>
      </c>
      <c r="CG34" s="89">
        <f t="shared" si="10"/>
        <v>0.04</v>
      </c>
      <c r="CH34" s="89">
        <f t="shared" si="10"/>
        <v>0.04</v>
      </c>
      <c r="CI34" s="89">
        <f t="shared" si="10"/>
        <v>0.04</v>
      </c>
      <c r="CJ34" s="89">
        <f t="shared" si="10"/>
        <v>0.04</v>
      </c>
      <c r="CK34" s="89">
        <f t="shared" si="10"/>
        <v>0.04</v>
      </c>
      <c r="CL34" s="89">
        <f t="shared" si="10"/>
        <v>0.04</v>
      </c>
      <c r="CM34" s="89">
        <f t="shared" si="10"/>
        <v>0.04</v>
      </c>
      <c r="CN34" s="89">
        <f t="shared" si="10"/>
        <v>0.04</v>
      </c>
      <c r="CO34" s="89">
        <f t="shared" si="10"/>
        <v>0.04</v>
      </c>
      <c r="CP34" s="89">
        <f t="shared" si="10"/>
        <v>0.04</v>
      </c>
      <c r="CQ34" s="89">
        <f t="shared" si="10"/>
        <v>0.04</v>
      </c>
      <c r="CR34" s="89">
        <f t="shared" si="10"/>
        <v>0.04</v>
      </c>
      <c r="CS34" s="89">
        <f t="shared" si="10"/>
        <v>0.04</v>
      </c>
      <c r="CT34" s="89">
        <f t="shared" si="10"/>
        <v>0.04</v>
      </c>
      <c r="CU34" s="89">
        <f t="shared" si="10"/>
        <v>0.04</v>
      </c>
      <c r="CV34" s="89">
        <f t="shared" ref="CV34:DS34" si="11">INDEX($C$21:$L$21,ROUNDUP(CV29/12,0))</f>
        <v>0.04</v>
      </c>
      <c r="CW34" s="89">
        <f t="shared" si="11"/>
        <v>0.04</v>
      </c>
      <c r="CX34" s="89">
        <f t="shared" si="11"/>
        <v>0.04</v>
      </c>
      <c r="CY34" s="89">
        <f t="shared" si="11"/>
        <v>0.04</v>
      </c>
      <c r="CZ34" s="89">
        <f t="shared" si="11"/>
        <v>0.04</v>
      </c>
      <c r="DA34" s="89">
        <f t="shared" si="11"/>
        <v>0.04</v>
      </c>
      <c r="DB34" s="89">
        <f t="shared" si="11"/>
        <v>0.04</v>
      </c>
      <c r="DC34" s="89">
        <f t="shared" si="11"/>
        <v>0.04</v>
      </c>
      <c r="DD34" s="89">
        <f t="shared" si="11"/>
        <v>0.04</v>
      </c>
      <c r="DE34" s="89">
        <f t="shared" si="11"/>
        <v>0.04</v>
      </c>
      <c r="DF34" s="89">
        <f t="shared" si="11"/>
        <v>0.04</v>
      </c>
      <c r="DG34" s="89">
        <f t="shared" si="11"/>
        <v>0.04</v>
      </c>
      <c r="DH34" s="89">
        <f t="shared" si="11"/>
        <v>0.04</v>
      </c>
      <c r="DI34" s="89">
        <f t="shared" si="11"/>
        <v>0.04</v>
      </c>
      <c r="DJ34" s="89">
        <f t="shared" si="11"/>
        <v>0.04</v>
      </c>
      <c r="DK34" s="89">
        <f t="shared" si="11"/>
        <v>0.04</v>
      </c>
      <c r="DL34" s="89">
        <f t="shared" si="11"/>
        <v>0.04</v>
      </c>
      <c r="DM34" s="89">
        <f t="shared" si="11"/>
        <v>0.04</v>
      </c>
      <c r="DN34" s="89">
        <f t="shared" si="11"/>
        <v>0.04</v>
      </c>
      <c r="DO34" s="89">
        <f t="shared" si="11"/>
        <v>0.04</v>
      </c>
      <c r="DP34" s="89">
        <f t="shared" si="11"/>
        <v>0.04</v>
      </c>
      <c r="DQ34" s="89">
        <f t="shared" si="11"/>
        <v>0.04</v>
      </c>
      <c r="DR34" s="89">
        <f t="shared" si="11"/>
        <v>0.04</v>
      </c>
      <c r="DS34" s="89">
        <f t="shared" si="11"/>
        <v>0.04</v>
      </c>
    </row>
    <row r="35" spans="2:123" ht="15" customHeight="1" x14ac:dyDescent="0.2">
      <c r="B35" s="37" t="s">
        <v>638</v>
      </c>
      <c r="D35" s="77">
        <f t="shared" ref="D35:AI35" si="12">D33*D34</f>
        <v>0</v>
      </c>
      <c r="E35" s="77">
        <f t="shared" si="12"/>
        <v>0</v>
      </c>
      <c r="F35" s="77">
        <f t="shared" si="12"/>
        <v>0</v>
      </c>
      <c r="G35" s="77">
        <f t="shared" si="12"/>
        <v>4894.0109502056994</v>
      </c>
      <c r="H35" s="77">
        <f t="shared" si="12"/>
        <v>10836.738532598336</v>
      </c>
      <c r="I35" s="77">
        <f t="shared" si="12"/>
        <v>17828.182747177907</v>
      </c>
      <c r="J35" s="77">
        <f t="shared" si="12"/>
        <v>25553.728604288335</v>
      </c>
      <c r="K35" s="77">
        <f t="shared" si="12"/>
        <v>34170.683598757656</v>
      </c>
      <c r="L35" s="77">
        <f t="shared" si="12"/>
        <v>36740.039347615646</v>
      </c>
      <c r="M35" s="77">
        <f t="shared" si="12"/>
        <v>38103.370969458665</v>
      </c>
      <c r="N35" s="77">
        <f t="shared" si="12"/>
        <v>38103.370969458665</v>
      </c>
      <c r="O35" s="77">
        <f t="shared" si="12"/>
        <v>38103.370969458665</v>
      </c>
      <c r="P35" s="77">
        <f t="shared" si="12"/>
        <v>33340.449598276333</v>
      </c>
      <c r="Q35" s="77">
        <f t="shared" si="12"/>
        <v>33340.449598276333</v>
      </c>
      <c r="R35" s="77">
        <f t="shared" si="12"/>
        <v>33340.449598276333</v>
      </c>
      <c r="S35" s="77">
        <f t="shared" si="12"/>
        <v>33340.449598276333</v>
      </c>
      <c r="T35" s="77">
        <f t="shared" si="12"/>
        <v>35328.6415467974</v>
      </c>
      <c r="U35" s="77">
        <f t="shared" si="12"/>
        <v>35787.455073379184</v>
      </c>
      <c r="V35" s="77">
        <f t="shared" si="12"/>
        <v>38081.522706288102</v>
      </c>
      <c r="W35" s="77">
        <f t="shared" si="12"/>
        <v>40834.403865778819</v>
      </c>
      <c r="X35" s="77">
        <f t="shared" si="12"/>
        <v>41599.093076748453</v>
      </c>
      <c r="Y35" s="77">
        <f t="shared" si="12"/>
        <v>42210.844445524162</v>
      </c>
      <c r="Z35" s="77">
        <f t="shared" si="12"/>
        <v>42516.720129912021</v>
      </c>
      <c r="AA35" s="77">
        <f t="shared" si="12"/>
        <v>42516.720129912021</v>
      </c>
      <c r="AB35" s="77">
        <f t="shared" si="12"/>
        <v>36442.902968496019</v>
      </c>
      <c r="AC35" s="77">
        <f t="shared" si="12"/>
        <v>36442.902968496019</v>
      </c>
      <c r="AD35" s="77">
        <f t="shared" si="12"/>
        <v>36206.941726253957</v>
      </c>
      <c r="AE35" s="77">
        <f t="shared" si="12"/>
        <v>36206.941726253957</v>
      </c>
      <c r="AF35" s="77">
        <f t="shared" si="12"/>
        <v>38355.893195184013</v>
      </c>
      <c r="AG35" s="77">
        <f t="shared" si="12"/>
        <v>40504.844664114062</v>
      </c>
      <c r="AH35" s="77">
        <f t="shared" si="12"/>
        <v>41216.923257368995</v>
      </c>
      <c r="AI35" s="77">
        <f t="shared" si="12"/>
        <v>43454.884550455907</v>
      </c>
      <c r="AJ35" s="77">
        <f t="shared" ref="AJ35:BO35" si="13">AJ33*AJ34</f>
        <v>45743.7086002039</v>
      </c>
      <c r="AK35" s="77">
        <f t="shared" si="13"/>
        <v>46379.493058467226</v>
      </c>
      <c r="AL35" s="77">
        <f t="shared" si="13"/>
        <v>46416.198140593769</v>
      </c>
      <c r="AM35" s="77">
        <f t="shared" si="13"/>
        <v>48757.523566740616</v>
      </c>
      <c r="AN35" s="77">
        <f t="shared" si="13"/>
        <v>46613.49888115553</v>
      </c>
      <c r="AO35" s="77">
        <f t="shared" si="13"/>
        <v>48725.646950774768</v>
      </c>
      <c r="AP35" s="77">
        <f t="shared" si="13"/>
        <v>51064.907716052003</v>
      </c>
      <c r="AQ35" s="77">
        <f t="shared" si="13"/>
        <v>51859.802150854935</v>
      </c>
      <c r="AR35" s="77">
        <f t="shared" si="13"/>
        <v>54233.129820480863</v>
      </c>
      <c r="AS35" s="77">
        <f t="shared" si="13"/>
        <v>54903.112272671919</v>
      </c>
      <c r="AT35" s="77">
        <f t="shared" si="13"/>
        <v>56674.591298804189</v>
      </c>
      <c r="AU35" s="77">
        <f t="shared" si="13"/>
        <v>58786.739368423427</v>
      </c>
      <c r="AV35" s="77">
        <f t="shared" si="13"/>
        <v>59354.521107568376</v>
      </c>
      <c r="AW35" s="77">
        <f t="shared" si="13"/>
        <v>59808.746498884349</v>
      </c>
      <c r="AX35" s="77">
        <f t="shared" si="13"/>
        <v>60035.859194542332</v>
      </c>
      <c r="AY35" s="77">
        <f t="shared" si="13"/>
        <v>60035.859194542332</v>
      </c>
      <c r="AZ35" s="77">
        <f t="shared" si="13"/>
        <v>54578.053813220307</v>
      </c>
      <c r="BA35" s="77">
        <f t="shared" si="13"/>
        <v>53764.206010116905</v>
      </c>
      <c r="BB35" s="77">
        <f t="shared" si="13"/>
        <v>53764.206010116905</v>
      </c>
      <c r="BC35" s="77">
        <f t="shared" si="13"/>
        <v>53764.206010116905</v>
      </c>
      <c r="BD35" s="77">
        <f t="shared" si="13"/>
        <v>56377.258285316027</v>
      </c>
      <c r="BE35" s="77">
        <f t="shared" si="13"/>
        <v>58286.796486423074</v>
      </c>
      <c r="BF35" s="77">
        <f t="shared" si="13"/>
        <v>59887.181763666675</v>
      </c>
      <c r="BG35" s="77">
        <f t="shared" si="13"/>
        <v>62138.645283392994</v>
      </c>
      <c r="BH35" s="77">
        <f t="shared" si="13"/>
        <v>64163.979279304018</v>
      </c>
      <c r="BI35" s="77">
        <f t="shared" si="13"/>
        <v>66189.313275215027</v>
      </c>
      <c r="BJ35" s="77">
        <f t="shared" si="13"/>
        <v>68539.09397920889</v>
      </c>
      <c r="BK35" s="77">
        <f t="shared" si="13"/>
        <v>69554.382768744865</v>
      </c>
      <c r="BL35" s="77">
        <f t="shared" si="13"/>
        <v>64381.238408272067</v>
      </c>
      <c r="BM35" s="77">
        <f t="shared" si="13"/>
        <v>66163.532324673768</v>
      </c>
      <c r="BN35" s="77">
        <f t="shared" si="13"/>
        <v>68231.339344188367</v>
      </c>
      <c r="BO35" s="77">
        <f t="shared" si="13"/>
        <v>70039.5889972367</v>
      </c>
      <c r="BP35" s="77">
        <f t="shared" ref="BP35:CU35" si="14">BP33*BP34</f>
        <v>70962.983991877307</v>
      </c>
      <c r="BQ35" s="77">
        <f t="shared" si="14"/>
        <v>72714.897898340336</v>
      </c>
      <c r="BR35" s="77">
        <f t="shared" si="14"/>
        <v>74747.458207295014</v>
      </c>
      <c r="BS35" s="77">
        <f t="shared" si="14"/>
        <v>77630.462160163792</v>
      </c>
      <c r="BT35" s="77">
        <f t="shared" si="14"/>
        <v>79637.509159801048</v>
      </c>
      <c r="BU35" s="77">
        <f t="shared" si="14"/>
        <v>80516.858055889767</v>
      </c>
      <c r="BV35" s="77">
        <f t="shared" si="14"/>
        <v>82355.38940169249</v>
      </c>
      <c r="BW35" s="77">
        <f t="shared" si="14"/>
        <v>84352.703000087262</v>
      </c>
      <c r="BX35" s="77">
        <f t="shared" si="14"/>
        <v>76532.718025422088</v>
      </c>
      <c r="BY35" s="77">
        <f t="shared" si="14"/>
        <v>78062.970377888181</v>
      </c>
      <c r="BZ35" s="77">
        <f t="shared" si="14"/>
        <v>79835.301486284108</v>
      </c>
      <c r="CA35" s="77">
        <f t="shared" si="14"/>
        <v>81810.034904692104</v>
      </c>
      <c r="CB35" s="77">
        <f t="shared" si="14"/>
        <v>83491.127666087763</v>
      </c>
      <c r="CC35" s="77">
        <f t="shared" si="14"/>
        <v>84195.865242917367</v>
      </c>
      <c r="CD35" s="77">
        <f t="shared" si="14"/>
        <v>84533.551998481562</v>
      </c>
      <c r="CE35" s="77">
        <f t="shared" si="14"/>
        <v>84680.372326987737</v>
      </c>
      <c r="CF35" s="77">
        <f t="shared" si="14"/>
        <v>84680.372326987737</v>
      </c>
      <c r="CG35" s="77">
        <f t="shared" si="14"/>
        <v>84680.372326987737</v>
      </c>
      <c r="CH35" s="77">
        <f t="shared" si="14"/>
        <v>84680.372326987737</v>
      </c>
      <c r="CI35" s="77">
        <f t="shared" si="14"/>
        <v>84680.372326987737</v>
      </c>
      <c r="CJ35" s="77">
        <f t="shared" si="14"/>
        <v>84680.372326987737</v>
      </c>
      <c r="CK35" s="77">
        <f t="shared" si="14"/>
        <v>84680.372326987737</v>
      </c>
      <c r="CL35" s="77">
        <f t="shared" si="14"/>
        <v>84680.372326987737</v>
      </c>
      <c r="CM35" s="77">
        <f t="shared" si="14"/>
        <v>84680.372326987737</v>
      </c>
      <c r="CN35" s="77">
        <f t="shared" si="14"/>
        <v>84680.372326987737</v>
      </c>
      <c r="CO35" s="77">
        <f t="shared" si="14"/>
        <v>84680.372326987737</v>
      </c>
      <c r="CP35" s="77">
        <f t="shared" si="14"/>
        <v>84680.372326987737</v>
      </c>
      <c r="CQ35" s="77">
        <f t="shared" si="14"/>
        <v>84680.372326987737</v>
      </c>
      <c r="CR35" s="77">
        <f t="shared" si="14"/>
        <v>84680.372326987737</v>
      </c>
      <c r="CS35" s="77">
        <f t="shared" si="14"/>
        <v>84680.372326987737</v>
      </c>
      <c r="CT35" s="77">
        <f t="shared" si="14"/>
        <v>84680.372326987737</v>
      </c>
      <c r="CU35" s="77">
        <f t="shared" si="14"/>
        <v>84680.372326987737</v>
      </c>
      <c r="CV35" s="77">
        <f t="shared" ref="CV35:EA35" si="15">CV33*CV34</f>
        <v>84680.372326987737</v>
      </c>
      <c r="CW35" s="77">
        <f t="shared" si="15"/>
        <v>84680.372326987737</v>
      </c>
      <c r="CX35" s="77">
        <f t="shared" si="15"/>
        <v>84680.372326987737</v>
      </c>
      <c r="CY35" s="77">
        <f t="shared" si="15"/>
        <v>84680.372326987737</v>
      </c>
      <c r="CZ35" s="77">
        <f t="shared" si="15"/>
        <v>84680.372326987737</v>
      </c>
      <c r="DA35" s="77">
        <f t="shared" si="15"/>
        <v>84680.372326987737</v>
      </c>
      <c r="DB35" s="77">
        <f t="shared" si="15"/>
        <v>84680.372326987737</v>
      </c>
      <c r="DC35" s="77">
        <f t="shared" si="15"/>
        <v>84680.372326987737</v>
      </c>
      <c r="DD35" s="77">
        <f t="shared" si="15"/>
        <v>84680.372326987737</v>
      </c>
      <c r="DE35" s="77">
        <f t="shared" si="15"/>
        <v>84680.372326987737</v>
      </c>
      <c r="DF35" s="77">
        <f t="shared" si="15"/>
        <v>84680.372326987737</v>
      </c>
      <c r="DG35" s="77">
        <f t="shared" si="15"/>
        <v>84680.372326987737</v>
      </c>
      <c r="DH35" s="77">
        <f t="shared" si="15"/>
        <v>84680.372326987737</v>
      </c>
      <c r="DI35" s="77">
        <f t="shared" si="15"/>
        <v>84680.372326987737</v>
      </c>
      <c r="DJ35" s="77">
        <f t="shared" si="15"/>
        <v>84680.372326987737</v>
      </c>
      <c r="DK35" s="77">
        <f t="shared" si="15"/>
        <v>84680.372326987737</v>
      </c>
      <c r="DL35" s="77">
        <f t="shared" si="15"/>
        <v>84680.372326987737</v>
      </c>
      <c r="DM35" s="77">
        <f t="shared" si="15"/>
        <v>84680.372326987737</v>
      </c>
      <c r="DN35" s="77">
        <f t="shared" si="15"/>
        <v>84680.372326987737</v>
      </c>
      <c r="DO35" s="77">
        <f t="shared" si="15"/>
        <v>84680.372326987737</v>
      </c>
      <c r="DP35" s="77">
        <f t="shared" si="15"/>
        <v>84680.372326987737</v>
      </c>
      <c r="DQ35" s="77">
        <f t="shared" si="15"/>
        <v>84680.372326987737</v>
      </c>
      <c r="DR35" s="77">
        <f t="shared" si="15"/>
        <v>84680.372326987737</v>
      </c>
      <c r="DS35" s="77">
        <f t="shared" si="15"/>
        <v>84680.372326987737</v>
      </c>
    </row>
    <row r="36" spans="2:123" ht="15" customHeight="1" x14ac:dyDescent="0.2">
      <c r="B36" s="20" t="s">
        <v>639</v>
      </c>
      <c r="D36" s="72">
        <f t="shared" ref="D36:AI36" si="16">MAX(D32,D35)</f>
        <v>0</v>
      </c>
      <c r="E36" s="72">
        <f t="shared" si="16"/>
        <v>15714.999999999998</v>
      </c>
      <c r="F36" s="72">
        <f t="shared" si="16"/>
        <v>15714.999999999998</v>
      </c>
      <c r="G36" s="72">
        <f t="shared" si="16"/>
        <v>15714.999999999998</v>
      </c>
      <c r="H36" s="72">
        <f t="shared" si="16"/>
        <v>15714.999999999998</v>
      </c>
      <c r="I36" s="72">
        <f t="shared" si="16"/>
        <v>17828.182747177907</v>
      </c>
      <c r="J36" s="72">
        <f t="shared" si="16"/>
        <v>25553.728604288335</v>
      </c>
      <c r="K36" s="72">
        <f t="shared" si="16"/>
        <v>34170.683598757656</v>
      </c>
      <c r="L36" s="72">
        <f t="shared" si="16"/>
        <v>36740.039347615646</v>
      </c>
      <c r="M36" s="72">
        <f t="shared" si="16"/>
        <v>38103.370969458665</v>
      </c>
      <c r="N36" s="72">
        <f t="shared" si="16"/>
        <v>38103.370969458665</v>
      </c>
      <c r="O36" s="72">
        <f t="shared" si="16"/>
        <v>38103.370969458665</v>
      </c>
      <c r="P36" s="72">
        <f t="shared" si="16"/>
        <v>33340.449598276333</v>
      </c>
      <c r="Q36" s="72">
        <f t="shared" si="16"/>
        <v>33340.449598276333</v>
      </c>
      <c r="R36" s="72">
        <f t="shared" si="16"/>
        <v>33340.449598276333</v>
      </c>
      <c r="S36" s="72">
        <f t="shared" si="16"/>
        <v>33340.449598276333</v>
      </c>
      <c r="T36" s="72">
        <f t="shared" si="16"/>
        <v>35328.6415467974</v>
      </c>
      <c r="U36" s="72">
        <f t="shared" si="16"/>
        <v>35787.455073379184</v>
      </c>
      <c r="V36" s="72">
        <f t="shared" si="16"/>
        <v>38081.522706288102</v>
      </c>
      <c r="W36" s="72">
        <f t="shared" si="16"/>
        <v>40834.403865778819</v>
      </c>
      <c r="X36" s="72">
        <f t="shared" si="16"/>
        <v>41599.093076748453</v>
      </c>
      <c r="Y36" s="72">
        <f t="shared" si="16"/>
        <v>42210.844445524162</v>
      </c>
      <c r="Z36" s="72">
        <f t="shared" si="16"/>
        <v>42516.720129912021</v>
      </c>
      <c r="AA36" s="72">
        <f t="shared" si="16"/>
        <v>42516.720129912021</v>
      </c>
      <c r="AB36" s="72">
        <f t="shared" si="16"/>
        <v>36442.902968496019</v>
      </c>
      <c r="AC36" s="72">
        <f t="shared" si="16"/>
        <v>36442.902968496019</v>
      </c>
      <c r="AD36" s="72">
        <f t="shared" si="16"/>
        <v>36206.941726253957</v>
      </c>
      <c r="AE36" s="72">
        <f t="shared" si="16"/>
        <v>36206.941726253957</v>
      </c>
      <c r="AF36" s="72">
        <f t="shared" si="16"/>
        <v>38355.893195184013</v>
      </c>
      <c r="AG36" s="72">
        <f t="shared" si="16"/>
        <v>40504.844664114062</v>
      </c>
      <c r="AH36" s="72">
        <f t="shared" si="16"/>
        <v>41216.923257368995</v>
      </c>
      <c r="AI36" s="72">
        <f t="shared" si="16"/>
        <v>43454.884550455907</v>
      </c>
      <c r="AJ36" s="72">
        <f t="shared" ref="AJ36:BO36" si="17">MAX(AJ32,AJ35)</f>
        <v>45743.7086002039</v>
      </c>
      <c r="AK36" s="72">
        <f t="shared" si="17"/>
        <v>46379.493058467226</v>
      </c>
      <c r="AL36" s="72">
        <f t="shared" si="17"/>
        <v>46416.198140593769</v>
      </c>
      <c r="AM36" s="72">
        <f t="shared" si="17"/>
        <v>48757.523566740616</v>
      </c>
      <c r="AN36" s="72">
        <f t="shared" si="17"/>
        <v>46613.49888115553</v>
      </c>
      <c r="AO36" s="72">
        <f t="shared" si="17"/>
        <v>48725.646950774768</v>
      </c>
      <c r="AP36" s="72">
        <f t="shared" si="17"/>
        <v>51064.907716052003</v>
      </c>
      <c r="AQ36" s="72">
        <f t="shared" si="17"/>
        <v>51859.802150854935</v>
      </c>
      <c r="AR36" s="72">
        <f t="shared" si="17"/>
        <v>54233.129820480863</v>
      </c>
      <c r="AS36" s="72">
        <f t="shared" si="17"/>
        <v>54903.112272671919</v>
      </c>
      <c r="AT36" s="72">
        <f t="shared" si="17"/>
        <v>56674.591298804189</v>
      </c>
      <c r="AU36" s="72">
        <f t="shared" si="17"/>
        <v>58786.739368423427</v>
      </c>
      <c r="AV36" s="72">
        <f t="shared" si="17"/>
        <v>59354.521107568376</v>
      </c>
      <c r="AW36" s="72">
        <f t="shared" si="17"/>
        <v>59808.746498884349</v>
      </c>
      <c r="AX36" s="72">
        <f t="shared" si="17"/>
        <v>60035.859194542332</v>
      </c>
      <c r="AY36" s="72">
        <f t="shared" si="17"/>
        <v>60035.859194542332</v>
      </c>
      <c r="AZ36" s="72">
        <f t="shared" si="17"/>
        <v>54578.053813220307</v>
      </c>
      <c r="BA36" s="72">
        <f t="shared" si="17"/>
        <v>53764.206010116905</v>
      </c>
      <c r="BB36" s="72">
        <f t="shared" si="17"/>
        <v>53764.206010116905</v>
      </c>
      <c r="BC36" s="72">
        <f t="shared" si="17"/>
        <v>53764.206010116905</v>
      </c>
      <c r="BD36" s="72">
        <f t="shared" si="17"/>
        <v>56377.258285316027</v>
      </c>
      <c r="BE36" s="72">
        <f t="shared" si="17"/>
        <v>58286.796486423074</v>
      </c>
      <c r="BF36" s="72">
        <f t="shared" si="17"/>
        <v>59887.181763666675</v>
      </c>
      <c r="BG36" s="72">
        <f t="shared" si="17"/>
        <v>62138.645283392994</v>
      </c>
      <c r="BH36" s="72">
        <f t="shared" si="17"/>
        <v>64163.979279304018</v>
      </c>
      <c r="BI36" s="72">
        <f t="shared" si="17"/>
        <v>66189.313275215027</v>
      </c>
      <c r="BJ36" s="72">
        <f t="shared" si="17"/>
        <v>68539.09397920889</v>
      </c>
      <c r="BK36" s="72">
        <f t="shared" si="17"/>
        <v>69554.382768744865</v>
      </c>
      <c r="BL36" s="72">
        <f t="shared" si="17"/>
        <v>64381.238408272067</v>
      </c>
      <c r="BM36" s="72">
        <f t="shared" si="17"/>
        <v>66163.532324673768</v>
      </c>
      <c r="BN36" s="72">
        <f t="shared" si="17"/>
        <v>68231.339344188367</v>
      </c>
      <c r="BO36" s="72">
        <f t="shared" si="17"/>
        <v>70039.5889972367</v>
      </c>
      <c r="BP36" s="72">
        <f t="shared" ref="BP36:CU36" si="18">MAX(BP32,BP35)</f>
        <v>70962.983991877307</v>
      </c>
      <c r="BQ36" s="72">
        <f t="shared" si="18"/>
        <v>72714.897898340336</v>
      </c>
      <c r="BR36" s="72">
        <f t="shared" si="18"/>
        <v>74747.458207295014</v>
      </c>
      <c r="BS36" s="72">
        <f t="shared" si="18"/>
        <v>77630.462160163792</v>
      </c>
      <c r="BT36" s="72">
        <f t="shared" si="18"/>
        <v>79637.509159801048</v>
      </c>
      <c r="BU36" s="72">
        <f t="shared" si="18"/>
        <v>80516.858055889767</v>
      </c>
      <c r="BV36" s="72">
        <f t="shared" si="18"/>
        <v>82355.38940169249</v>
      </c>
      <c r="BW36" s="72">
        <f t="shared" si="18"/>
        <v>84352.703000087262</v>
      </c>
      <c r="BX36" s="72">
        <f t="shared" si="18"/>
        <v>76532.718025422088</v>
      </c>
      <c r="BY36" s="72">
        <f t="shared" si="18"/>
        <v>78062.970377888181</v>
      </c>
      <c r="BZ36" s="72">
        <f t="shared" si="18"/>
        <v>79835.301486284108</v>
      </c>
      <c r="CA36" s="72">
        <f t="shared" si="18"/>
        <v>81810.034904692104</v>
      </c>
      <c r="CB36" s="72">
        <f t="shared" si="18"/>
        <v>83491.127666087763</v>
      </c>
      <c r="CC36" s="72">
        <f t="shared" si="18"/>
        <v>84195.865242917367</v>
      </c>
      <c r="CD36" s="72">
        <f t="shared" si="18"/>
        <v>84533.551998481562</v>
      </c>
      <c r="CE36" s="72">
        <f t="shared" si="18"/>
        <v>84680.372326987737</v>
      </c>
      <c r="CF36" s="72">
        <f t="shared" si="18"/>
        <v>84680.372326987737</v>
      </c>
      <c r="CG36" s="72">
        <f t="shared" si="18"/>
        <v>84680.372326987737</v>
      </c>
      <c r="CH36" s="72">
        <f t="shared" si="18"/>
        <v>84680.372326987737</v>
      </c>
      <c r="CI36" s="72">
        <f t="shared" si="18"/>
        <v>84680.372326987737</v>
      </c>
      <c r="CJ36" s="72">
        <f t="shared" si="18"/>
        <v>84680.372326987737</v>
      </c>
      <c r="CK36" s="72">
        <f t="shared" si="18"/>
        <v>84680.372326987737</v>
      </c>
      <c r="CL36" s="72">
        <f t="shared" si="18"/>
        <v>84680.372326987737</v>
      </c>
      <c r="CM36" s="72">
        <f t="shared" si="18"/>
        <v>84680.372326987737</v>
      </c>
      <c r="CN36" s="72">
        <f t="shared" si="18"/>
        <v>84680.372326987737</v>
      </c>
      <c r="CO36" s="72">
        <f t="shared" si="18"/>
        <v>84680.372326987737</v>
      </c>
      <c r="CP36" s="72">
        <f t="shared" si="18"/>
        <v>84680.372326987737</v>
      </c>
      <c r="CQ36" s="72">
        <f t="shared" si="18"/>
        <v>84680.372326987737</v>
      </c>
      <c r="CR36" s="72">
        <f t="shared" si="18"/>
        <v>84680.372326987737</v>
      </c>
      <c r="CS36" s="72">
        <f t="shared" si="18"/>
        <v>84680.372326987737</v>
      </c>
      <c r="CT36" s="72">
        <f t="shared" si="18"/>
        <v>84680.372326987737</v>
      </c>
      <c r="CU36" s="72">
        <f t="shared" si="18"/>
        <v>84680.372326987737</v>
      </c>
      <c r="CV36" s="72">
        <f t="shared" ref="CV36:EA36" si="19">MAX(CV32,CV35)</f>
        <v>84680.372326987737</v>
      </c>
      <c r="CW36" s="72">
        <f t="shared" si="19"/>
        <v>84680.372326987737</v>
      </c>
      <c r="CX36" s="72">
        <f t="shared" si="19"/>
        <v>84680.372326987737</v>
      </c>
      <c r="CY36" s="72">
        <f t="shared" si="19"/>
        <v>84680.372326987737</v>
      </c>
      <c r="CZ36" s="72">
        <f t="shared" si="19"/>
        <v>84680.372326987737</v>
      </c>
      <c r="DA36" s="72">
        <f t="shared" si="19"/>
        <v>84680.372326987737</v>
      </c>
      <c r="DB36" s="72">
        <f t="shared" si="19"/>
        <v>84680.372326987737</v>
      </c>
      <c r="DC36" s="72">
        <f t="shared" si="19"/>
        <v>84680.372326987737</v>
      </c>
      <c r="DD36" s="72">
        <f t="shared" si="19"/>
        <v>84680.372326987737</v>
      </c>
      <c r="DE36" s="72">
        <f t="shared" si="19"/>
        <v>84680.372326987737</v>
      </c>
      <c r="DF36" s="72">
        <f t="shared" si="19"/>
        <v>84680.372326987737</v>
      </c>
      <c r="DG36" s="72">
        <f t="shared" si="19"/>
        <v>84680.372326987737</v>
      </c>
      <c r="DH36" s="72">
        <f t="shared" si="19"/>
        <v>84680.372326987737</v>
      </c>
      <c r="DI36" s="72">
        <f t="shared" si="19"/>
        <v>84680.372326987737</v>
      </c>
      <c r="DJ36" s="72">
        <f t="shared" si="19"/>
        <v>84680.372326987737</v>
      </c>
      <c r="DK36" s="72">
        <f t="shared" si="19"/>
        <v>84680.372326987737</v>
      </c>
      <c r="DL36" s="72">
        <f t="shared" si="19"/>
        <v>84680.372326987737</v>
      </c>
      <c r="DM36" s="72">
        <f t="shared" si="19"/>
        <v>84680.372326987737</v>
      </c>
      <c r="DN36" s="72">
        <f t="shared" si="19"/>
        <v>84680.372326987737</v>
      </c>
      <c r="DO36" s="72">
        <f t="shared" si="19"/>
        <v>84680.372326987737</v>
      </c>
      <c r="DP36" s="72">
        <f t="shared" si="19"/>
        <v>84680.372326987737</v>
      </c>
      <c r="DQ36" s="72">
        <f t="shared" si="19"/>
        <v>84680.372326987737</v>
      </c>
      <c r="DR36" s="72">
        <f t="shared" si="19"/>
        <v>84680.372326987737</v>
      </c>
      <c r="DS36" s="72">
        <f t="shared" si="19"/>
        <v>84680.372326987737</v>
      </c>
    </row>
    <row r="37" spans="2:123" ht="15" customHeight="1" x14ac:dyDescent="0.2">
      <c r="B37" s="37" t="s">
        <v>640</v>
      </c>
      <c r="D37" s="77">
        <f t="shared" ref="D37:AI37" si="20">D36-D32</f>
        <v>0</v>
      </c>
      <c r="E37" s="77">
        <f t="shared" si="20"/>
        <v>0</v>
      </c>
      <c r="F37" s="77">
        <f t="shared" si="20"/>
        <v>0</v>
      </c>
      <c r="G37" s="77">
        <f t="shared" si="20"/>
        <v>0</v>
      </c>
      <c r="H37" s="77">
        <f t="shared" si="20"/>
        <v>0</v>
      </c>
      <c r="I37" s="77">
        <f t="shared" si="20"/>
        <v>2113.1827471779088</v>
      </c>
      <c r="J37" s="77">
        <f t="shared" si="20"/>
        <v>9838.728604288337</v>
      </c>
      <c r="K37" s="77">
        <f t="shared" si="20"/>
        <v>18455.683598757656</v>
      </c>
      <c r="L37" s="77">
        <f t="shared" si="20"/>
        <v>21025.039347615646</v>
      </c>
      <c r="M37" s="77">
        <f t="shared" si="20"/>
        <v>22388.370969458665</v>
      </c>
      <c r="N37" s="77">
        <f t="shared" si="20"/>
        <v>22388.370969458665</v>
      </c>
      <c r="O37" s="77">
        <f t="shared" si="20"/>
        <v>22388.370969458665</v>
      </c>
      <c r="P37" s="77">
        <f t="shared" si="20"/>
        <v>17625.449598276333</v>
      </c>
      <c r="Q37" s="77">
        <f t="shared" si="20"/>
        <v>14195.449598276333</v>
      </c>
      <c r="R37" s="77">
        <f t="shared" si="20"/>
        <v>14195.449598276333</v>
      </c>
      <c r="S37" s="77">
        <f t="shared" si="20"/>
        <v>14195.449598276333</v>
      </c>
      <c r="T37" s="77">
        <f t="shared" si="20"/>
        <v>16183.6415467974</v>
      </c>
      <c r="U37" s="77">
        <f t="shared" si="20"/>
        <v>16642.455073379184</v>
      </c>
      <c r="V37" s="77">
        <f t="shared" si="20"/>
        <v>18936.522706288102</v>
      </c>
      <c r="W37" s="77">
        <f t="shared" si="20"/>
        <v>21689.403865778819</v>
      </c>
      <c r="X37" s="77">
        <f t="shared" si="20"/>
        <v>22454.093076748453</v>
      </c>
      <c r="Y37" s="77">
        <f t="shared" si="20"/>
        <v>23065.844445524162</v>
      </c>
      <c r="Z37" s="77">
        <f t="shared" si="20"/>
        <v>23371.720129912021</v>
      </c>
      <c r="AA37" s="77">
        <f t="shared" si="20"/>
        <v>23371.720129912021</v>
      </c>
      <c r="AB37" s="77">
        <f t="shared" si="20"/>
        <v>17297.902968496019</v>
      </c>
      <c r="AC37" s="77">
        <f t="shared" si="20"/>
        <v>17297.902968496019</v>
      </c>
      <c r="AD37" s="77">
        <f t="shared" si="20"/>
        <v>17061.941726253957</v>
      </c>
      <c r="AE37" s="77">
        <f t="shared" si="20"/>
        <v>17061.941726253957</v>
      </c>
      <c r="AF37" s="77">
        <f t="shared" si="20"/>
        <v>19210.893195184013</v>
      </c>
      <c r="AG37" s="77">
        <f t="shared" si="20"/>
        <v>21359.844664114062</v>
      </c>
      <c r="AH37" s="77">
        <f t="shared" si="20"/>
        <v>22071.923257368995</v>
      </c>
      <c r="AI37" s="77">
        <f t="shared" si="20"/>
        <v>24309.884550455907</v>
      </c>
      <c r="AJ37" s="77">
        <f t="shared" ref="AJ37:BO37" si="21">AJ36-AJ32</f>
        <v>26598.7086002039</v>
      </c>
      <c r="AK37" s="77">
        <f t="shared" si="21"/>
        <v>27234.493058467226</v>
      </c>
      <c r="AL37" s="77">
        <f t="shared" si="21"/>
        <v>27271.198140593769</v>
      </c>
      <c r="AM37" s="77">
        <f t="shared" si="21"/>
        <v>27897.523566740616</v>
      </c>
      <c r="AN37" s="77">
        <f t="shared" si="21"/>
        <v>25753.49888115553</v>
      </c>
      <c r="AO37" s="77">
        <f t="shared" si="21"/>
        <v>27865.646950774768</v>
      </c>
      <c r="AP37" s="77">
        <f t="shared" si="21"/>
        <v>30204.907716052003</v>
      </c>
      <c r="AQ37" s="77">
        <f t="shared" si="21"/>
        <v>30999.802150854935</v>
      </c>
      <c r="AR37" s="77">
        <f t="shared" si="21"/>
        <v>33373.129820480863</v>
      </c>
      <c r="AS37" s="77">
        <f t="shared" si="21"/>
        <v>34043.112272671919</v>
      </c>
      <c r="AT37" s="77">
        <f t="shared" si="21"/>
        <v>35814.591298804189</v>
      </c>
      <c r="AU37" s="77">
        <f t="shared" si="21"/>
        <v>37926.739368423427</v>
      </c>
      <c r="AV37" s="77">
        <f t="shared" si="21"/>
        <v>38494.521107568376</v>
      </c>
      <c r="AW37" s="77">
        <f t="shared" si="21"/>
        <v>38948.746498884349</v>
      </c>
      <c r="AX37" s="77">
        <f t="shared" si="21"/>
        <v>39175.859194542332</v>
      </c>
      <c r="AY37" s="77">
        <f t="shared" si="21"/>
        <v>39175.859194542332</v>
      </c>
      <c r="AZ37" s="77">
        <f t="shared" si="21"/>
        <v>33718.053813220307</v>
      </c>
      <c r="BA37" s="77">
        <f t="shared" si="21"/>
        <v>32904.206010116905</v>
      </c>
      <c r="BB37" s="77">
        <f t="shared" si="21"/>
        <v>32904.206010116905</v>
      </c>
      <c r="BC37" s="77">
        <f t="shared" si="21"/>
        <v>32904.206010116905</v>
      </c>
      <c r="BD37" s="77">
        <f t="shared" si="21"/>
        <v>35517.258285316027</v>
      </c>
      <c r="BE37" s="77">
        <f t="shared" si="21"/>
        <v>37426.796486423074</v>
      </c>
      <c r="BF37" s="77">
        <f t="shared" si="21"/>
        <v>39027.181763666675</v>
      </c>
      <c r="BG37" s="77">
        <f t="shared" si="21"/>
        <v>39563.645283392994</v>
      </c>
      <c r="BH37" s="77">
        <f t="shared" si="21"/>
        <v>41588.979279304018</v>
      </c>
      <c r="BI37" s="77">
        <f t="shared" si="21"/>
        <v>43614.313275215027</v>
      </c>
      <c r="BJ37" s="77">
        <f t="shared" si="21"/>
        <v>45964.09397920889</v>
      </c>
      <c r="BK37" s="77">
        <f t="shared" si="21"/>
        <v>46979.382768744865</v>
      </c>
      <c r="BL37" s="77">
        <f t="shared" si="21"/>
        <v>41806.238408272067</v>
      </c>
      <c r="BM37" s="77">
        <f t="shared" si="21"/>
        <v>43588.532324673768</v>
      </c>
      <c r="BN37" s="77">
        <f t="shared" si="21"/>
        <v>45656.339344188367</v>
      </c>
      <c r="BO37" s="77">
        <f t="shared" si="21"/>
        <v>47464.5889972367</v>
      </c>
      <c r="BP37" s="77">
        <f t="shared" ref="BP37:CU37" si="22">BP36-BP32</f>
        <v>48387.983991877307</v>
      </c>
      <c r="BQ37" s="77">
        <f t="shared" si="22"/>
        <v>48424.897898340336</v>
      </c>
      <c r="BR37" s="77">
        <f t="shared" si="22"/>
        <v>50457.458207295014</v>
      </c>
      <c r="BS37" s="77">
        <f t="shared" si="22"/>
        <v>53340.462160163792</v>
      </c>
      <c r="BT37" s="77">
        <f t="shared" si="22"/>
        <v>55347.509159801048</v>
      </c>
      <c r="BU37" s="77">
        <f t="shared" si="22"/>
        <v>56226.858055889767</v>
      </c>
      <c r="BV37" s="77">
        <f t="shared" si="22"/>
        <v>58065.38940169249</v>
      </c>
      <c r="BW37" s="77">
        <f t="shared" si="22"/>
        <v>60062.703000087262</v>
      </c>
      <c r="BX37" s="77">
        <f t="shared" si="22"/>
        <v>52242.718025422088</v>
      </c>
      <c r="BY37" s="77">
        <f t="shared" si="22"/>
        <v>53772.970377888181</v>
      </c>
      <c r="BZ37" s="77">
        <f t="shared" si="22"/>
        <v>55545.301486284108</v>
      </c>
      <c r="CA37" s="77">
        <f t="shared" si="22"/>
        <v>57520.034904692104</v>
      </c>
      <c r="CB37" s="77">
        <f t="shared" si="22"/>
        <v>59201.127666087763</v>
      </c>
      <c r="CC37" s="77">
        <f t="shared" si="22"/>
        <v>59905.865242917367</v>
      </c>
      <c r="CD37" s="77">
        <f t="shared" si="22"/>
        <v>60243.551998481562</v>
      </c>
      <c r="CE37" s="77">
        <f t="shared" si="22"/>
        <v>60390.372326987737</v>
      </c>
      <c r="CF37" s="77">
        <f t="shared" si="22"/>
        <v>60390.372326987737</v>
      </c>
      <c r="CG37" s="77">
        <f t="shared" si="22"/>
        <v>60390.372326987737</v>
      </c>
      <c r="CH37" s="77">
        <f t="shared" si="22"/>
        <v>60390.372326987737</v>
      </c>
      <c r="CI37" s="77">
        <f t="shared" si="22"/>
        <v>60390.372326987737</v>
      </c>
      <c r="CJ37" s="77">
        <f t="shared" si="22"/>
        <v>60390.372326987737</v>
      </c>
      <c r="CK37" s="77">
        <f t="shared" si="22"/>
        <v>60390.372326987737</v>
      </c>
      <c r="CL37" s="77">
        <f t="shared" si="22"/>
        <v>60390.372326987737</v>
      </c>
      <c r="CM37" s="77">
        <f t="shared" si="22"/>
        <v>60390.372326987737</v>
      </c>
      <c r="CN37" s="77">
        <f t="shared" si="22"/>
        <v>60390.372326987737</v>
      </c>
      <c r="CO37" s="77">
        <f t="shared" si="22"/>
        <v>60390.372326987737</v>
      </c>
      <c r="CP37" s="77">
        <f t="shared" si="22"/>
        <v>60390.372326987737</v>
      </c>
      <c r="CQ37" s="77">
        <f t="shared" si="22"/>
        <v>60390.372326987737</v>
      </c>
      <c r="CR37" s="77">
        <f t="shared" si="22"/>
        <v>60390.372326987737</v>
      </c>
      <c r="CS37" s="77">
        <f t="shared" si="22"/>
        <v>60390.372326987737</v>
      </c>
      <c r="CT37" s="77">
        <f t="shared" si="22"/>
        <v>60390.372326987737</v>
      </c>
      <c r="CU37" s="77">
        <f t="shared" si="22"/>
        <v>60390.372326987737</v>
      </c>
      <c r="CV37" s="77">
        <f t="shared" ref="CV37:EA37" si="23">CV36-CV32</f>
        <v>60390.372326987737</v>
      </c>
      <c r="CW37" s="77">
        <f t="shared" si="23"/>
        <v>60390.372326987737</v>
      </c>
      <c r="CX37" s="77">
        <f t="shared" si="23"/>
        <v>60390.372326987737</v>
      </c>
      <c r="CY37" s="77">
        <f t="shared" si="23"/>
        <v>60390.372326987737</v>
      </c>
      <c r="CZ37" s="77">
        <f t="shared" si="23"/>
        <v>60390.372326987737</v>
      </c>
      <c r="DA37" s="77">
        <f t="shared" si="23"/>
        <v>60390.372326987737</v>
      </c>
      <c r="DB37" s="77">
        <f t="shared" si="23"/>
        <v>60390.372326987737</v>
      </c>
      <c r="DC37" s="77">
        <f t="shared" si="23"/>
        <v>60390.372326987737</v>
      </c>
      <c r="DD37" s="77">
        <f t="shared" si="23"/>
        <v>60390.372326987737</v>
      </c>
      <c r="DE37" s="77">
        <f t="shared" si="23"/>
        <v>60390.372326987737</v>
      </c>
      <c r="DF37" s="77">
        <f t="shared" si="23"/>
        <v>60390.372326987737</v>
      </c>
      <c r="DG37" s="77">
        <f t="shared" si="23"/>
        <v>60390.372326987737</v>
      </c>
      <c r="DH37" s="77">
        <f t="shared" si="23"/>
        <v>60390.372326987737</v>
      </c>
      <c r="DI37" s="77">
        <f t="shared" si="23"/>
        <v>60390.372326987737</v>
      </c>
      <c r="DJ37" s="77">
        <f t="shared" si="23"/>
        <v>60390.372326987737</v>
      </c>
      <c r="DK37" s="77">
        <f t="shared" si="23"/>
        <v>60390.372326987737</v>
      </c>
      <c r="DL37" s="77">
        <f t="shared" si="23"/>
        <v>60390.372326987737</v>
      </c>
      <c r="DM37" s="77">
        <f t="shared" si="23"/>
        <v>60390.372326987737</v>
      </c>
      <c r="DN37" s="77">
        <f t="shared" si="23"/>
        <v>60390.372326987737</v>
      </c>
      <c r="DO37" s="77">
        <f t="shared" si="23"/>
        <v>60390.372326987737</v>
      </c>
      <c r="DP37" s="77">
        <f t="shared" si="23"/>
        <v>60390.372326987737</v>
      </c>
      <c r="DQ37" s="77">
        <f t="shared" si="23"/>
        <v>60390.372326987737</v>
      </c>
      <c r="DR37" s="77">
        <f t="shared" si="23"/>
        <v>60390.372326987737</v>
      </c>
      <c r="DS37" s="77">
        <f t="shared" si="23"/>
        <v>60390.372326987737</v>
      </c>
    </row>
    <row r="38" spans="2:123" ht="15" customHeight="1" x14ac:dyDescent="0.2">
      <c r="B38" s="37" t="s">
        <v>641</v>
      </c>
      <c r="D38" s="77">
        <f>IF(D33=0,D36,D36*SUP_CONTROL!$C$11*CAPA1_PILOTO!D15/D33)</f>
        <v>0</v>
      </c>
      <c r="E38" s="77">
        <f>IF(E33=0,E36,E36*SUP_CONTROL!$C$11*CAPA1_PILOTO!E15/E33)</f>
        <v>15714.999999999998</v>
      </c>
      <c r="F38" s="77">
        <f>IF(F33=0,F36,F36*SUP_CONTROL!$C$11*CAPA1_PILOTO!F15/F33)</f>
        <v>15714.999999999998</v>
      </c>
      <c r="G38" s="77">
        <f>IF(G33=0,G36,G36*SUP_CONTROL!$C$11*CAPA1_PILOTO!G15/G33)</f>
        <v>15714.999999999998</v>
      </c>
      <c r="H38" s="77">
        <f>IF(H33=0,H36,H36*SUP_CONTROL!$C$11*CAPA1_PILOTO!H15/H33)</f>
        <v>15714.999999999998</v>
      </c>
      <c r="I38" s="77">
        <f>IF(I33=0,I36,I36*SUP_CONTROL!$C$11*CAPA1_PILOTO!I15/I33)</f>
        <v>17828.182747177907</v>
      </c>
      <c r="J38" s="77">
        <f>IF(J33=0,J36,J36*SUP_CONTROL!$C$11*CAPA1_PILOTO!J15/J33)</f>
        <v>25553.728604288335</v>
      </c>
      <c r="K38" s="77">
        <f>IF(K33=0,K36,K36*SUP_CONTROL!$C$11*CAPA1_PILOTO!K15/K33)</f>
        <v>34170.683598757656</v>
      </c>
      <c r="L38" s="77">
        <f>IF(L33=0,L36,L36*SUP_CONTROL!$C$11*CAPA1_PILOTO!L15/L33)</f>
        <v>36740.039347615646</v>
      </c>
      <c r="M38" s="77">
        <f>IF(M33=0,M36,M36*SUP_CONTROL!$C$11*CAPA1_PILOTO!M15/M33)</f>
        <v>38103.370969458665</v>
      </c>
      <c r="N38" s="77">
        <f>IF(N33=0,N36,N36*SUP_CONTROL!$C$11*CAPA1_PILOTO!N15/N33)</f>
        <v>38103.370969458665</v>
      </c>
      <c r="O38" s="77">
        <f>IF(O33=0,O36,O36*SUP_CONTROL!$C$11*CAPA1_PILOTO!O15/O33)</f>
        <v>38103.370969458665</v>
      </c>
      <c r="P38" s="77">
        <f>IF(P33=0,P36,P36*SUP_CONTROL!$C$11*CAPA1_PILOTO!P15/P33)</f>
        <v>33340.449598276333</v>
      </c>
      <c r="Q38" s="77">
        <f>IF(Q33=0,Q36,Q36*SUP_CONTROL!$C$11*CAPA1_PILOTO!Q15/Q33)</f>
        <v>33340.449598276333</v>
      </c>
      <c r="R38" s="77">
        <f>IF(R33=0,R36,R36*SUP_CONTROL!$C$11*CAPA1_PILOTO!R15/R33)</f>
        <v>33340.449598276333</v>
      </c>
      <c r="S38" s="77">
        <f>IF(S33=0,S36,S36*SUP_CONTROL!$C$11*CAPA1_PILOTO!S15/S33)</f>
        <v>33340.449598276333</v>
      </c>
      <c r="T38" s="77">
        <f>IF(T33=0,T36,T36*SUP_CONTROL!$C$11*CAPA1_PILOTO!T15/T33)</f>
        <v>33340.449598276333</v>
      </c>
      <c r="U38" s="77">
        <f>IF(U33=0,U36,U36*SUP_CONTROL!$C$11*CAPA1_PILOTO!U15/U33)</f>
        <v>33340.449598276333</v>
      </c>
      <c r="V38" s="77">
        <f>IF(V33=0,V36,V36*SUP_CONTROL!$C$11*CAPA1_PILOTO!V15/V33)</f>
        <v>33340.449598276333</v>
      </c>
      <c r="W38" s="77">
        <f>IF(W33=0,W36,W36*SUP_CONTROL!$C$11*CAPA1_PILOTO!W15/W33)</f>
        <v>33340.44959827634</v>
      </c>
      <c r="X38" s="77">
        <f>IF(X33=0,X36,X36*SUP_CONTROL!$C$11*CAPA1_PILOTO!X15/X33)</f>
        <v>33340.449598276333</v>
      </c>
      <c r="Y38" s="77">
        <f>IF(Y33=0,Y36,Y36*SUP_CONTROL!$C$11*CAPA1_PILOTO!Y15/Y33)</f>
        <v>33340.449598276333</v>
      </c>
      <c r="Z38" s="77">
        <f>IF(Z33=0,Z36,Z36*SUP_CONTROL!$C$11*CAPA1_PILOTO!Z15/Z33)</f>
        <v>33340.449598276333</v>
      </c>
      <c r="AA38" s="77">
        <f>IF(AA33=0,AA36,AA36*SUP_CONTROL!$C$11*CAPA1_PILOTO!AA15/AA33)</f>
        <v>33340.449598276333</v>
      </c>
      <c r="AB38" s="77">
        <f>IF(AB33=0,AB36,AB36*SUP_CONTROL!$C$11*CAPA1_PILOTO!AB15/AB33)</f>
        <v>28577.528227094004</v>
      </c>
      <c r="AC38" s="77">
        <f>IF(AC33=0,AC36,AC36*SUP_CONTROL!$C$11*CAPA1_PILOTO!AC15/AC33)</f>
        <v>28577.528227094004</v>
      </c>
      <c r="AD38" s="77">
        <f>IF(AD33=0,AD36,AD36*SUP_CONTROL!$C$11*CAPA1_PILOTO!AD15/AD33)</f>
        <v>28577.528227093997</v>
      </c>
      <c r="AE38" s="77">
        <f>IF(AE33=0,AE36,AE36*SUP_CONTROL!$C$11*CAPA1_PILOTO!AE15/AE33)</f>
        <v>28577.528227093997</v>
      </c>
      <c r="AF38" s="77">
        <f>IF(AF33=0,AF36,AF36*SUP_CONTROL!$C$11*CAPA1_PILOTO!AF15/AF33)</f>
        <v>28577.528227094001</v>
      </c>
      <c r="AG38" s="77">
        <f>IF(AG33=0,AG36,AG36*SUP_CONTROL!$C$11*CAPA1_PILOTO!AG15/AG33)</f>
        <v>28577.528227093997</v>
      </c>
      <c r="AH38" s="77">
        <f>IF(AH33=0,AH36,AH36*SUP_CONTROL!$C$11*CAPA1_PILOTO!AH15/AH33)</f>
        <v>28577.528227093997</v>
      </c>
      <c r="AI38" s="77">
        <f>IF(AI33=0,AI36,AI36*SUP_CONTROL!$C$11*CAPA1_PILOTO!AI15/AI33)</f>
        <v>28577.528227093993</v>
      </c>
      <c r="AJ38" s="77">
        <f>IF(AJ33=0,AJ36,AJ36*SUP_CONTROL!$C$11*CAPA1_PILOTO!AJ15/AJ33)</f>
        <v>28577.528227093997</v>
      </c>
      <c r="AK38" s="77">
        <f>IF(AK33=0,AK36,AK36*SUP_CONTROL!$C$11*CAPA1_PILOTO!AK15/AK33)</f>
        <v>28577.528227093997</v>
      </c>
      <c r="AL38" s="77">
        <f>IF(AL33=0,AL36,AL36*SUP_CONTROL!$C$11*CAPA1_PILOTO!AL15/AL33)</f>
        <v>28577.528227093997</v>
      </c>
      <c r="AM38" s="77">
        <f>IF(AM33=0,AM36,AM36*SUP_CONTROL!$C$11*CAPA1_PILOTO!AM15/AM33)</f>
        <v>28577.528227093997</v>
      </c>
      <c r="AN38" s="77">
        <f>IF(AN33=0,AN36,AN36*SUP_CONTROL!$C$11*CAPA1_PILOTO!AN15/AN33)</f>
        <v>26196.067541502835</v>
      </c>
      <c r="AO38" s="77">
        <f>IF(AO33=0,AO36,AO36*SUP_CONTROL!$C$11*CAPA1_PILOTO!AO15/AO33)</f>
        <v>26196.067541502831</v>
      </c>
      <c r="AP38" s="77">
        <f>IF(AP33=0,AP36,AP36*SUP_CONTROL!$C$11*CAPA1_PILOTO!AP15/AP33)</f>
        <v>26196.067541502835</v>
      </c>
      <c r="AQ38" s="77">
        <f>IF(AQ33=0,AQ36,AQ36*SUP_CONTROL!$C$11*CAPA1_PILOTO!AQ15/AQ33)</f>
        <v>26196.067541502835</v>
      </c>
      <c r="AR38" s="77">
        <f>IF(AR33=0,AR36,AR36*SUP_CONTROL!$C$11*CAPA1_PILOTO!AR15/AR33)</f>
        <v>26196.067541502831</v>
      </c>
      <c r="AS38" s="77">
        <f>IF(AS33=0,AS36,AS36*SUP_CONTROL!$C$11*CAPA1_PILOTO!AS15/AS33)</f>
        <v>26196.067541502835</v>
      </c>
      <c r="AT38" s="77">
        <f>IF(AT33=0,AT36,AT36*SUP_CONTROL!$C$11*CAPA1_PILOTO!AT15/AT33)</f>
        <v>26196.067541502831</v>
      </c>
      <c r="AU38" s="77">
        <f>IF(AU33=0,AU36,AU36*SUP_CONTROL!$C$11*CAPA1_PILOTO!AU15/AU33)</f>
        <v>26196.067541502831</v>
      </c>
      <c r="AV38" s="77">
        <f>IF(AV33=0,AV36,AV36*SUP_CONTROL!$C$11*CAPA1_PILOTO!AV15/AV33)</f>
        <v>26196.067541502831</v>
      </c>
      <c r="AW38" s="77">
        <f>IF(AW33=0,AW36,AW36*SUP_CONTROL!$C$11*CAPA1_PILOTO!AW15/AW33)</f>
        <v>26196.067541502831</v>
      </c>
      <c r="AX38" s="77">
        <f>IF(AX33=0,AX36,AX36*SUP_CONTROL!$C$11*CAPA1_PILOTO!AX15/AX33)</f>
        <v>26196.067541502831</v>
      </c>
      <c r="AY38" s="77">
        <f>IF(AY33=0,AY36,AY36*SUP_CONTROL!$C$11*CAPA1_PILOTO!AY15/AY33)</f>
        <v>26196.067541502831</v>
      </c>
      <c r="AZ38" s="77">
        <f>IF(AZ33=0,AZ36,AZ36*SUP_CONTROL!$C$11*CAPA1_PILOTO!AZ15/AZ33)</f>
        <v>23814.606855911668</v>
      </c>
      <c r="BA38" s="77">
        <f>IF(BA33=0,BA36,BA36*SUP_CONTROL!$C$11*CAPA1_PILOTO!BA15/BA33)</f>
        <v>23814.606855911665</v>
      </c>
      <c r="BB38" s="77">
        <f>IF(BB33=0,BB36,BB36*SUP_CONTROL!$C$11*CAPA1_PILOTO!BB15/BB33)</f>
        <v>23814.606855911665</v>
      </c>
      <c r="BC38" s="77">
        <f>IF(BC33=0,BC36,BC36*SUP_CONTROL!$C$11*CAPA1_PILOTO!BC15/BC33)</f>
        <v>23814.606855911665</v>
      </c>
      <c r="BD38" s="77">
        <f>IF(BD33=0,BD36,BD36*SUP_CONTROL!$C$11*CAPA1_PILOTO!BD15/BD33)</f>
        <v>23814.606855911668</v>
      </c>
      <c r="BE38" s="77">
        <f>IF(BE33=0,BE36,BE36*SUP_CONTROL!$C$11*CAPA1_PILOTO!BE15/BE33)</f>
        <v>23814.606855911668</v>
      </c>
      <c r="BF38" s="77">
        <f>IF(BF33=0,BF36,BF36*SUP_CONTROL!$C$11*CAPA1_PILOTO!BF15/BF33)</f>
        <v>23814.606855911665</v>
      </c>
      <c r="BG38" s="77">
        <f>IF(BG33=0,BG36,BG36*SUP_CONTROL!$C$11*CAPA1_PILOTO!BG15/BG33)</f>
        <v>23814.606855911665</v>
      </c>
      <c r="BH38" s="77">
        <f>IF(BH33=0,BH36,BH36*SUP_CONTROL!$C$11*CAPA1_PILOTO!BH15/BH33)</f>
        <v>23814.606855911665</v>
      </c>
      <c r="BI38" s="77">
        <f>IF(BI33=0,BI36,BI36*SUP_CONTROL!$C$11*CAPA1_PILOTO!BI15/BI33)</f>
        <v>23814.606855911665</v>
      </c>
      <c r="BJ38" s="77">
        <f>IF(BJ33=0,BJ36,BJ36*SUP_CONTROL!$C$11*CAPA1_PILOTO!BJ15/BJ33)</f>
        <v>23814.606855911665</v>
      </c>
      <c r="BK38" s="77">
        <f>IF(BK33=0,BK36,BK36*SUP_CONTROL!$C$11*CAPA1_PILOTO!BK15/BK33)</f>
        <v>23814.606855911668</v>
      </c>
      <c r="BL38" s="77">
        <f>IF(BL33=0,BL36,BL36*SUP_CONTROL!$C$11*CAPA1_PILOTO!BL15/BL33)</f>
        <v>21433.146170320495</v>
      </c>
      <c r="BM38" s="77">
        <f>IF(BM33=0,BM36,BM36*SUP_CONTROL!$C$11*CAPA1_PILOTO!BM15/BM33)</f>
        <v>21433.146170320495</v>
      </c>
      <c r="BN38" s="77">
        <f>IF(BN33=0,BN36,BN36*SUP_CONTROL!$C$11*CAPA1_PILOTO!BN15/BN33)</f>
        <v>21433.146170320499</v>
      </c>
      <c r="BO38" s="77">
        <f>IF(BO33=0,BO36,BO36*SUP_CONTROL!$C$11*CAPA1_PILOTO!BO15/BO33)</f>
        <v>21433.146170320499</v>
      </c>
      <c r="BP38" s="77">
        <f>IF(BP33=0,BP36,BP36*SUP_CONTROL!$C$11*CAPA1_PILOTO!BP15/BP33)</f>
        <v>21433.146170320499</v>
      </c>
      <c r="BQ38" s="77">
        <f>IF(BQ33=0,BQ36,BQ36*SUP_CONTROL!$C$11*CAPA1_PILOTO!BQ15/BQ33)</f>
        <v>21433.146170320499</v>
      </c>
      <c r="BR38" s="77">
        <f>IF(BR33=0,BR36,BR36*SUP_CONTROL!$C$11*CAPA1_PILOTO!BR15/BR33)</f>
        <v>21433.146170320502</v>
      </c>
      <c r="BS38" s="77">
        <f>IF(BS33=0,BS36,BS36*SUP_CONTROL!$C$11*CAPA1_PILOTO!BS15/BS33)</f>
        <v>21433.146170320499</v>
      </c>
      <c r="BT38" s="77">
        <f>IF(BT33=0,BT36,BT36*SUP_CONTROL!$C$11*CAPA1_PILOTO!BT15/BT33)</f>
        <v>21433.146170320495</v>
      </c>
      <c r="BU38" s="77">
        <f>IF(BU33=0,BU36,BU36*SUP_CONTROL!$C$11*CAPA1_PILOTO!BU15/BU33)</f>
        <v>21433.146170320499</v>
      </c>
      <c r="BV38" s="77">
        <f>IF(BV33=0,BV36,BV36*SUP_CONTROL!$C$11*CAPA1_PILOTO!BV15/BV33)</f>
        <v>21433.146170320499</v>
      </c>
      <c r="BW38" s="77">
        <f>IF(BW33=0,BW36,BW36*SUP_CONTROL!$C$11*CAPA1_PILOTO!BW15/BW33)</f>
        <v>21433.146170320499</v>
      </c>
      <c r="BX38" s="77">
        <f>IF(BX33=0,BX36,BX36*SUP_CONTROL!$C$11*CAPA1_PILOTO!BX15/BX33)</f>
        <v>19051.685484729333</v>
      </c>
      <c r="BY38" s="77">
        <f>IF(BY33=0,BY36,BY36*SUP_CONTROL!$C$11*CAPA1_PILOTO!BY15/BY33)</f>
        <v>19051.685484729333</v>
      </c>
      <c r="BZ38" s="77">
        <f>IF(BZ33=0,BZ36,BZ36*SUP_CONTROL!$C$11*CAPA1_PILOTO!BZ15/BZ33)</f>
        <v>19051.685484729333</v>
      </c>
      <c r="CA38" s="77">
        <f>IF(CA33=0,CA36,CA36*SUP_CONTROL!$C$11*CAPA1_PILOTO!CA15/CA33)</f>
        <v>19051.685484729333</v>
      </c>
      <c r="CB38" s="77">
        <f>IF(CB33=0,CB36,CB36*SUP_CONTROL!$C$11*CAPA1_PILOTO!CB15/CB33)</f>
        <v>19051.685484729333</v>
      </c>
      <c r="CC38" s="77">
        <f>IF(CC33=0,CC36,CC36*SUP_CONTROL!$C$11*CAPA1_PILOTO!CC15/CC33)</f>
        <v>19051.685484729333</v>
      </c>
      <c r="CD38" s="77">
        <f>IF(CD33=0,CD36,CD36*SUP_CONTROL!$C$11*CAPA1_PILOTO!CD15/CD33)</f>
        <v>19051.685484729333</v>
      </c>
      <c r="CE38" s="77">
        <f>IF(CE33=0,CE36,CE36*SUP_CONTROL!$C$11*CAPA1_PILOTO!CE15/CE33)</f>
        <v>19051.685484729333</v>
      </c>
      <c r="CF38" s="77">
        <f>IF(CF33=0,CF36,CF36*SUP_CONTROL!$C$11*CAPA1_PILOTO!CF15/CF33)</f>
        <v>19051.685484729333</v>
      </c>
      <c r="CG38" s="77">
        <f>IF(CG33=0,CG36,CG36*SUP_CONTROL!$C$11*CAPA1_PILOTO!CG15/CG33)</f>
        <v>19051.685484729333</v>
      </c>
      <c r="CH38" s="77">
        <f>IF(CH33=0,CH36,CH36*SUP_CONTROL!$C$11*CAPA1_PILOTO!CH15/CH33)</f>
        <v>19051.685484729333</v>
      </c>
      <c r="CI38" s="77">
        <f>IF(CI33=0,CI36,CI36*SUP_CONTROL!$C$11*CAPA1_PILOTO!CI15/CI33)</f>
        <v>19051.685484729333</v>
      </c>
      <c r="CJ38" s="77">
        <f>IF(CJ33=0,CJ36,CJ36*SUP_CONTROL!$C$11*CAPA1_PILOTO!CJ15/CJ33)</f>
        <v>19051.685484729333</v>
      </c>
      <c r="CK38" s="77">
        <f>IF(CK33=0,CK36,CK36*SUP_CONTROL!$C$11*CAPA1_PILOTO!CK15/CK33)</f>
        <v>19051.685484729333</v>
      </c>
      <c r="CL38" s="77">
        <f>IF(CL33=0,CL36,CL36*SUP_CONTROL!$C$11*CAPA1_PILOTO!CL15/CL33)</f>
        <v>19051.685484729333</v>
      </c>
      <c r="CM38" s="77">
        <f>IF(CM33=0,CM36,CM36*SUP_CONTROL!$C$11*CAPA1_PILOTO!CM15/CM33)</f>
        <v>19051.685484729333</v>
      </c>
      <c r="CN38" s="77">
        <f>IF(CN33=0,CN36,CN36*SUP_CONTROL!$C$11*CAPA1_PILOTO!CN15/CN33)</f>
        <v>19051.685484729333</v>
      </c>
      <c r="CO38" s="77">
        <f>IF(CO33=0,CO36,CO36*SUP_CONTROL!$C$11*CAPA1_PILOTO!CO15/CO33)</f>
        <v>19051.685484729333</v>
      </c>
      <c r="CP38" s="77">
        <f>IF(CP33=0,CP36,CP36*SUP_CONTROL!$C$11*CAPA1_PILOTO!CP15/CP33)</f>
        <v>19051.685484729333</v>
      </c>
      <c r="CQ38" s="77">
        <f>IF(CQ33=0,CQ36,CQ36*SUP_CONTROL!$C$11*CAPA1_PILOTO!CQ15/CQ33)</f>
        <v>19051.685484729333</v>
      </c>
      <c r="CR38" s="77">
        <f>IF(CR33=0,CR36,CR36*SUP_CONTROL!$C$11*CAPA1_PILOTO!CR15/CR33)</f>
        <v>19051.685484729333</v>
      </c>
      <c r="CS38" s="77">
        <f>IF(CS33=0,CS36,CS36*SUP_CONTROL!$C$11*CAPA1_PILOTO!CS15/CS33)</f>
        <v>19051.685484729333</v>
      </c>
      <c r="CT38" s="77">
        <f>IF(CT33=0,CT36,CT36*SUP_CONTROL!$C$11*CAPA1_PILOTO!CT15/CT33)</f>
        <v>19051.685484729333</v>
      </c>
      <c r="CU38" s="77">
        <f>IF(CU33=0,CU36,CU36*SUP_CONTROL!$C$11*CAPA1_PILOTO!CU15/CU33)</f>
        <v>19051.685484729333</v>
      </c>
      <c r="CV38" s="77">
        <f>IF(CV33=0,CV36,CV36*SUP_CONTROL!$C$11*CAPA1_PILOTO!CV15/CV33)</f>
        <v>19051.685484729333</v>
      </c>
      <c r="CW38" s="77">
        <f>IF(CW33=0,CW36,CW36*SUP_CONTROL!$C$11*CAPA1_PILOTO!CW15/CW33)</f>
        <v>19051.685484729333</v>
      </c>
      <c r="CX38" s="77">
        <f>IF(CX33=0,CX36,CX36*SUP_CONTROL!$C$11*CAPA1_PILOTO!CX15/CX33)</f>
        <v>19051.685484729333</v>
      </c>
      <c r="CY38" s="77">
        <f>IF(CY33=0,CY36,CY36*SUP_CONTROL!$C$11*CAPA1_PILOTO!CY15/CY33)</f>
        <v>19051.685484729333</v>
      </c>
      <c r="CZ38" s="77">
        <f>IF(CZ33=0,CZ36,CZ36*SUP_CONTROL!$C$11*CAPA1_PILOTO!CZ15/CZ33)</f>
        <v>19051.685484729333</v>
      </c>
      <c r="DA38" s="77">
        <f>IF(DA33=0,DA36,DA36*SUP_CONTROL!$C$11*CAPA1_PILOTO!DA15/DA33)</f>
        <v>19051.685484729333</v>
      </c>
      <c r="DB38" s="77">
        <f>IF(DB33=0,DB36,DB36*SUP_CONTROL!$C$11*CAPA1_PILOTO!DB15/DB33)</f>
        <v>19051.685484729333</v>
      </c>
      <c r="DC38" s="77">
        <f>IF(DC33=0,DC36,DC36*SUP_CONTROL!$C$11*CAPA1_PILOTO!DC15/DC33)</f>
        <v>19051.685484729333</v>
      </c>
      <c r="DD38" s="77">
        <f>IF(DD33=0,DD36,DD36*SUP_CONTROL!$C$11*CAPA1_PILOTO!DD15/DD33)</f>
        <v>19051.685484729333</v>
      </c>
      <c r="DE38" s="77">
        <f>IF(DE33=0,DE36,DE36*SUP_CONTROL!$C$11*CAPA1_PILOTO!DE15/DE33)</f>
        <v>19051.685484729333</v>
      </c>
      <c r="DF38" s="77">
        <f>IF(DF33=0,DF36,DF36*SUP_CONTROL!$C$11*CAPA1_PILOTO!DF15/DF33)</f>
        <v>19051.685484729333</v>
      </c>
      <c r="DG38" s="77">
        <f>IF(DG33=0,DG36,DG36*SUP_CONTROL!$C$11*CAPA1_PILOTO!DG15/DG33)</f>
        <v>19051.685484729333</v>
      </c>
      <c r="DH38" s="77">
        <f>IF(DH33=0,DH36,DH36*SUP_CONTROL!$C$11*CAPA1_PILOTO!DH15/DH33)</f>
        <v>19051.685484729333</v>
      </c>
      <c r="DI38" s="77">
        <f>IF(DI33=0,DI36,DI36*SUP_CONTROL!$C$11*CAPA1_PILOTO!DI15/DI33)</f>
        <v>19051.685484729333</v>
      </c>
      <c r="DJ38" s="77">
        <f>IF(DJ33=0,DJ36,DJ36*SUP_CONTROL!$C$11*CAPA1_PILOTO!DJ15/DJ33)</f>
        <v>19051.685484729333</v>
      </c>
      <c r="DK38" s="77">
        <f>IF(DK33=0,DK36,DK36*SUP_CONTROL!$C$11*CAPA1_PILOTO!DK15/DK33)</f>
        <v>19051.685484729333</v>
      </c>
      <c r="DL38" s="77">
        <f>IF(DL33=0,DL36,DL36*SUP_CONTROL!$C$11*CAPA1_PILOTO!DL15/DL33)</f>
        <v>19051.685484729333</v>
      </c>
      <c r="DM38" s="77">
        <f>IF(DM33=0,DM36,DM36*SUP_CONTROL!$C$11*CAPA1_PILOTO!DM15/DM33)</f>
        <v>19051.685484729333</v>
      </c>
      <c r="DN38" s="77">
        <f>IF(DN33=0,DN36,DN36*SUP_CONTROL!$C$11*CAPA1_PILOTO!DN15/DN33)</f>
        <v>19051.685484729333</v>
      </c>
      <c r="DO38" s="77">
        <f>IF(DO33=0,DO36,DO36*SUP_CONTROL!$C$11*CAPA1_PILOTO!DO15/DO33)</f>
        <v>19051.685484729333</v>
      </c>
      <c r="DP38" s="77">
        <f>IF(DP33=0,DP36,DP36*SUP_CONTROL!$C$11*CAPA1_PILOTO!DP15/DP33)</f>
        <v>19051.685484729333</v>
      </c>
      <c r="DQ38" s="77">
        <f>IF(DQ33=0,DQ36,DQ36*SUP_CONTROL!$C$11*CAPA1_PILOTO!DQ15/DQ33)</f>
        <v>19051.685484729333</v>
      </c>
      <c r="DR38" s="77">
        <f>IF(DR33=0,DR36,DR36*SUP_CONTROL!$C$11*CAPA1_PILOTO!DR15/DR33)</f>
        <v>19051.685484729333</v>
      </c>
      <c r="DS38" s="77">
        <f>IF(DS33=0,DS36,DS36*SUP_CONTROL!$C$11*CAPA1_PILOTO!DS15/DS33)</f>
        <v>19051.685484729333</v>
      </c>
    </row>
    <row r="39" spans="2:123" ht="15" customHeight="1" x14ac:dyDescent="0.2">
      <c r="B39" s="37" t="s">
        <v>642</v>
      </c>
      <c r="D39" s="77">
        <f>IF(D33=0,0,D36*SUP_CONTROL!$C$12*CAPA2_FLAGSHIP!D11/D33)</f>
        <v>0</v>
      </c>
      <c r="E39" s="77">
        <f>IF(E33=0,0,E36*SUP_CONTROL!$C$12*CAPA2_FLAGSHIP!E11/E33)</f>
        <v>0</v>
      </c>
      <c r="F39" s="77">
        <f>IF(F33=0,0,F36*SUP_CONTROL!$C$12*CAPA2_FLAGSHIP!F11/F33)</f>
        <v>0</v>
      </c>
      <c r="G39" s="77">
        <f>IF(G33=0,0,G36*SUP_CONTROL!$C$12*CAPA2_FLAGSHIP!G11/G33)</f>
        <v>0</v>
      </c>
      <c r="H39" s="77">
        <f>IF(H33=0,0,H36*SUP_CONTROL!$C$12*CAPA2_FLAGSHIP!H11/H33)</f>
        <v>0</v>
      </c>
      <c r="I39" s="77">
        <f>IF(I33=0,0,I36*SUP_CONTROL!$C$12*CAPA2_FLAGSHIP!I11/I33)</f>
        <v>0</v>
      </c>
      <c r="J39" s="77">
        <f>IF(J33=0,0,J36*SUP_CONTROL!$C$12*CAPA2_FLAGSHIP!J11/J33)</f>
        <v>0</v>
      </c>
      <c r="K39" s="77">
        <f>IF(K33=0,0,K36*SUP_CONTROL!$C$12*CAPA2_FLAGSHIP!K11/K33)</f>
        <v>0</v>
      </c>
      <c r="L39" s="77">
        <f>IF(L33=0,0,L36*SUP_CONTROL!$C$12*CAPA2_FLAGSHIP!L11/L33)</f>
        <v>0</v>
      </c>
      <c r="M39" s="77">
        <f>IF(M33=0,0,M36*SUP_CONTROL!$C$12*CAPA2_FLAGSHIP!M11/M33)</f>
        <v>0</v>
      </c>
      <c r="N39" s="77">
        <f>IF(N33=0,0,N36*SUP_CONTROL!$C$12*CAPA2_FLAGSHIP!N11/N33)</f>
        <v>0</v>
      </c>
      <c r="O39" s="77">
        <f>IF(O33=0,0,O36*SUP_CONTROL!$C$12*CAPA2_FLAGSHIP!O11/O33)</f>
        <v>0</v>
      </c>
      <c r="P39" s="77">
        <f>IF(P33=0,0,P36*SUP_CONTROL!$C$12*CAPA2_FLAGSHIP!P11/P33)</f>
        <v>0</v>
      </c>
      <c r="Q39" s="77">
        <f>IF(Q33=0,0,Q36*SUP_CONTROL!$C$12*CAPA2_FLAGSHIP!Q11/Q33)</f>
        <v>0</v>
      </c>
      <c r="R39" s="77">
        <f>IF(R33=0,0,R36*SUP_CONTROL!$C$12*CAPA2_FLAGSHIP!R11/R33)</f>
        <v>0</v>
      </c>
      <c r="S39" s="77">
        <f>IF(S33=0,0,S36*SUP_CONTROL!$C$12*CAPA2_FLAGSHIP!S11/S33)</f>
        <v>0</v>
      </c>
      <c r="T39" s="77">
        <f>IF(T33=0,0,T36*SUP_CONTROL!$C$12*CAPA2_FLAGSHIP!T11/T33)</f>
        <v>0</v>
      </c>
      <c r="U39" s="77">
        <f>IF(U33=0,0,U36*SUP_CONTROL!$C$12*CAPA2_FLAGSHIP!U11/U33)</f>
        <v>0</v>
      </c>
      <c r="V39" s="77">
        <f>IF(V33=0,0,V36*SUP_CONTROL!$C$12*CAPA2_FLAGSHIP!V11/V33)</f>
        <v>0</v>
      </c>
      <c r="W39" s="77">
        <f>IF(W33=0,0,W36*SUP_CONTROL!$C$12*CAPA2_FLAGSHIP!W11/W33)</f>
        <v>0</v>
      </c>
      <c r="X39" s="77">
        <f>IF(X33=0,0,X36*SUP_CONTROL!$C$12*CAPA2_FLAGSHIP!X11/X33)</f>
        <v>0</v>
      </c>
      <c r="Y39" s="77">
        <f>IF(Y33=0,0,Y36*SUP_CONTROL!$C$12*CAPA2_FLAGSHIP!Y11/Y33)</f>
        <v>0</v>
      </c>
      <c r="Z39" s="77">
        <f>IF(Z33=0,0,Z36*SUP_CONTROL!$C$12*CAPA2_FLAGSHIP!Z11/Z33)</f>
        <v>0</v>
      </c>
      <c r="AA39" s="77">
        <f>IF(AA33=0,0,AA36*SUP_CONTROL!$C$12*CAPA2_FLAGSHIP!AA11/AA33)</f>
        <v>0</v>
      </c>
      <c r="AB39" s="77">
        <f>IF(AB33=0,0,AB36*SUP_CONTROL!$C$12*CAPA2_FLAGSHIP!AB11/AB33)</f>
        <v>0</v>
      </c>
      <c r="AC39" s="77">
        <f>IF(AC33=0,0,AC36*SUP_CONTROL!$C$12*CAPA2_FLAGSHIP!AC11/AC33)</f>
        <v>0</v>
      </c>
      <c r="AD39" s="77">
        <f>IF(AD33=0,0,AD36*SUP_CONTROL!$C$12*CAPA2_FLAGSHIP!AD11/AD33)</f>
        <v>0</v>
      </c>
      <c r="AE39" s="77">
        <f>IF(AE33=0,0,AE36*SUP_CONTROL!$C$12*CAPA2_FLAGSHIP!AE11/AE33)</f>
        <v>0</v>
      </c>
      <c r="AF39" s="77">
        <f>IF(AF33=0,0,AF36*SUP_CONTROL!$C$12*CAPA2_FLAGSHIP!AF11/AF33)</f>
        <v>0</v>
      </c>
      <c r="AG39" s="77">
        <f>IF(AG33=0,0,AG36*SUP_CONTROL!$C$12*CAPA2_FLAGSHIP!AG11/AG33)</f>
        <v>0</v>
      </c>
      <c r="AH39" s="77">
        <f>IF(AH33=0,0,AH36*SUP_CONTROL!$C$12*CAPA2_FLAGSHIP!AH11/AH33)</f>
        <v>0</v>
      </c>
      <c r="AI39" s="77">
        <f>IF(AI33=0,0,AI36*SUP_CONTROL!$C$12*CAPA2_FLAGSHIP!AI11/AI33)</f>
        <v>0</v>
      </c>
      <c r="AJ39" s="77">
        <f>IF(AJ33=0,0,AJ36*SUP_CONTROL!$C$12*CAPA2_FLAGSHIP!AJ11/AJ33)</f>
        <v>0</v>
      </c>
      <c r="AK39" s="77">
        <f>IF(AK33=0,0,AK36*SUP_CONTROL!$C$12*CAPA2_FLAGSHIP!AK11/AK33)</f>
        <v>0</v>
      </c>
      <c r="AL39" s="77">
        <f>IF(AL33=0,0,AL36*SUP_CONTROL!$C$12*CAPA2_FLAGSHIP!AL11/AL33)</f>
        <v>0</v>
      </c>
      <c r="AM39" s="77">
        <f>IF(AM33=0,0,AM36*SUP_CONTROL!$C$12*CAPA2_FLAGSHIP!AM11/AM33)</f>
        <v>0</v>
      </c>
      <c r="AN39" s="77">
        <f>IF(AN33=0,0,AN36*SUP_CONTROL!$C$12*CAPA2_FLAGSHIP!AN11/AN33)</f>
        <v>0</v>
      </c>
      <c r="AO39" s="77">
        <f>IF(AO33=0,0,AO36*SUP_CONTROL!$C$12*CAPA2_FLAGSHIP!AO11/AO33)</f>
        <v>0</v>
      </c>
      <c r="AP39" s="77">
        <f>IF(AP33=0,0,AP36*SUP_CONTROL!$C$12*CAPA2_FLAGSHIP!AP11/AP33)</f>
        <v>0</v>
      </c>
      <c r="AQ39" s="77">
        <f>IF(AQ33=0,0,AQ36*SUP_CONTROL!$C$12*CAPA2_FLAGSHIP!AQ11/AQ33)</f>
        <v>0</v>
      </c>
      <c r="AR39" s="77">
        <f>IF(AR33=0,0,AR36*SUP_CONTROL!$C$12*CAPA2_FLAGSHIP!AR11/AR33)</f>
        <v>0</v>
      </c>
      <c r="AS39" s="77">
        <f>IF(AS33=0,0,AS36*SUP_CONTROL!$C$12*CAPA2_FLAGSHIP!AS11/AS33)</f>
        <v>0</v>
      </c>
      <c r="AT39" s="77">
        <f>IF(AT33=0,0,AT36*SUP_CONTROL!$C$12*CAPA2_FLAGSHIP!AT11/AT33)</f>
        <v>0</v>
      </c>
      <c r="AU39" s="77">
        <f>IF(AU33=0,0,AU36*SUP_CONTROL!$C$12*CAPA2_FLAGSHIP!AU11/AU33)</f>
        <v>0</v>
      </c>
      <c r="AV39" s="77">
        <f>IF(AV33=0,0,AV36*SUP_CONTROL!$C$12*CAPA2_FLAGSHIP!AV11/AV33)</f>
        <v>0</v>
      </c>
      <c r="AW39" s="77">
        <f>IF(AW33=0,0,AW36*SUP_CONTROL!$C$12*CAPA2_FLAGSHIP!AW11/AW33)</f>
        <v>0</v>
      </c>
      <c r="AX39" s="77">
        <f>IF(AX33=0,0,AX36*SUP_CONTROL!$C$12*CAPA2_FLAGSHIP!AX11/AX33)</f>
        <v>0</v>
      </c>
      <c r="AY39" s="77">
        <f>IF(AY33=0,0,AY36*SUP_CONTROL!$C$12*CAPA2_FLAGSHIP!AY11/AY33)</f>
        <v>0</v>
      </c>
      <c r="AZ39" s="77">
        <f>IF(AZ33=0,0,AZ36*SUP_CONTROL!$C$12*CAPA2_FLAGSHIP!AZ11/AZ33)</f>
        <v>0</v>
      </c>
      <c r="BA39" s="77">
        <f>IF(BA33=0,0,BA36*SUP_CONTROL!$C$12*CAPA2_FLAGSHIP!BA11/BA33)</f>
        <v>0</v>
      </c>
      <c r="BB39" s="77">
        <f>IF(BB33=0,0,BB36*SUP_CONTROL!$C$12*CAPA2_FLAGSHIP!BB11/BB33)</f>
        <v>0</v>
      </c>
      <c r="BC39" s="77">
        <f>IF(BC33=0,0,BC36*SUP_CONTROL!$C$12*CAPA2_FLAGSHIP!BC11/BC33)</f>
        <v>0</v>
      </c>
      <c r="BD39" s="77">
        <f>IF(BD33=0,0,BD36*SUP_CONTROL!$C$12*CAPA2_FLAGSHIP!BD11/BD33)</f>
        <v>0</v>
      </c>
      <c r="BE39" s="77">
        <f>IF(BE33=0,0,BE36*SUP_CONTROL!$C$12*CAPA2_FLAGSHIP!BE11/BE33)</f>
        <v>0</v>
      </c>
      <c r="BF39" s="77">
        <f>IF(BF33=0,0,BF36*SUP_CONTROL!$C$12*CAPA2_FLAGSHIP!BF11/BF33)</f>
        <v>0</v>
      </c>
      <c r="BG39" s="77">
        <f>IF(BG33=0,0,BG36*SUP_CONTROL!$C$12*CAPA2_FLAGSHIP!BG11/BG33)</f>
        <v>0</v>
      </c>
      <c r="BH39" s="77">
        <f>IF(BH33=0,0,BH36*SUP_CONTROL!$C$12*CAPA2_FLAGSHIP!BH11/BH33)</f>
        <v>0</v>
      </c>
      <c r="BI39" s="77">
        <f>IF(BI33=0,0,BI36*SUP_CONTROL!$C$12*CAPA2_FLAGSHIP!BI11/BI33)</f>
        <v>0</v>
      </c>
      <c r="BJ39" s="77">
        <f>IF(BJ33=0,0,BJ36*SUP_CONTROL!$C$12*CAPA2_FLAGSHIP!BJ11/BJ33)</f>
        <v>0</v>
      </c>
      <c r="BK39" s="77">
        <f>IF(BK33=0,0,BK36*SUP_CONTROL!$C$12*CAPA2_FLAGSHIP!BK11/BK33)</f>
        <v>0</v>
      </c>
      <c r="BL39" s="77">
        <f>IF(BL33=0,0,BL36*SUP_CONTROL!$C$12*CAPA2_FLAGSHIP!BL11/BL33)</f>
        <v>0</v>
      </c>
      <c r="BM39" s="77">
        <f>IF(BM33=0,0,BM36*SUP_CONTROL!$C$12*CAPA2_FLAGSHIP!BM11/BM33)</f>
        <v>0</v>
      </c>
      <c r="BN39" s="77">
        <f>IF(BN33=0,0,BN36*SUP_CONTROL!$C$12*CAPA2_FLAGSHIP!BN11/BN33)</f>
        <v>0</v>
      </c>
      <c r="BO39" s="77">
        <f>IF(BO33=0,0,BO36*SUP_CONTROL!$C$12*CAPA2_FLAGSHIP!BO11/BO33)</f>
        <v>0</v>
      </c>
      <c r="BP39" s="77">
        <f>IF(BP33=0,0,BP36*SUP_CONTROL!$C$12*CAPA2_FLAGSHIP!BP11/BP33)</f>
        <v>0</v>
      </c>
      <c r="BQ39" s="77">
        <f>IF(BQ33=0,0,BQ36*SUP_CONTROL!$C$12*CAPA2_FLAGSHIP!BQ11/BQ33)</f>
        <v>0</v>
      </c>
      <c r="BR39" s="77">
        <f>IF(BR33=0,0,BR36*SUP_CONTROL!$C$12*CAPA2_FLAGSHIP!BR11/BR33)</f>
        <v>0</v>
      </c>
      <c r="BS39" s="77">
        <f>IF(BS33=0,0,BS36*SUP_CONTROL!$C$12*CAPA2_FLAGSHIP!BS11/BS33)</f>
        <v>0</v>
      </c>
      <c r="BT39" s="77">
        <f>IF(BT33=0,0,BT36*SUP_CONTROL!$C$12*CAPA2_FLAGSHIP!BT11/BT33)</f>
        <v>0</v>
      </c>
      <c r="BU39" s="77">
        <f>IF(BU33=0,0,BU36*SUP_CONTROL!$C$12*CAPA2_FLAGSHIP!BU11/BU33)</f>
        <v>0</v>
      </c>
      <c r="BV39" s="77">
        <f>IF(BV33=0,0,BV36*SUP_CONTROL!$C$12*CAPA2_FLAGSHIP!BV11/BV33)</f>
        <v>0</v>
      </c>
      <c r="BW39" s="77">
        <f>IF(BW33=0,0,BW36*SUP_CONTROL!$C$12*CAPA2_FLAGSHIP!BW11/BW33)</f>
        <v>0</v>
      </c>
      <c r="BX39" s="77">
        <f>IF(BX33=0,0,BX36*SUP_CONTROL!$C$12*CAPA2_FLAGSHIP!BX11/BX33)</f>
        <v>0</v>
      </c>
      <c r="BY39" s="77">
        <f>IF(BY33=0,0,BY36*SUP_CONTROL!$C$12*CAPA2_FLAGSHIP!BY11/BY33)</f>
        <v>0</v>
      </c>
      <c r="BZ39" s="77">
        <f>IF(BZ33=0,0,BZ36*SUP_CONTROL!$C$12*CAPA2_FLAGSHIP!BZ11/BZ33)</f>
        <v>0</v>
      </c>
      <c r="CA39" s="77">
        <f>IF(CA33=0,0,CA36*SUP_CONTROL!$C$12*CAPA2_FLAGSHIP!CA11/CA33)</f>
        <v>0</v>
      </c>
      <c r="CB39" s="77">
        <f>IF(CB33=0,0,CB36*SUP_CONTROL!$C$12*CAPA2_FLAGSHIP!CB11/CB33)</f>
        <v>0</v>
      </c>
      <c r="CC39" s="77">
        <f>IF(CC33=0,0,CC36*SUP_CONTROL!$C$12*CAPA2_FLAGSHIP!CC11/CC33)</f>
        <v>0</v>
      </c>
      <c r="CD39" s="77">
        <f>IF(CD33=0,0,CD36*SUP_CONTROL!$C$12*CAPA2_FLAGSHIP!CD11/CD33)</f>
        <v>0</v>
      </c>
      <c r="CE39" s="77">
        <f>IF(CE33=0,0,CE36*SUP_CONTROL!$C$12*CAPA2_FLAGSHIP!CE11/CE33)</f>
        <v>0</v>
      </c>
      <c r="CF39" s="77">
        <f>IF(CF33=0,0,CF36*SUP_CONTROL!$C$12*CAPA2_FLAGSHIP!CF11/CF33)</f>
        <v>0</v>
      </c>
      <c r="CG39" s="77">
        <f>IF(CG33=0,0,CG36*SUP_CONTROL!$C$12*CAPA2_FLAGSHIP!CG11/CG33)</f>
        <v>0</v>
      </c>
      <c r="CH39" s="77">
        <f>IF(CH33=0,0,CH36*SUP_CONTROL!$C$12*CAPA2_FLAGSHIP!CH11/CH33)</f>
        <v>0</v>
      </c>
      <c r="CI39" s="77">
        <f>IF(CI33=0,0,CI36*SUP_CONTROL!$C$12*CAPA2_FLAGSHIP!CI11/CI33)</f>
        <v>0</v>
      </c>
      <c r="CJ39" s="77">
        <f>IF(CJ33=0,0,CJ36*SUP_CONTROL!$C$12*CAPA2_FLAGSHIP!CJ11/CJ33)</f>
        <v>0</v>
      </c>
      <c r="CK39" s="77">
        <f>IF(CK33=0,0,CK36*SUP_CONTROL!$C$12*CAPA2_FLAGSHIP!CK11/CK33)</f>
        <v>0</v>
      </c>
      <c r="CL39" s="77">
        <f>IF(CL33=0,0,CL36*SUP_CONTROL!$C$12*CAPA2_FLAGSHIP!CL11/CL33)</f>
        <v>0</v>
      </c>
      <c r="CM39" s="77">
        <f>IF(CM33=0,0,CM36*SUP_CONTROL!$C$12*CAPA2_FLAGSHIP!CM11/CM33)</f>
        <v>0</v>
      </c>
      <c r="CN39" s="77">
        <f>IF(CN33=0,0,CN36*SUP_CONTROL!$C$12*CAPA2_FLAGSHIP!CN11/CN33)</f>
        <v>0</v>
      </c>
      <c r="CO39" s="77">
        <f>IF(CO33=0,0,CO36*SUP_CONTROL!$C$12*CAPA2_FLAGSHIP!CO11/CO33)</f>
        <v>0</v>
      </c>
      <c r="CP39" s="77">
        <f>IF(CP33=0,0,CP36*SUP_CONTROL!$C$12*CAPA2_FLAGSHIP!CP11/CP33)</f>
        <v>0</v>
      </c>
      <c r="CQ39" s="77">
        <f>IF(CQ33=0,0,CQ36*SUP_CONTROL!$C$12*CAPA2_FLAGSHIP!CQ11/CQ33)</f>
        <v>0</v>
      </c>
      <c r="CR39" s="77">
        <f>IF(CR33=0,0,CR36*SUP_CONTROL!$C$12*CAPA2_FLAGSHIP!CR11/CR33)</f>
        <v>0</v>
      </c>
      <c r="CS39" s="77">
        <f>IF(CS33=0,0,CS36*SUP_CONTROL!$C$12*CAPA2_FLAGSHIP!CS11/CS33)</f>
        <v>0</v>
      </c>
      <c r="CT39" s="77">
        <f>IF(CT33=0,0,CT36*SUP_CONTROL!$C$12*CAPA2_FLAGSHIP!CT11/CT33)</f>
        <v>0</v>
      </c>
      <c r="CU39" s="77">
        <f>IF(CU33=0,0,CU36*SUP_CONTROL!$C$12*CAPA2_FLAGSHIP!CU11/CU33)</f>
        <v>0</v>
      </c>
      <c r="CV39" s="77">
        <f>IF(CV33=0,0,CV36*SUP_CONTROL!$C$12*CAPA2_FLAGSHIP!CV11/CV33)</f>
        <v>0</v>
      </c>
      <c r="CW39" s="77">
        <f>IF(CW33=0,0,CW36*SUP_CONTROL!$C$12*CAPA2_FLAGSHIP!CW11/CW33)</f>
        <v>0</v>
      </c>
      <c r="CX39" s="77">
        <f>IF(CX33=0,0,CX36*SUP_CONTROL!$C$12*CAPA2_FLAGSHIP!CX11/CX33)</f>
        <v>0</v>
      </c>
      <c r="CY39" s="77">
        <f>IF(CY33=0,0,CY36*SUP_CONTROL!$C$12*CAPA2_FLAGSHIP!CY11/CY33)</f>
        <v>0</v>
      </c>
      <c r="CZ39" s="77">
        <f>IF(CZ33=0,0,CZ36*SUP_CONTROL!$C$12*CAPA2_FLAGSHIP!CZ11/CZ33)</f>
        <v>0</v>
      </c>
      <c r="DA39" s="77">
        <f>IF(DA33=0,0,DA36*SUP_CONTROL!$C$12*CAPA2_FLAGSHIP!DA11/DA33)</f>
        <v>0</v>
      </c>
      <c r="DB39" s="77">
        <f>IF(DB33=0,0,DB36*SUP_CONTROL!$C$12*CAPA2_FLAGSHIP!DB11/DB33)</f>
        <v>0</v>
      </c>
      <c r="DC39" s="77">
        <f>IF(DC33=0,0,DC36*SUP_CONTROL!$C$12*CAPA2_FLAGSHIP!DC11/DC33)</f>
        <v>0</v>
      </c>
      <c r="DD39" s="77">
        <f>IF(DD33=0,0,DD36*SUP_CONTROL!$C$12*CAPA2_FLAGSHIP!DD11/DD33)</f>
        <v>0</v>
      </c>
      <c r="DE39" s="77">
        <f>IF(DE33=0,0,DE36*SUP_CONTROL!$C$12*CAPA2_FLAGSHIP!DE11/DE33)</f>
        <v>0</v>
      </c>
      <c r="DF39" s="77">
        <f>IF(DF33=0,0,DF36*SUP_CONTROL!$C$12*CAPA2_FLAGSHIP!DF11/DF33)</f>
        <v>0</v>
      </c>
      <c r="DG39" s="77">
        <f>IF(DG33=0,0,DG36*SUP_CONTROL!$C$12*CAPA2_FLAGSHIP!DG11/DG33)</f>
        <v>0</v>
      </c>
      <c r="DH39" s="77">
        <f>IF(DH33=0,0,DH36*SUP_CONTROL!$C$12*CAPA2_FLAGSHIP!DH11/DH33)</f>
        <v>0</v>
      </c>
      <c r="DI39" s="77">
        <f>IF(DI33=0,0,DI36*SUP_CONTROL!$C$12*CAPA2_FLAGSHIP!DI11/DI33)</f>
        <v>0</v>
      </c>
      <c r="DJ39" s="77">
        <f>IF(DJ33=0,0,DJ36*SUP_CONTROL!$C$12*CAPA2_FLAGSHIP!DJ11/DJ33)</f>
        <v>0</v>
      </c>
      <c r="DK39" s="77">
        <f>IF(DK33=0,0,DK36*SUP_CONTROL!$C$12*CAPA2_FLAGSHIP!DK11/DK33)</f>
        <v>0</v>
      </c>
      <c r="DL39" s="77">
        <f>IF(DL33=0,0,DL36*SUP_CONTROL!$C$12*CAPA2_FLAGSHIP!DL11/DL33)</f>
        <v>0</v>
      </c>
      <c r="DM39" s="77">
        <f>IF(DM33=0,0,DM36*SUP_CONTROL!$C$12*CAPA2_FLAGSHIP!DM11/DM33)</f>
        <v>0</v>
      </c>
      <c r="DN39" s="77">
        <f>IF(DN33=0,0,DN36*SUP_CONTROL!$C$12*CAPA2_FLAGSHIP!DN11/DN33)</f>
        <v>0</v>
      </c>
      <c r="DO39" s="77">
        <f>IF(DO33=0,0,DO36*SUP_CONTROL!$C$12*CAPA2_FLAGSHIP!DO11/DO33)</f>
        <v>0</v>
      </c>
      <c r="DP39" s="77">
        <f>IF(DP33=0,0,DP36*SUP_CONTROL!$C$12*CAPA2_FLAGSHIP!DP11/DP33)</f>
        <v>0</v>
      </c>
      <c r="DQ39" s="77">
        <f>IF(DQ33=0,0,DQ36*SUP_CONTROL!$C$12*CAPA2_FLAGSHIP!DQ11/DQ33)</f>
        <v>0</v>
      </c>
      <c r="DR39" s="77">
        <f>IF(DR33=0,0,DR36*SUP_CONTROL!$C$12*CAPA2_FLAGSHIP!DR11/DR33)</f>
        <v>0</v>
      </c>
      <c r="DS39" s="77">
        <f>IF(DS33=0,0,DS36*SUP_CONTROL!$C$12*CAPA2_FLAGSHIP!DS11/DS33)</f>
        <v>0</v>
      </c>
    </row>
    <row r="40" spans="2:123" ht="15" customHeight="1" x14ac:dyDescent="0.2">
      <c r="B40" s="37" t="s">
        <v>643</v>
      </c>
      <c r="D40" s="77">
        <f>IF(D33=0,0,D36*SUP_CONTROL!$C$13*CAPA3_EXPANSION!D39/D33)</f>
        <v>0</v>
      </c>
      <c r="E40" s="77">
        <f>IF(E33=0,0,E36*SUP_CONTROL!$C$13*CAPA3_EXPANSION!E39/E33)</f>
        <v>0</v>
      </c>
      <c r="F40" s="77">
        <f>IF(F33=0,0,F36*SUP_CONTROL!$C$13*CAPA3_EXPANSION!F39/F33)</f>
        <v>0</v>
      </c>
      <c r="G40" s="77">
        <f>IF(G33=0,0,G36*SUP_CONTROL!$C$13*CAPA3_EXPANSION!G39/G33)</f>
        <v>0</v>
      </c>
      <c r="H40" s="77">
        <f>IF(H33=0,0,H36*SUP_CONTROL!$C$13*CAPA3_EXPANSION!H39/H33)</f>
        <v>0</v>
      </c>
      <c r="I40" s="77">
        <f>IF(I33=0,0,I36*SUP_CONTROL!$C$13*CAPA3_EXPANSION!I39/I33)</f>
        <v>0</v>
      </c>
      <c r="J40" s="77">
        <f>IF(J33=0,0,J36*SUP_CONTROL!$C$13*CAPA3_EXPANSION!J39/J33)</f>
        <v>0</v>
      </c>
      <c r="K40" s="77">
        <f>IF(K33=0,0,K36*SUP_CONTROL!$C$13*CAPA3_EXPANSION!K39/K33)</f>
        <v>0</v>
      </c>
      <c r="L40" s="77">
        <f>IF(L33=0,0,L36*SUP_CONTROL!$C$13*CAPA3_EXPANSION!L39/L33)</f>
        <v>0</v>
      </c>
      <c r="M40" s="77">
        <f>IF(M33=0,0,M36*SUP_CONTROL!$C$13*CAPA3_EXPANSION!M39/M33)</f>
        <v>0</v>
      </c>
      <c r="N40" s="77">
        <f>IF(N33=0,0,N36*SUP_CONTROL!$C$13*CAPA3_EXPANSION!N39/N33)</f>
        <v>0</v>
      </c>
      <c r="O40" s="77">
        <f>IF(O33=0,0,O36*SUP_CONTROL!$C$13*CAPA3_EXPANSION!O39/O33)</f>
        <v>0</v>
      </c>
      <c r="P40" s="77">
        <f>IF(P33=0,0,P36*SUP_CONTROL!$C$13*CAPA3_EXPANSION!P39/P33)</f>
        <v>0</v>
      </c>
      <c r="Q40" s="77">
        <f>IF(Q33=0,0,Q36*SUP_CONTROL!$C$13*CAPA3_EXPANSION!Q39/Q33)</f>
        <v>0</v>
      </c>
      <c r="R40" s="77">
        <f>IF(R33=0,0,R36*SUP_CONTROL!$C$13*CAPA3_EXPANSION!R39/R33)</f>
        <v>0</v>
      </c>
      <c r="S40" s="77">
        <f>IF(S33=0,0,S36*SUP_CONTROL!$C$13*CAPA3_EXPANSION!S39/S33)</f>
        <v>0</v>
      </c>
      <c r="T40" s="77">
        <f>IF(T33=0,0,T36*SUP_CONTROL!$C$13*CAPA3_EXPANSION!T39/T33)</f>
        <v>1988.1919485210658</v>
      </c>
      <c r="U40" s="77">
        <f>IF(U33=0,0,U36*SUP_CONTROL!$C$13*CAPA3_EXPANSION!U39/U33)</f>
        <v>2447.0054751028506</v>
      </c>
      <c r="V40" s="77">
        <f>IF(V33=0,0,V36*SUP_CONTROL!$C$13*CAPA3_EXPANSION!V39/V33)</f>
        <v>4741.0731080117721</v>
      </c>
      <c r="W40" s="77">
        <f>IF(W33=0,0,W36*SUP_CONTROL!$C$13*CAPA3_EXPANSION!W39/W33)</f>
        <v>7493.9542675024795</v>
      </c>
      <c r="X40" s="77">
        <f>IF(X33=0,0,X36*SUP_CONTROL!$C$13*CAPA3_EXPANSION!X39/X33)</f>
        <v>8258.6434784721223</v>
      </c>
      <c r="Y40" s="77">
        <f>IF(Y33=0,0,Y36*SUP_CONTROL!$C$13*CAPA3_EXPANSION!Y39/Y33)</f>
        <v>8870.3948472478314</v>
      </c>
      <c r="Z40" s="77">
        <f>IF(Z33=0,0,Z36*SUP_CONTROL!$C$13*CAPA3_EXPANSION!Z39/Z33)</f>
        <v>9176.2705316356878</v>
      </c>
      <c r="AA40" s="77">
        <f>IF(AA33=0,0,AA36*SUP_CONTROL!$C$13*CAPA3_EXPANSION!AA39/AA33)</f>
        <v>9176.2705316356878</v>
      </c>
      <c r="AB40" s="77">
        <f>IF(AB33=0,0,AB36*SUP_CONTROL!$C$13*CAPA3_EXPANSION!AB39/AB33)</f>
        <v>7865.3747414020181</v>
      </c>
      <c r="AC40" s="77">
        <f>IF(AC33=0,0,AC36*SUP_CONTROL!$C$13*CAPA3_EXPANSION!AC39/AC33)</f>
        <v>7865.3747414020181</v>
      </c>
      <c r="AD40" s="77">
        <f>IF(AD33=0,0,AD36*SUP_CONTROL!$C$13*CAPA3_EXPANSION!AD39/AD33)</f>
        <v>7629.4134991599567</v>
      </c>
      <c r="AE40" s="77">
        <f>IF(AE33=0,0,AE36*SUP_CONTROL!$C$13*CAPA3_EXPANSION!AE39/AE33)</f>
        <v>7629.4134991599567</v>
      </c>
      <c r="AF40" s="77">
        <f>IF(AF33=0,0,AF36*SUP_CONTROL!$C$13*CAPA3_EXPANSION!AF39/AF33)</f>
        <v>9778.3649680900126</v>
      </c>
      <c r="AG40" s="77">
        <f>IF(AG33=0,0,AG36*SUP_CONTROL!$C$13*CAPA3_EXPANSION!AG39/AG33)</f>
        <v>11927.316437020067</v>
      </c>
      <c r="AH40" s="77">
        <f>IF(AH33=0,0,AH36*SUP_CONTROL!$C$13*CAPA3_EXPANSION!AH39/AH33)</f>
        <v>12639.395030274994</v>
      </c>
      <c r="AI40" s="77">
        <f>IF(AI33=0,0,AI36*SUP_CONTROL!$C$13*CAPA3_EXPANSION!AI39/AI33)</f>
        <v>14877.356323361913</v>
      </c>
      <c r="AJ40" s="77">
        <f>IF(AJ33=0,0,AJ36*SUP_CONTROL!$C$13*CAPA3_EXPANSION!AJ39/AJ33)</f>
        <v>17166.180373109903</v>
      </c>
      <c r="AK40" s="77">
        <f>IF(AK33=0,0,AK36*SUP_CONTROL!$C$13*CAPA3_EXPANSION!AK39/AK33)</f>
        <v>17801.964831373232</v>
      </c>
      <c r="AL40" s="77">
        <f>IF(AL33=0,0,AL36*SUP_CONTROL!$C$13*CAPA3_EXPANSION!AL39/AL33)</f>
        <v>17838.669913499776</v>
      </c>
      <c r="AM40" s="77">
        <f>IF(AM33=0,0,AM36*SUP_CONTROL!$C$13*CAPA3_EXPANSION!AM39/AM33)</f>
        <v>20179.995339646623</v>
      </c>
      <c r="AN40" s="77">
        <f>IF(AN33=0,0,AN36*SUP_CONTROL!$C$13*CAPA3_EXPANSION!AN39/AN33)</f>
        <v>20417.431339652692</v>
      </c>
      <c r="AO40" s="77">
        <f>IF(AO33=0,0,AO36*SUP_CONTROL!$C$13*CAPA3_EXPANSION!AO39/AO33)</f>
        <v>22529.579409271937</v>
      </c>
      <c r="AP40" s="77">
        <f>IF(AP33=0,0,AP36*SUP_CONTROL!$C$13*CAPA3_EXPANSION!AP39/AP33)</f>
        <v>24868.840174549172</v>
      </c>
      <c r="AQ40" s="77">
        <f>IF(AQ33=0,0,AQ36*SUP_CONTROL!$C$13*CAPA3_EXPANSION!AQ39/AQ33)</f>
        <v>25663.734609352105</v>
      </c>
      <c r="AR40" s="77">
        <f>IF(AR33=0,0,AR36*SUP_CONTROL!$C$13*CAPA3_EXPANSION!AR39/AR33)</f>
        <v>28037.062278978028</v>
      </c>
      <c r="AS40" s="77">
        <f>IF(AS33=0,0,AS36*SUP_CONTROL!$C$13*CAPA3_EXPANSION!AS39/AS33)</f>
        <v>28707.04473116908</v>
      </c>
      <c r="AT40" s="77">
        <f>IF(AT33=0,0,AT36*SUP_CONTROL!$C$13*CAPA3_EXPANSION!AT39/AT33)</f>
        <v>30478.523757301355</v>
      </c>
      <c r="AU40" s="77">
        <f>IF(AU33=0,0,AU36*SUP_CONTROL!$C$13*CAPA3_EXPANSION!AU39/AU33)</f>
        <v>32590.671826920599</v>
      </c>
      <c r="AV40" s="77">
        <f>IF(AV33=0,0,AV36*SUP_CONTROL!$C$13*CAPA3_EXPANSION!AV39/AV33)</f>
        <v>33158.453566065546</v>
      </c>
      <c r="AW40" s="77">
        <f>IF(AW33=0,0,AW36*SUP_CONTROL!$C$13*CAPA3_EXPANSION!AW39/AW33)</f>
        <v>33612.678957381519</v>
      </c>
      <c r="AX40" s="77">
        <f>IF(AX33=0,0,AX36*SUP_CONTROL!$C$13*CAPA3_EXPANSION!AX39/AX33)</f>
        <v>33839.791653039501</v>
      </c>
      <c r="AY40" s="77">
        <f>IF(AY33=0,0,AY36*SUP_CONTROL!$C$13*CAPA3_EXPANSION!AY39/AY33)</f>
        <v>33839.791653039501</v>
      </c>
      <c r="AZ40" s="77">
        <f>IF(AZ33=0,0,AZ36*SUP_CONTROL!$C$13*CAPA3_EXPANSION!AZ39/AZ33)</f>
        <v>30763.446957308643</v>
      </c>
      <c r="BA40" s="77">
        <f>IF(BA33=0,0,BA36*SUP_CONTROL!$C$13*CAPA3_EXPANSION!BA39/BA33)</f>
        <v>29949.599154205243</v>
      </c>
      <c r="BB40" s="77">
        <f>IF(BB33=0,0,BB36*SUP_CONTROL!$C$13*CAPA3_EXPANSION!BB39/BB33)</f>
        <v>29949.599154205243</v>
      </c>
      <c r="BC40" s="77">
        <f>IF(BC33=0,0,BC36*SUP_CONTROL!$C$13*CAPA3_EXPANSION!BC39/BC33)</f>
        <v>29949.599154205243</v>
      </c>
      <c r="BD40" s="77">
        <f>IF(BD33=0,0,BD36*SUP_CONTROL!$C$13*CAPA3_EXPANSION!BD39/BD33)</f>
        <v>32562.651429404355</v>
      </c>
      <c r="BE40" s="77">
        <f>IF(BE33=0,0,BE36*SUP_CONTROL!$C$13*CAPA3_EXPANSION!BE39/BE33)</f>
        <v>34472.189630511406</v>
      </c>
      <c r="BF40" s="77">
        <f>IF(BF33=0,0,BF36*SUP_CONTROL!$C$13*CAPA3_EXPANSION!BF39/BF33)</f>
        <v>36072.574907754999</v>
      </c>
      <c r="BG40" s="77">
        <f>IF(BG33=0,0,BG36*SUP_CONTROL!$C$13*CAPA3_EXPANSION!BG39/BG33)</f>
        <v>38324.038427481333</v>
      </c>
      <c r="BH40" s="77">
        <f>IF(BH33=0,0,BH36*SUP_CONTROL!$C$13*CAPA3_EXPANSION!BH39/BH33)</f>
        <v>40349.372423392349</v>
      </c>
      <c r="BI40" s="77">
        <f>IF(BI33=0,0,BI36*SUP_CONTROL!$C$13*CAPA3_EXPANSION!BI39/BI33)</f>
        <v>42374.706419303366</v>
      </c>
      <c r="BJ40" s="77">
        <f>IF(BJ33=0,0,BJ36*SUP_CONTROL!$C$13*CAPA3_EXPANSION!BJ39/BJ33)</f>
        <v>44724.487123297222</v>
      </c>
      <c r="BK40" s="77">
        <f>IF(BK33=0,0,BK36*SUP_CONTROL!$C$13*CAPA3_EXPANSION!BK39/BK33)</f>
        <v>45739.775912833196</v>
      </c>
      <c r="BL40" s="77">
        <f>IF(BL33=0,0,BL36*SUP_CONTROL!$C$13*CAPA3_EXPANSION!BL39/BL33)</f>
        <v>42948.092237951576</v>
      </c>
      <c r="BM40" s="77">
        <f>IF(BM33=0,0,BM36*SUP_CONTROL!$C$13*CAPA3_EXPANSION!BM39/BM33)</f>
        <v>44730.386154353277</v>
      </c>
      <c r="BN40" s="77">
        <f>IF(BN33=0,0,BN36*SUP_CONTROL!$C$13*CAPA3_EXPANSION!BN39/BN33)</f>
        <v>46798.193173867869</v>
      </c>
      <c r="BO40" s="77">
        <f>IF(BO33=0,0,BO36*SUP_CONTROL!$C$13*CAPA3_EXPANSION!BO39/BO33)</f>
        <v>48606.442826916202</v>
      </c>
      <c r="BP40" s="77">
        <f>IF(BP33=0,0,BP36*SUP_CONTROL!$C$13*CAPA3_EXPANSION!BP39/BP33)</f>
        <v>49529.837821556801</v>
      </c>
      <c r="BQ40" s="77">
        <f>IF(BQ33=0,0,BQ36*SUP_CONTROL!$C$13*CAPA3_EXPANSION!BQ39/BQ33)</f>
        <v>51281.751728019837</v>
      </c>
      <c r="BR40" s="77">
        <f>IF(BR33=0,0,BR36*SUP_CONTROL!$C$13*CAPA3_EXPANSION!BR39/BR33)</f>
        <v>53314.312036974516</v>
      </c>
      <c r="BS40" s="77">
        <f>IF(BS33=0,0,BS36*SUP_CONTROL!$C$13*CAPA3_EXPANSION!BS39/BS33)</f>
        <v>56197.315989843293</v>
      </c>
      <c r="BT40" s="77">
        <f>IF(BT33=0,0,BT36*SUP_CONTROL!$C$13*CAPA3_EXPANSION!BT39/BT33)</f>
        <v>58204.362989480549</v>
      </c>
      <c r="BU40" s="77">
        <f>IF(BU33=0,0,BU36*SUP_CONTROL!$C$13*CAPA3_EXPANSION!BU39/BU33)</f>
        <v>59083.711885569268</v>
      </c>
      <c r="BV40" s="77">
        <f>IF(BV33=0,0,BV36*SUP_CONTROL!$C$13*CAPA3_EXPANSION!BV39/BV33)</f>
        <v>60922.243231371984</v>
      </c>
      <c r="BW40" s="77">
        <f>IF(BW33=0,0,BW36*SUP_CONTROL!$C$13*CAPA3_EXPANSION!BW39/BW33)</f>
        <v>62919.556829766756</v>
      </c>
      <c r="BX40" s="77">
        <f>IF(BX33=0,0,BX36*SUP_CONTROL!$C$13*CAPA3_EXPANSION!BX39/BX33)</f>
        <v>57481.032540692759</v>
      </c>
      <c r="BY40" s="77">
        <f>IF(BY33=0,0,BY36*SUP_CONTROL!$C$13*CAPA3_EXPANSION!BY39/BY33)</f>
        <v>59011.284893158852</v>
      </c>
      <c r="BZ40" s="77">
        <f>IF(BZ33=0,0,BZ36*SUP_CONTROL!$C$13*CAPA3_EXPANSION!BZ39/BZ33)</f>
        <v>60783.616001554772</v>
      </c>
      <c r="CA40" s="77">
        <f>IF(CA33=0,0,CA36*SUP_CONTROL!$C$13*CAPA3_EXPANSION!CA39/CA33)</f>
        <v>62758.349419962775</v>
      </c>
      <c r="CB40" s="77">
        <f>IF(CB33=0,0,CB36*SUP_CONTROL!$C$13*CAPA3_EXPANSION!CB39/CB33)</f>
        <v>64439.442181358427</v>
      </c>
      <c r="CC40" s="77">
        <f>IF(CC33=0,0,CC36*SUP_CONTROL!$C$13*CAPA3_EXPANSION!CC39/CC33)</f>
        <v>65144.179758188046</v>
      </c>
      <c r="CD40" s="77">
        <f>IF(CD33=0,0,CD36*SUP_CONTROL!$C$13*CAPA3_EXPANSION!CD39/CD33)</f>
        <v>65481.866513752233</v>
      </c>
      <c r="CE40" s="77">
        <f>IF(CE33=0,0,CE36*SUP_CONTROL!$C$13*CAPA3_EXPANSION!CE39/CE33)</f>
        <v>65628.686842258408</v>
      </c>
      <c r="CF40" s="77">
        <f>IF(CF33=0,0,CF36*SUP_CONTROL!$C$13*CAPA3_EXPANSION!CF39/CF33)</f>
        <v>65628.686842258408</v>
      </c>
      <c r="CG40" s="77">
        <f>IF(CG33=0,0,CG36*SUP_CONTROL!$C$13*CAPA3_EXPANSION!CG39/CG33)</f>
        <v>65628.686842258408</v>
      </c>
      <c r="CH40" s="77">
        <f>IF(CH33=0,0,CH36*SUP_CONTROL!$C$13*CAPA3_EXPANSION!CH39/CH33)</f>
        <v>65628.686842258408</v>
      </c>
      <c r="CI40" s="77">
        <f>IF(CI33=0,0,CI36*SUP_CONTROL!$C$13*CAPA3_EXPANSION!CI39/CI33)</f>
        <v>65628.686842258408</v>
      </c>
      <c r="CJ40" s="77">
        <f>IF(CJ33=0,0,CJ36*SUP_CONTROL!$C$13*CAPA3_EXPANSION!CJ39/CJ33)</f>
        <v>65628.686842258408</v>
      </c>
      <c r="CK40" s="77">
        <f>IF(CK33=0,0,CK36*SUP_CONTROL!$C$13*CAPA3_EXPANSION!CK39/CK33)</f>
        <v>65628.686842258408</v>
      </c>
      <c r="CL40" s="77">
        <f>IF(CL33=0,0,CL36*SUP_CONTROL!$C$13*CAPA3_EXPANSION!CL39/CL33)</f>
        <v>65628.686842258408</v>
      </c>
      <c r="CM40" s="77">
        <f>IF(CM33=0,0,CM36*SUP_CONTROL!$C$13*CAPA3_EXPANSION!CM39/CM33)</f>
        <v>65628.686842258408</v>
      </c>
      <c r="CN40" s="77">
        <f>IF(CN33=0,0,CN36*SUP_CONTROL!$C$13*CAPA3_EXPANSION!CN39/CN33)</f>
        <v>65628.686842258408</v>
      </c>
      <c r="CO40" s="77">
        <f>IF(CO33=0,0,CO36*SUP_CONTROL!$C$13*CAPA3_EXPANSION!CO39/CO33)</f>
        <v>65628.686842258408</v>
      </c>
      <c r="CP40" s="77">
        <f>IF(CP33=0,0,CP36*SUP_CONTROL!$C$13*CAPA3_EXPANSION!CP39/CP33)</f>
        <v>65628.686842258408</v>
      </c>
      <c r="CQ40" s="77">
        <f>IF(CQ33=0,0,CQ36*SUP_CONTROL!$C$13*CAPA3_EXPANSION!CQ39/CQ33)</f>
        <v>65628.686842258408</v>
      </c>
      <c r="CR40" s="77">
        <f>IF(CR33=0,0,CR36*SUP_CONTROL!$C$13*CAPA3_EXPANSION!CR39/CR33)</f>
        <v>65628.686842258408</v>
      </c>
      <c r="CS40" s="77">
        <f>IF(CS33=0,0,CS36*SUP_CONTROL!$C$13*CAPA3_EXPANSION!CS39/CS33)</f>
        <v>65628.686842258408</v>
      </c>
      <c r="CT40" s="77">
        <f>IF(CT33=0,0,CT36*SUP_CONTROL!$C$13*CAPA3_EXPANSION!CT39/CT33)</f>
        <v>65628.686842258408</v>
      </c>
      <c r="CU40" s="77">
        <f>IF(CU33=0,0,CU36*SUP_CONTROL!$C$13*CAPA3_EXPANSION!CU39/CU33)</f>
        <v>65628.686842258408</v>
      </c>
      <c r="CV40" s="77">
        <f>IF(CV33=0,0,CV36*SUP_CONTROL!$C$13*CAPA3_EXPANSION!CV39/CV33)</f>
        <v>65628.686842258408</v>
      </c>
      <c r="CW40" s="77">
        <f>IF(CW33=0,0,CW36*SUP_CONTROL!$C$13*CAPA3_EXPANSION!CW39/CW33)</f>
        <v>65628.686842258408</v>
      </c>
      <c r="CX40" s="77">
        <f>IF(CX33=0,0,CX36*SUP_CONTROL!$C$13*CAPA3_EXPANSION!CX39/CX33)</f>
        <v>65628.686842258408</v>
      </c>
      <c r="CY40" s="77">
        <f>IF(CY33=0,0,CY36*SUP_CONTROL!$C$13*CAPA3_EXPANSION!CY39/CY33)</f>
        <v>65628.686842258408</v>
      </c>
      <c r="CZ40" s="77">
        <f>IF(CZ33=0,0,CZ36*SUP_CONTROL!$C$13*CAPA3_EXPANSION!CZ39/CZ33)</f>
        <v>65628.686842258408</v>
      </c>
      <c r="DA40" s="77">
        <f>IF(DA33=0,0,DA36*SUP_CONTROL!$C$13*CAPA3_EXPANSION!DA39/DA33)</f>
        <v>65628.686842258408</v>
      </c>
      <c r="DB40" s="77">
        <f>IF(DB33=0,0,DB36*SUP_CONTROL!$C$13*CAPA3_EXPANSION!DB39/DB33)</f>
        <v>65628.686842258408</v>
      </c>
      <c r="DC40" s="77">
        <f>IF(DC33=0,0,DC36*SUP_CONTROL!$C$13*CAPA3_EXPANSION!DC39/DC33)</f>
        <v>65628.686842258408</v>
      </c>
      <c r="DD40" s="77">
        <f>IF(DD33=0,0,DD36*SUP_CONTROL!$C$13*CAPA3_EXPANSION!DD39/DD33)</f>
        <v>65628.686842258408</v>
      </c>
      <c r="DE40" s="77">
        <f>IF(DE33=0,0,DE36*SUP_CONTROL!$C$13*CAPA3_EXPANSION!DE39/DE33)</f>
        <v>65628.686842258408</v>
      </c>
      <c r="DF40" s="77">
        <f>IF(DF33=0,0,DF36*SUP_CONTROL!$C$13*CAPA3_EXPANSION!DF39/DF33)</f>
        <v>65628.686842258408</v>
      </c>
      <c r="DG40" s="77">
        <f>IF(DG33=0,0,DG36*SUP_CONTROL!$C$13*CAPA3_EXPANSION!DG39/DG33)</f>
        <v>65628.686842258408</v>
      </c>
      <c r="DH40" s="77">
        <f>IF(DH33=0,0,DH36*SUP_CONTROL!$C$13*CAPA3_EXPANSION!DH39/DH33)</f>
        <v>65628.686842258408</v>
      </c>
      <c r="DI40" s="77">
        <f>IF(DI33=0,0,DI36*SUP_CONTROL!$C$13*CAPA3_EXPANSION!DI39/DI33)</f>
        <v>65628.686842258408</v>
      </c>
      <c r="DJ40" s="77">
        <f>IF(DJ33=0,0,DJ36*SUP_CONTROL!$C$13*CAPA3_EXPANSION!DJ39/DJ33)</f>
        <v>65628.686842258408</v>
      </c>
      <c r="DK40" s="77">
        <f>IF(DK33=0,0,DK36*SUP_CONTROL!$C$13*CAPA3_EXPANSION!DK39/DK33)</f>
        <v>65628.686842258408</v>
      </c>
      <c r="DL40" s="77">
        <f>IF(DL33=0,0,DL36*SUP_CONTROL!$C$13*CAPA3_EXPANSION!DL39/DL33)</f>
        <v>65628.686842258408</v>
      </c>
      <c r="DM40" s="77">
        <f>IF(DM33=0,0,DM36*SUP_CONTROL!$C$13*CAPA3_EXPANSION!DM39/DM33)</f>
        <v>65628.686842258408</v>
      </c>
      <c r="DN40" s="77">
        <f>IF(DN33=0,0,DN36*SUP_CONTROL!$C$13*CAPA3_EXPANSION!DN39/DN33)</f>
        <v>65628.686842258408</v>
      </c>
      <c r="DO40" s="77">
        <f>IF(DO33=0,0,DO36*SUP_CONTROL!$C$13*CAPA3_EXPANSION!DO39/DO33)</f>
        <v>65628.686842258408</v>
      </c>
      <c r="DP40" s="77">
        <f>IF(DP33=0,0,DP36*SUP_CONTROL!$C$13*CAPA3_EXPANSION!DP39/DP33)</f>
        <v>65628.686842258408</v>
      </c>
      <c r="DQ40" s="77">
        <f>IF(DQ33=0,0,DQ36*SUP_CONTROL!$C$13*CAPA3_EXPANSION!DQ39/DQ33)</f>
        <v>65628.686842258408</v>
      </c>
      <c r="DR40" s="77">
        <f>IF(DR33=0,0,DR36*SUP_CONTROL!$C$13*CAPA3_EXPANSION!DR39/DR33)</f>
        <v>65628.686842258408</v>
      </c>
      <c r="DS40" s="77">
        <f>IF(DS33=0,0,DS36*SUP_CONTROL!$C$13*CAPA3_EXPANSION!DS39/DS33)</f>
        <v>65628.686842258408</v>
      </c>
    </row>
    <row r="41" spans="2:123" ht="15" customHeight="1" x14ac:dyDescent="0.2">
      <c r="B41" s="37" t="s">
        <v>644</v>
      </c>
      <c r="D41" s="77">
        <f>IF(D33=0,0,D36*SUP_CONTROL!$C$14*CAPA4_RETAIL!D8/D33)</f>
        <v>0</v>
      </c>
      <c r="E41" s="77">
        <f>IF(E33=0,0,E36*SUP_CONTROL!$C$14*CAPA4_RETAIL!E8/E33)</f>
        <v>0</v>
      </c>
      <c r="F41" s="77">
        <f>IF(F33=0,0,F36*SUP_CONTROL!$C$14*CAPA4_RETAIL!F8/F33)</f>
        <v>0</v>
      </c>
      <c r="G41" s="77">
        <f>IF(G33=0,0,G36*SUP_CONTROL!$C$14*CAPA4_RETAIL!G8/G33)</f>
        <v>0</v>
      </c>
      <c r="H41" s="77">
        <f>IF(H33=0,0,H36*SUP_CONTROL!$C$14*CAPA4_RETAIL!H8/H33)</f>
        <v>0</v>
      </c>
      <c r="I41" s="77">
        <f>IF(I33=0,0,I36*SUP_CONTROL!$C$14*CAPA4_RETAIL!I8/I33)</f>
        <v>0</v>
      </c>
      <c r="J41" s="77">
        <f>IF(J33=0,0,J36*SUP_CONTROL!$C$14*CAPA4_RETAIL!J8/J33)</f>
        <v>0</v>
      </c>
      <c r="K41" s="77">
        <f>IF(K33=0,0,K36*SUP_CONTROL!$C$14*CAPA4_RETAIL!K8/K33)</f>
        <v>0</v>
      </c>
      <c r="L41" s="77">
        <f>IF(L33=0,0,L36*SUP_CONTROL!$C$14*CAPA4_RETAIL!L8/L33)</f>
        <v>0</v>
      </c>
      <c r="M41" s="77">
        <f>IF(M33=0,0,M36*SUP_CONTROL!$C$14*CAPA4_RETAIL!M8/M33)</f>
        <v>0</v>
      </c>
      <c r="N41" s="77">
        <f>IF(N33=0,0,N36*SUP_CONTROL!$C$14*CAPA4_RETAIL!N8/N33)</f>
        <v>0</v>
      </c>
      <c r="O41" s="77">
        <f>IF(O33=0,0,O36*SUP_CONTROL!$C$14*CAPA4_RETAIL!O8/O33)</f>
        <v>0</v>
      </c>
      <c r="P41" s="77">
        <f>IF(P33=0,0,P36*SUP_CONTROL!$C$14*CAPA4_RETAIL!P8/P33)</f>
        <v>0</v>
      </c>
      <c r="Q41" s="77">
        <f>IF(Q33=0,0,Q36*SUP_CONTROL!$C$14*CAPA4_RETAIL!Q8/Q33)</f>
        <v>0</v>
      </c>
      <c r="R41" s="77">
        <f>IF(R33=0,0,R36*SUP_CONTROL!$C$14*CAPA4_RETAIL!R8/R33)</f>
        <v>0</v>
      </c>
      <c r="S41" s="77">
        <f>IF(S33=0,0,S36*SUP_CONTROL!$C$14*CAPA4_RETAIL!S8/S33)</f>
        <v>0</v>
      </c>
      <c r="T41" s="77">
        <f>IF(T33=0,0,T36*SUP_CONTROL!$C$14*CAPA4_RETAIL!T8/T33)</f>
        <v>0</v>
      </c>
      <c r="U41" s="77">
        <f>IF(U33=0,0,U36*SUP_CONTROL!$C$14*CAPA4_RETAIL!U8/U33)</f>
        <v>0</v>
      </c>
      <c r="V41" s="77">
        <f>IF(V33=0,0,V36*SUP_CONTROL!$C$14*CAPA4_RETAIL!V8/V33)</f>
        <v>0</v>
      </c>
      <c r="W41" s="77">
        <f>IF(W33=0,0,W36*SUP_CONTROL!$C$14*CAPA4_RETAIL!W8/W33)</f>
        <v>0</v>
      </c>
      <c r="X41" s="77">
        <f>IF(X33=0,0,X36*SUP_CONTROL!$C$14*CAPA4_RETAIL!X8/X33)</f>
        <v>0</v>
      </c>
      <c r="Y41" s="77">
        <f>IF(Y33=0,0,Y36*SUP_CONTROL!$C$14*CAPA4_RETAIL!Y8/Y33)</f>
        <v>0</v>
      </c>
      <c r="Z41" s="77">
        <f>IF(Z33=0,0,Z36*SUP_CONTROL!$C$14*CAPA4_RETAIL!Z8/Z33)</f>
        <v>0</v>
      </c>
      <c r="AA41" s="77">
        <f>IF(AA33=0,0,AA36*SUP_CONTROL!$C$14*CAPA4_RETAIL!AA8/AA33)</f>
        <v>0</v>
      </c>
      <c r="AB41" s="77">
        <f>IF(AB33=0,0,AB36*SUP_CONTROL!$C$14*CAPA4_RETAIL!AB8/AB33)</f>
        <v>0</v>
      </c>
      <c r="AC41" s="77">
        <f>IF(AC33=0,0,AC36*SUP_CONTROL!$C$14*CAPA4_RETAIL!AC8/AC33)</f>
        <v>0</v>
      </c>
      <c r="AD41" s="77">
        <f>IF(AD33=0,0,AD36*SUP_CONTROL!$C$14*CAPA4_RETAIL!AD8/AD33)</f>
        <v>0</v>
      </c>
      <c r="AE41" s="77">
        <f>IF(AE33=0,0,AE36*SUP_CONTROL!$C$14*CAPA4_RETAIL!AE8/AE33)</f>
        <v>0</v>
      </c>
      <c r="AF41" s="77">
        <f>IF(AF33=0,0,AF36*SUP_CONTROL!$C$14*CAPA4_RETAIL!AF8/AF33)</f>
        <v>0</v>
      </c>
      <c r="AG41" s="77">
        <f>IF(AG33=0,0,AG36*SUP_CONTROL!$C$14*CAPA4_RETAIL!AG8/AG33)</f>
        <v>0</v>
      </c>
      <c r="AH41" s="77">
        <f>IF(AH33=0,0,AH36*SUP_CONTROL!$C$14*CAPA4_RETAIL!AH8/AH33)</f>
        <v>0</v>
      </c>
      <c r="AI41" s="77">
        <f>IF(AI33=0,0,AI36*SUP_CONTROL!$C$14*CAPA4_RETAIL!AI8/AI33)</f>
        <v>0</v>
      </c>
      <c r="AJ41" s="77">
        <f>IF(AJ33=0,0,AJ36*SUP_CONTROL!$C$14*CAPA4_RETAIL!AJ8/AJ33)</f>
        <v>0</v>
      </c>
      <c r="AK41" s="77">
        <f>IF(AK33=0,0,AK36*SUP_CONTROL!$C$14*CAPA4_RETAIL!AK8/AK33)</f>
        <v>0</v>
      </c>
      <c r="AL41" s="77">
        <f>IF(AL33=0,0,AL36*SUP_CONTROL!$C$14*CAPA4_RETAIL!AL8/AL33)</f>
        <v>0</v>
      </c>
      <c r="AM41" s="77">
        <f>IF(AM33=0,0,AM36*SUP_CONTROL!$C$14*CAPA4_RETAIL!AM8/AM33)</f>
        <v>0</v>
      </c>
      <c r="AN41" s="77">
        <f>IF(AN33=0,0,AN36*SUP_CONTROL!$C$14*CAPA4_RETAIL!AN8/AN33)</f>
        <v>0</v>
      </c>
      <c r="AO41" s="77">
        <f>IF(AO33=0,0,AO36*SUP_CONTROL!$C$14*CAPA4_RETAIL!AO8/AO33)</f>
        <v>0</v>
      </c>
      <c r="AP41" s="77">
        <f>IF(AP33=0,0,AP36*SUP_CONTROL!$C$14*CAPA4_RETAIL!AP8/AP33)</f>
        <v>0</v>
      </c>
      <c r="AQ41" s="77">
        <f>IF(AQ33=0,0,AQ36*SUP_CONTROL!$C$14*CAPA4_RETAIL!AQ8/AQ33)</f>
        <v>0</v>
      </c>
      <c r="AR41" s="77">
        <f>IF(AR33=0,0,AR36*SUP_CONTROL!$C$14*CAPA4_RETAIL!AR8/AR33)</f>
        <v>0</v>
      </c>
      <c r="AS41" s="77">
        <f>IF(AS33=0,0,AS36*SUP_CONTROL!$C$14*CAPA4_RETAIL!AS8/AS33)</f>
        <v>0</v>
      </c>
      <c r="AT41" s="77">
        <f>IF(AT33=0,0,AT36*SUP_CONTROL!$C$14*CAPA4_RETAIL!AT8/AT33)</f>
        <v>0</v>
      </c>
      <c r="AU41" s="77">
        <f>IF(AU33=0,0,AU36*SUP_CONTROL!$C$14*CAPA4_RETAIL!AU8/AU33)</f>
        <v>0</v>
      </c>
      <c r="AV41" s="77">
        <f>IF(AV33=0,0,AV36*SUP_CONTROL!$C$14*CAPA4_RETAIL!AV8/AV33)</f>
        <v>0</v>
      </c>
      <c r="AW41" s="77">
        <f>IF(AW33=0,0,AW36*SUP_CONTROL!$C$14*CAPA4_RETAIL!AW8/AW33)</f>
        <v>0</v>
      </c>
      <c r="AX41" s="77">
        <f>IF(AX33=0,0,AX36*SUP_CONTROL!$C$14*CAPA4_RETAIL!AX8/AX33)</f>
        <v>0</v>
      </c>
      <c r="AY41" s="77">
        <f>IF(AY33=0,0,AY36*SUP_CONTROL!$C$14*CAPA4_RETAIL!AY8/AY33)</f>
        <v>0</v>
      </c>
      <c r="AZ41" s="77">
        <f>IF(AZ33=0,0,AZ36*SUP_CONTROL!$C$14*CAPA4_RETAIL!AZ8/AZ33)</f>
        <v>0</v>
      </c>
      <c r="BA41" s="77">
        <f>IF(BA33=0,0,BA36*SUP_CONTROL!$C$14*CAPA4_RETAIL!BA8/BA33)</f>
        <v>0</v>
      </c>
      <c r="BB41" s="77">
        <f>IF(BB33=0,0,BB36*SUP_CONTROL!$C$14*CAPA4_RETAIL!BB8/BB33)</f>
        <v>0</v>
      </c>
      <c r="BC41" s="77">
        <f>IF(BC33=0,0,BC36*SUP_CONTROL!$C$14*CAPA4_RETAIL!BC8/BC33)</f>
        <v>0</v>
      </c>
      <c r="BD41" s="77">
        <f>IF(BD33=0,0,BD36*SUP_CONTROL!$C$14*CAPA4_RETAIL!BD8/BD33)</f>
        <v>0</v>
      </c>
      <c r="BE41" s="77">
        <f>IF(BE33=0,0,BE36*SUP_CONTROL!$C$14*CAPA4_RETAIL!BE8/BE33)</f>
        <v>0</v>
      </c>
      <c r="BF41" s="77">
        <f>IF(BF33=0,0,BF36*SUP_CONTROL!$C$14*CAPA4_RETAIL!BF8/BF33)</f>
        <v>0</v>
      </c>
      <c r="BG41" s="77">
        <f>IF(BG33=0,0,BG36*SUP_CONTROL!$C$14*CAPA4_RETAIL!BG8/BG33)</f>
        <v>0</v>
      </c>
      <c r="BH41" s="77">
        <f>IF(BH33=0,0,BH36*SUP_CONTROL!$C$14*CAPA4_RETAIL!BH8/BH33)</f>
        <v>0</v>
      </c>
      <c r="BI41" s="77">
        <f>IF(BI33=0,0,BI36*SUP_CONTROL!$C$14*CAPA4_RETAIL!BI8/BI33)</f>
        <v>0</v>
      </c>
      <c r="BJ41" s="77">
        <f>IF(BJ33=0,0,BJ36*SUP_CONTROL!$C$14*CAPA4_RETAIL!BJ8/BJ33)</f>
        <v>0</v>
      </c>
      <c r="BK41" s="77">
        <f>IF(BK33=0,0,BK36*SUP_CONTROL!$C$14*CAPA4_RETAIL!BK8/BK33)</f>
        <v>0</v>
      </c>
      <c r="BL41" s="77">
        <f>IF(BL33=0,0,BL36*SUP_CONTROL!$C$14*CAPA4_RETAIL!BL8/BL33)</f>
        <v>0</v>
      </c>
      <c r="BM41" s="77">
        <f>IF(BM33=0,0,BM36*SUP_CONTROL!$C$14*CAPA4_RETAIL!BM8/BM33)</f>
        <v>0</v>
      </c>
      <c r="BN41" s="77">
        <f>IF(BN33=0,0,BN36*SUP_CONTROL!$C$14*CAPA4_RETAIL!BN8/BN33)</f>
        <v>0</v>
      </c>
      <c r="BO41" s="77">
        <f>IF(BO33=0,0,BO36*SUP_CONTROL!$C$14*CAPA4_RETAIL!BO8/BO33)</f>
        <v>0</v>
      </c>
      <c r="BP41" s="77">
        <f>IF(BP33=0,0,BP36*SUP_CONTROL!$C$14*CAPA4_RETAIL!BP8/BP33)</f>
        <v>0</v>
      </c>
      <c r="BQ41" s="77">
        <f>IF(BQ33=0,0,BQ36*SUP_CONTROL!$C$14*CAPA4_RETAIL!BQ8/BQ33)</f>
        <v>0</v>
      </c>
      <c r="BR41" s="77">
        <f>IF(BR33=0,0,BR36*SUP_CONTROL!$C$14*CAPA4_RETAIL!BR8/BR33)</f>
        <v>0</v>
      </c>
      <c r="BS41" s="77">
        <f>IF(BS33=0,0,BS36*SUP_CONTROL!$C$14*CAPA4_RETAIL!BS8/BS33)</f>
        <v>0</v>
      </c>
      <c r="BT41" s="77">
        <f>IF(BT33=0,0,BT36*SUP_CONTROL!$C$14*CAPA4_RETAIL!BT8/BT33)</f>
        <v>0</v>
      </c>
      <c r="BU41" s="77">
        <f>IF(BU33=0,0,BU36*SUP_CONTROL!$C$14*CAPA4_RETAIL!BU8/BU33)</f>
        <v>0</v>
      </c>
      <c r="BV41" s="77">
        <f>IF(BV33=0,0,BV36*SUP_CONTROL!$C$14*CAPA4_RETAIL!BV8/BV33)</f>
        <v>0</v>
      </c>
      <c r="BW41" s="77">
        <f>IF(BW33=0,0,BW36*SUP_CONTROL!$C$14*CAPA4_RETAIL!BW8/BW33)</f>
        <v>0</v>
      </c>
      <c r="BX41" s="77">
        <f>IF(BX33=0,0,BX36*SUP_CONTROL!$C$14*CAPA4_RETAIL!BX8/BX33)</f>
        <v>0</v>
      </c>
      <c r="BY41" s="77">
        <f>IF(BY33=0,0,BY36*SUP_CONTROL!$C$14*CAPA4_RETAIL!BY8/BY33)</f>
        <v>0</v>
      </c>
      <c r="BZ41" s="77">
        <f>IF(BZ33=0,0,BZ36*SUP_CONTROL!$C$14*CAPA4_RETAIL!BZ8/BZ33)</f>
        <v>0</v>
      </c>
      <c r="CA41" s="77">
        <f>IF(CA33=0,0,CA36*SUP_CONTROL!$C$14*CAPA4_RETAIL!CA8/CA33)</f>
        <v>0</v>
      </c>
      <c r="CB41" s="77">
        <f>IF(CB33=0,0,CB36*SUP_CONTROL!$C$14*CAPA4_RETAIL!CB8/CB33)</f>
        <v>0</v>
      </c>
      <c r="CC41" s="77">
        <f>IF(CC33=0,0,CC36*SUP_CONTROL!$C$14*CAPA4_RETAIL!CC8/CC33)</f>
        <v>0</v>
      </c>
      <c r="CD41" s="77">
        <f>IF(CD33=0,0,CD36*SUP_CONTROL!$C$14*CAPA4_RETAIL!CD8/CD33)</f>
        <v>0</v>
      </c>
      <c r="CE41" s="77">
        <f>IF(CE33=0,0,CE36*SUP_CONTROL!$C$14*CAPA4_RETAIL!CE8/CE33)</f>
        <v>0</v>
      </c>
      <c r="CF41" s="77">
        <f>IF(CF33=0,0,CF36*SUP_CONTROL!$C$14*CAPA4_RETAIL!CF8/CF33)</f>
        <v>0</v>
      </c>
      <c r="CG41" s="77">
        <f>IF(CG33=0,0,CG36*SUP_CONTROL!$C$14*CAPA4_RETAIL!CG8/CG33)</f>
        <v>0</v>
      </c>
      <c r="CH41" s="77">
        <f>IF(CH33=0,0,CH36*SUP_CONTROL!$C$14*CAPA4_RETAIL!CH8/CH33)</f>
        <v>0</v>
      </c>
      <c r="CI41" s="77">
        <f>IF(CI33=0,0,CI36*SUP_CONTROL!$C$14*CAPA4_RETAIL!CI8/CI33)</f>
        <v>0</v>
      </c>
      <c r="CJ41" s="77">
        <f>IF(CJ33=0,0,CJ36*SUP_CONTROL!$C$14*CAPA4_RETAIL!CJ8/CJ33)</f>
        <v>0</v>
      </c>
      <c r="CK41" s="77">
        <f>IF(CK33=0,0,CK36*SUP_CONTROL!$C$14*CAPA4_RETAIL!CK8/CK33)</f>
        <v>0</v>
      </c>
      <c r="CL41" s="77">
        <f>IF(CL33=0,0,CL36*SUP_CONTROL!$C$14*CAPA4_RETAIL!CL8/CL33)</f>
        <v>0</v>
      </c>
      <c r="CM41" s="77">
        <f>IF(CM33=0,0,CM36*SUP_CONTROL!$C$14*CAPA4_RETAIL!CM8/CM33)</f>
        <v>0</v>
      </c>
      <c r="CN41" s="77">
        <f>IF(CN33=0,0,CN36*SUP_CONTROL!$C$14*CAPA4_RETAIL!CN8/CN33)</f>
        <v>0</v>
      </c>
      <c r="CO41" s="77">
        <f>IF(CO33=0,0,CO36*SUP_CONTROL!$C$14*CAPA4_RETAIL!CO8/CO33)</f>
        <v>0</v>
      </c>
      <c r="CP41" s="77">
        <f>IF(CP33=0,0,CP36*SUP_CONTROL!$C$14*CAPA4_RETAIL!CP8/CP33)</f>
        <v>0</v>
      </c>
      <c r="CQ41" s="77">
        <f>IF(CQ33=0,0,CQ36*SUP_CONTROL!$C$14*CAPA4_RETAIL!CQ8/CQ33)</f>
        <v>0</v>
      </c>
      <c r="CR41" s="77">
        <f>IF(CR33=0,0,CR36*SUP_CONTROL!$C$14*CAPA4_RETAIL!CR8/CR33)</f>
        <v>0</v>
      </c>
      <c r="CS41" s="77">
        <f>IF(CS33=0,0,CS36*SUP_CONTROL!$C$14*CAPA4_RETAIL!CS8/CS33)</f>
        <v>0</v>
      </c>
      <c r="CT41" s="77">
        <f>IF(CT33=0,0,CT36*SUP_CONTROL!$C$14*CAPA4_RETAIL!CT8/CT33)</f>
        <v>0</v>
      </c>
      <c r="CU41" s="77">
        <f>IF(CU33=0,0,CU36*SUP_CONTROL!$C$14*CAPA4_RETAIL!CU8/CU33)</f>
        <v>0</v>
      </c>
      <c r="CV41" s="77">
        <f>IF(CV33=0,0,CV36*SUP_CONTROL!$C$14*CAPA4_RETAIL!CV8/CV33)</f>
        <v>0</v>
      </c>
      <c r="CW41" s="77">
        <f>IF(CW33=0,0,CW36*SUP_CONTROL!$C$14*CAPA4_RETAIL!CW8/CW33)</f>
        <v>0</v>
      </c>
      <c r="CX41" s="77">
        <f>IF(CX33=0,0,CX36*SUP_CONTROL!$C$14*CAPA4_RETAIL!CX8/CX33)</f>
        <v>0</v>
      </c>
      <c r="CY41" s="77">
        <f>IF(CY33=0,0,CY36*SUP_CONTROL!$C$14*CAPA4_RETAIL!CY8/CY33)</f>
        <v>0</v>
      </c>
      <c r="CZ41" s="77">
        <f>IF(CZ33=0,0,CZ36*SUP_CONTROL!$C$14*CAPA4_RETAIL!CZ8/CZ33)</f>
        <v>0</v>
      </c>
      <c r="DA41" s="77">
        <f>IF(DA33=0,0,DA36*SUP_CONTROL!$C$14*CAPA4_RETAIL!DA8/DA33)</f>
        <v>0</v>
      </c>
      <c r="DB41" s="77">
        <f>IF(DB33=0,0,DB36*SUP_CONTROL!$C$14*CAPA4_RETAIL!DB8/DB33)</f>
        <v>0</v>
      </c>
      <c r="DC41" s="77">
        <f>IF(DC33=0,0,DC36*SUP_CONTROL!$C$14*CAPA4_RETAIL!DC8/DC33)</f>
        <v>0</v>
      </c>
      <c r="DD41" s="77">
        <f>IF(DD33=0,0,DD36*SUP_CONTROL!$C$14*CAPA4_RETAIL!DD8/DD33)</f>
        <v>0</v>
      </c>
      <c r="DE41" s="77">
        <f>IF(DE33=0,0,DE36*SUP_CONTROL!$C$14*CAPA4_RETAIL!DE8/DE33)</f>
        <v>0</v>
      </c>
      <c r="DF41" s="77">
        <f>IF(DF33=0,0,DF36*SUP_CONTROL!$C$14*CAPA4_RETAIL!DF8/DF33)</f>
        <v>0</v>
      </c>
      <c r="DG41" s="77">
        <f>IF(DG33=0,0,DG36*SUP_CONTROL!$C$14*CAPA4_RETAIL!DG8/DG33)</f>
        <v>0</v>
      </c>
      <c r="DH41" s="77">
        <f>IF(DH33=0,0,DH36*SUP_CONTROL!$C$14*CAPA4_RETAIL!DH8/DH33)</f>
        <v>0</v>
      </c>
      <c r="DI41" s="77">
        <f>IF(DI33=0,0,DI36*SUP_CONTROL!$C$14*CAPA4_RETAIL!DI8/DI33)</f>
        <v>0</v>
      </c>
      <c r="DJ41" s="77">
        <f>IF(DJ33=0,0,DJ36*SUP_CONTROL!$C$14*CAPA4_RETAIL!DJ8/DJ33)</f>
        <v>0</v>
      </c>
      <c r="DK41" s="77">
        <f>IF(DK33=0,0,DK36*SUP_CONTROL!$C$14*CAPA4_RETAIL!DK8/DK33)</f>
        <v>0</v>
      </c>
      <c r="DL41" s="77">
        <f>IF(DL33=0,0,DL36*SUP_CONTROL!$C$14*CAPA4_RETAIL!DL8/DL33)</f>
        <v>0</v>
      </c>
      <c r="DM41" s="77">
        <f>IF(DM33=0,0,DM36*SUP_CONTROL!$C$14*CAPA4_RETAIL!DM8/DM33)</f>
        <v>0</v>
      </c>
      <c r="DN41" s="77">
        <f>IF(DN33=0,0,DN36*SUP_CONTROL!$C$14*CAPA4_RETAIL!DN8/DN33)</f>
        <v>0</v>
      </c>
      <c r="DO41" s="77">
        <f>IF(DO33=0,0,DO36*SUP_CONTROL!$C$14*CAPA4_RETAIL!DO8/DO33)</f>
        <v>0</v>
      </c>
      <c r="DP41" s="77">
        <f>IF(DP33=0,0,DP36*SUP_CONTROL!$C$14*CAPA4_RETAIL!DP8/DP33)</f>
        <v>0</v>
      </c>
      <c r="DQ41" s="77">
        <f>IF(DQ33=0,0,DQ36*SUP_CONTROL!$C$14*CAPA4_RETAIL!DQ8/DQ33)</f>
        <v>0</v>
      </c>
      <c r="DR41" s="77">
        <f>IF(DR33=0,0,DR36*SUP_CONTROL!$C$14*CAPA4_RETAIL!DR8/DR33)</f>
        <v>0</v>
      </c>
      <c r="DS41" s="77">
        <f>IF(DS33=0,0,DS36*SUP_CONTROL!$C$14*CAPA4_RETAIL!DS8/DS33)</f>
        <v>0</v>
      </c>
    </row>
    <row r="43" spans="2:123" ht="15" customHeight="1" x14ac:dyDescent="0.2">
      <c r="B43" s="23" t="s">
        <v>645</v>
      </c>
    </row>
  </sheetData>
  <mergeCells count="1">
    <mergeCell ref="B22:L22"/>
  </mergeCells>
  <pageMargins left="0.75" right="0.75" top="1" bottom="1" header="0.511811023622047" footer="0.511811023622047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1F4E79"/>
  </sheetPr>
  <dimension ref="A1:I23"/>
  <sheetViews>
    <sheetView zoomScale="130" zoomScaleNormal="130" workbookViewId="0"/>
  </sheetViews>
  <sheetFormatPr baseColWidth="10" defaultColWidth="8.6640625" defaultRowHeight="15" x14ac:dyDescent="0.2"/>
  <cols>
    <col min="1" max="1" width="4" customWidth="1"/>
    <col min="2" max="2" width="52" customWidth="1"/>
    <col min="3" max="3" width="13" customWidth="1"/>
    <col min="4" max="6" width="12" customWidth="1"/>
    <col min="7" max="7" width="100" customWidth="1"/>
  </cols>
  <sheetData>
    <row r="1" spans="1:9" ht="15" customHeight="1" x14ac:dyDescent="0.2">
      <c r="A1" s="24" t="s">
        <v>646</v>
      </c>
      <c r="B1" s="14"/>
      <c r="C1" s="14"/>
      <c r="D1" s="14"/>
      <c r="E1" s="14"/>
      <c r="F1" s="14"/>
      <c r="G1" s="14"/>
      <c r="H1" s="14"/>
      <c r="I1" s="14"/>
    </row>
    <row r="2" spans="1:9" ht="15" customHeight="1" x14ac:dyDescent="0.2">
      <c r="A2" s="23" t="s">
        <v>647</v>
      </c>
    </row>
    <row r="3" spans="1:9" ht="15" customHeight="1" x14ac:dyDescent="0.2">
      <c r="A3" s="23" t="s">
        <v>89</v>
      </c>
    </row>
    <row r="5" spans="1:9" ht="15" customHeight="1" x14ac:dyDescent="0.2">
      <c r="A5" s="25" t="s">
        <v>648</v>
      </c>
      <c r="B5" s="26"/>
      <c r="C5" s="26"/>
      <c r="D5" s="26"/>
      <c r="E5" s="26"/>
      <c r="F5" s="26"/>
      <c r="G5" s="26"/>
      <c r="H5" s="26"/>
      <c r="I5" s="26"/>
    </row>
    <row r="6" spans="1:9" ht="15" customHeight="1" x14ac:dyDescent="0.2">
      <c r="B6" t="s">
        <v>649</v>
      </c>
      <c r="C6" s="90">
        <v>2500</v>
      </c>
      <c r="G6" s="23" t="s">
        <v>650</v>
      </c>
    </row>
    <row r="7" spans="1:9" ht="15" customHeight="1" x14ac:dyDescent="0.2">
      <c r="B7" t="s">
        <v>651</v>
      </c>
      <c r="D7" s="20" t="s">
        <v>275</v>
      </c>
      <c r="E7" s="20" t="s">
        <v>276</v>
      </c>
      <c r="F7" s="20" t="s">
        <v>277</v>
      </c>
    </row>
    <row r="8" spans="1:9" ht="15" customHeight="1" x14ac:dyDescent="0.2">
      <c r="B8" t="s">
        <v>652</v>
      </c>
      <c r="D8" s="30">
        <v>1</v>
      </c>
      <c r="E8" s="30">
        <v>1</v>
      </c>
      <c r="F8" s="30">
        <v>2</v>
      </c>
    </row>
    <row r="9" spans="1:9" ht="15" customHeight="1" x14ac:dyDescent="0.2">
      <c r="B9" t="s">
        <v>653</v>
      </c>
      <c r="D9" s="75">
        <f>$C$6*D8</f>
        <v>2500</v>
      </c>
      <c r="E9" s="75">
        <f>$C$6*E8</f>
        <v>2500</v>
      </c>
      <c r="F9" s="75">
        <f>$C$6*F8</f>
        <v>5000</v>
      </c>
    </row>
    <row r="10" spans="1:9" ht="15" customHeight="1" x14ac:dyDescent="0.2">
      <c r="B10" s="23" t="s">
        <v>654</v>
      </c>
    </row>
    <row r="12" spans="1:9" ht="15" customHeight="1" x14ac:dyDescent="0.2">
      <c r="A12" s="25" t="s">
        <v>655</v>
      </c>
      <c r="B12" s="26"/>
      <c r="C12" s="26"/>
      <c r="D12" s="26"/>
      <c r="E12" s="26"/>
      <c r="F12" s="26"/>
      <c r="G12" s="26"/>
      <c r="H12" s="26"/>
      <c r="I12" s="26"/>
    </row>
    <row r="13" spans="1:9" ht="15" customHeight="1" x14ac:dyDescent="0.2">
      <c r="B13" t="s">
        <v>656</v>
      </c>
      <c r="C13" s="71">
        <v>6000</v>
      </c>
      <c r="G13" s="23" t="s">
        <v>657</v>
      </c>
    </row>
    <row r="14" spans="1:9" ht="15" customHeight="1" x14ac:dyDescent="0.2">
      <c r="B14" t="s">
        <v>658</v>
      </c>
      <c r="C14" s="71">
        <v>5000</v>
      </c>
    </row>
    <row r="15" spans="1:9" ht="15" customHeight="1" x14ac:dyDescent="0.2">
      <c r="B15" t="s">
        <v>659</v>
      </c>
      <c r="C15" s="71">
        <v>12000</v>
      </c>
      <c r="G15" s="23" t="s">
        <v>660</v>
      </c>
    </row>
    <row r="16" spans="1:9" ht="15" customHeight="1" x14ac:dyDescent="0.2">
      <c r="B16" t="s">
        <v>661</v>
      </c>
      <c r="C16" s="71">
        <v>12000</v>
      </c>
      <c r="G16" s="23" t="s">
        <v>662</v>
      </c>
    </row>
    <row r="17" spans="1:9" ht="15" customHeight="1" x14ac:dyDescent="0.2">
      <c r="B17" t="s">
        <v>663</v>
      </c>
      <c r="C17" s="71">
        <v>10000</v>
      </c>
    </row>
    <row r="18" spans="1:9" ht="15" customHeight="1" x14ac:dyDescent="0.2">
      <c r="B18" t="s">
        <v>664</v>
      </c>
      <c r="C18" s="80">
        <f>SUM(C13:C17)</f>
        <v>45000</v>
      </c>
    </row>
    <row r="19" spans="1:9" ht="15" customHeight="1" x14ac:dyDescent="0.2">
      <c r="B19" t="s">
        <v>665</v>
      </c>
      <c r="C19" s="30">
        <v>2</v>
      </c>
      <c r="G19" s="23" t="s">
        <v>666</v>
      </c>
    </row>
    <row r="21" spans="1:9" ht="15" customHeight="1" x14ac:dyDescent="0.2">
      <c r="A21" s="25" t="s">
        <v>667</v>
      </c>
      <c r="B21" s="26"/>
      <c r="C21" s="26"/>
      <c r="D21" s="26"/>
      <c r="E21" s="26"/>
      <c r="F21" s="26"/>
      <c r="G21" s="26"/>
      <c r="H21" s="26"/>
      <c r="I21" s="26"/>
    </row>
    <row r="22" spans="1:9" ht="15" customHeight="1" x14ac:dyDescent="0.2">
      <c r="B22" t="s">
        <v>668</v>
      </c>
      <c r="C22" s="35">
        <v>0.18</v>
      </c>
      <c r="G22" s="23" t="s">
        <v>669</v>
      </c>
    </row>
    <row r="23" spans="1:9" ht="15" customHeight="1" x14ac:dyDescent="0.2">
      <c r="B23" t="s">
        <v>670</v>
      </c>
      <c r="C23" s="72">
        <f>C18*C22/12</f>
        <v>675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2E75B6"/>
  </sheetPr>
  <dimension ref="A1:I39"/>
  <sheetViews>
    <sheetView showGridLines="0" topLeftCell="A10" zoomScale="110" zoomScaleNormal="110" workbookViewId="0">
      <selection activeCell="E36" sqref="E36"/>
    </sheetView>
  </sheetViews>
  <sheetFormatPr baseColWidth="10" defaultColWidth="8.6640625" defaultRowHeight="15" x14ac:dyDescent="0.2"/>
  <cols>
    <col min="1" max="1" width="8" customWidth="1"/>
    <col min="2" max="2" width="55" customWidth="1"/>
    <col min="3" max="5" width="13" customWidth="1"/>
    <col min="6" max="6" width="14" customWidth="1"/>
    <col min="7" max="7" width="8" customWidth="1"/>
    <col min="8" max="8" width="14" customWidth="1"/>
    <col min="9" max="9" width="62" customWidth="1"/>
  </cols>
  <sheetData>
    <row r="1" spans="1:9" ht="18.75" customHeight="1" x14ac:dyDescent="0.25">
      <c r="A1" s="38" t="s">
        <v>671</v>
      </c>
      <c r="B1" s="14"/>
      <c r="C1" s="14"/>
      <c r="D1" s="14"/>
      <c r="E1" s="14"/>
      <c r="F1" s="14"/>
      <c r="G1" s="14"/>
      <c r="H1" s="14"/>
      <c r="I1" s="14"/>
    </row>
    <row r="2" spans="1:9" ht="15" customHeight="1" x14ac:dyDescent="0.2">
      <c r="A2" s="17" t="s">
        <v>672</v>
      </c>
    </row>
    <row r="3" spans="1:9" ht="15" customHeight="1" x14ac:dyDescent="0.2">
      <c r="A3" s="39" t="s">
        <v>89</v>
      </c>
    </row>
    <row r="5" spans="1:9" ht="15" customHeight="1" x14ac:dyDescent="0.2">
      <c r="A5" s="40" t="s">
        <v>673</v>
      </c>
      <c r="B5" s="41"/>
      <c r="C5" s="41"/>
      <c r="D5" s="41"/>
      <c r="E5" s="41"/>
      <c r="F5" s="41"/>
      <c r="G5" s="41"/>
      <c r="H5" s="41"/>
      <c r="I5" s="41"/>
    </row>
    <row r="6" spans="1:9" ht="15" customHeight="1" x14ac:dyDescent="0.2">
      <c r="B6" s="46" t="s">
        <v>674</v>
      </c>
      <c r="C6" s="48">
        <v>0.13</v>
      </c>
      <c r="I6" s="39" t="s">
        <v>675</v>
      </c>
    </row>
    <row r="7" spans="1:9" ht="15" customHeight="1" x14ac:dyDescent="0.2">
      <c r="B7" s="46" t="s">
        <v>676</v>
      </c>
      <c r="C7" s="47">
        <v>0.45</v>
      </c>
      <c r="I7" s="39" t="s">
        <v>677</v>
      </c>
    </row>
    <row r="8" spans="1:9" ht="15" customHeight="1" x14ac:dyDescent="0.2">
      <c r="B8" s="20" t="s">
        <v>678</v>
      </c>
      <c r="C8" s="91">
        <f>(1+C6)*(1+C7)</f>
        <v>1.6384999999999998</v>
      </c>
      <c r="I8" s="39" t="s">
        <v>679</v>
      </c>
    </row>
    <row r="9" spans="1:9" ht="15" customHeight="1" x14ac:dyDescent="0.2">
      <c r="B9" s="46" t="s">
        <v>680</v>
      </c>
      <c r="C9" s="67">
        <f>(1+C6)*(1+0.02)</f>
        <v>1.1525999999999998</v>
      </c>
      <c r="I9" s="39" t="s">
        <v>681</v>
      </c>
    </row>
    <row r="10" spans="1:9" ht="15" customHeight="1" x14ac:dyDescent="0.2">
      <c r="B10" s="46" t="s">
        <v>682</v>
      </c>
      <c r="C10" s="48">
        <v>0.12</v>
      </c>
      <c r="I10" s="39" t="s">
        <v>683</v>
      </c>
    </row>
    <row r="11" spans="1:9" ht="15" customHeight="1" x14ac:dyDescent="0.2">
      <c r="B11" s="46" t="s">
        <v>684</v>
      </c>
      <c r="C11" s="48">
        <v>0.1</v>
      </c>
      <c r="I11" s="39" t="s">
        <v>685</v>
      </c>
    </row>
    <row r="13" spans="1:9" ht="15" customHeight="1" x14ac:dyDescent="0.2">
      <c r="A13" s="40" t="s">
        <v>686</v>
      </c>
      <c r="B13" s="41"/>
      <c r="C13" s="41"/>
      <c r="D13" s="41"/>
      <c r="E13" s="41"/>
      <c r="F13" s="41"/>
      <c r="G13" s="41"/>
      <c r="H13" s="41"/>
      <c r="I13" s="41"/>
    </row>
    <row r="14" spans="1:9" ht="23.25" customHeight="1" x14ac:dyDescent="0.2">
      <c r="A14" s="42" t="s">
        <v>337</v>
      </c>
      <c r="B14" s="42" t="s">
        <v>687</v>
      </c>
      <c r="C14" s="42" t="s">
        <v>688</v>
      </c>
      <c r="D14" s="42" t="s">
        <v>689</v>
      </c>
      <c r="E14" s="42" t="s">
        <v>690</v>
      </c>
      <c r="F14" s="42" t="s">
        <v>691</v>
      </c>
      <c r="G14" s="42" t="s">
        <v>692</v>
      </c>
      <c r="H14" s="42" t="s">
        <v>693</v>
      </c>
      <c r="I14" s="42" t="s">
        <v>694</v>
      </c>
    </row>
    <row r="15" spans="1:9" ht="20.25" customHeight="1" x14ac:dyDescent="0.2">
      <c r="A15" s="43" t="s">
        <v>695</v>
      </c>
      <c r="B15" s="43" t="s">
        <v>696</v>
      </c>
      <c r="C15" s="43" t="s">
        <v>697</v>
      </c>
      <c r="D15" s="50">
        <v>9000</v>
      </c>
      <c r="E15" s="50"/>
      <c r="F15" s="52">
        <f t="shared" ref="F15:F26" si="0">IF(D15&lt;&gt;"",D15*$C$8,E15)</f>
        <v>14746.499999999998</v>
      </c>
      <c r="G15" s="50">
        <v>1</v>
      </c>
      <c r="H15" s="52">
        <f t="shared" ref="H15:H26" si="1">F15*G15</f>
        <v>14746.499999999998</v>
      </c>
      <c r="I15" s="21" t="s">
        <v>1563</v>
      </c>
    </row>
    <row r="16" spans="1:9" ht="15" customHeight="1" x14ac:dyDescent="0.2">
      <c r="A16" s="43" t="s">
        <v>698</v>
      </c>
      <c r="B16" s="43" t="s">
        <v>1550</v>
      </c>
      <c r="C16" s="43" t="s">
        <v>699</v>
      </c>
      <c r="D16" s="50"/>
      <c r="E16" s="50">
        <v>3000</v>
      </c>
      <c r="F16" s="52">
        <f t="shared" si="0"/>
        <v>3000</v>
      </c>
      <c r="G16" s="50">
        <v>1</v>
      </c>
      <c r="H16" s="52">
        <f t="shared" si="1"/>
        <v>3000</v>
      </c>
      <c r="I16" s="21" t="s">
        <v>1564</v>
      </c>
    </row>
    <row r="17" spans="1:9" ht="15" customHeight="1" x14ac:dyDescent="0.2">
      <c r="A17" s="43" t="s">
        <v>700</v>
      </c>
      <c r="B17" s="43" t="s">
        <v>1551</v>
      </c>
      <c r="C17" s="43" t="s">
        <v>697</v>
      </c>
      <c r="D17" s="50">
        <v>15000</v>
      </c>
      <c r="E17" s="50"/>
      <c r="F17" s="52">
        <f t="shared" si="0"/>
        <v>24577.499999999996</v>
      </c>
      <c r="G17" s="50">
        <v>1</v>
      </c>
      <c r="H17" s="52">
        <f t="shared" si="1"/>
        <v>24577.499999999996</v>
      </c>
      <c r="I17" s="21" t="s">
        <v>1565</v>
      </c>
    </row>
    <row r="18" spans="1:9" ht="15" customHeight="1" x14ac:dyDescent="0.2">
      <c r="A18" s="43" t="s">
        <v>701</v>
      </c>
      <c r="B18" s="43" t="s">
        <v>1552</v>
      </c>
      <c r="C18" s="43" t="s">
        <v>697</v>
      </c>
      <c r="D18" s="50">
        <v>20000</v>
      </c>
      <c r="E18" s="50"/>
      <c r="F18" s="52">
        <f t="shared" si="0"/>
        <v>32770</v>
      </c>
      <c r="G18" s="50">
        <v>1</v>
      </c>
      <c r="H18" s="52">
        <f t="shared" si="1"/>
        <v>32770</v>
      </c>
      <c r="I18" s="21" t="s">
        <v>1566</v>
      </c>
    </row>
    <row r="19" spans="1:9" ht="15" customHeight="1" x14ac:dyDescent="0.2">
      <c r="A19" s="43" t="s">
        <v>702</v>
      </c>
      <c r="B19" s="43" t="s">
        <v>1553</v>
      </c>
      <c r="C19" s="43" t="s">
        <v>697</v>
      </c>
      <c r="D19" s="50">
        <v>55000</v>
      </c>
      <c r="E19" s="50"/>
      <c r="F19" s="52">
        <f t="shared" si="0"/>
        <v>90117.499999999985</v>
      </c>
      <c r="G19" s="50">
        <v>1</v>
      </c>
      <c r="H19" s="52">
        <f t="shared" si="1"/>
        <v>90117.499999999985</v>
      </c>
      <c r="I19" s="21" t="s">
        <v>1567</v>
      </c>
    </row>
    <row r="20" spans="1:9" ht="24" customHeight="1" x14ac:dyDescent="0.2">
      <c r="A20" s="43" t="s">
        <v>703</v>
      </c>
      <c r="B20" s="43" t="s">
        <v>704</v>
      </c>
      <c r="C20" s="43" t="s">
        <v>697</v>
      </c>
      <c r="D20" s="50">
        <v>60000</v>
      </c>
      <c r="E20" s="50"/>
      <c r="F20" s="52">
        <f t="shared" si="0"/>
        <v>98309.999999999985</v>
      </c>
      <c r="G20" s="50">
        <v>1</v>
      </c>
      <c r="H20" s="52">
        <f t="shared" si="1"/>
        <v>98309.999999999985</v>
      </c>
      <c r="I20" s="21" t="s">
        <v>1568</v>
      </c>
    </row>
    <row r="21" spans="1:9" ht="15" customHeight="1" x14ac:dyDescent="0.2">
      <c r="A21" s="43" t="s">
        <v>705</v>
      </c>
      <c r="B21" s="43" t="s">
        <v>1554</v>
      </c>
      <c r="C21" s="43" t="s">
        <v>697</v>
      </c>
      <c r="D21" s="50">
        <v>12000</v>
      </c>
      <c r="E21" s="50"/>
      <c r="F21" s="52">
        <f t="shared" si="0"/>
        <v>19661.999999999996</v>
      </c>
      <c r="G21" s="50">
        <v>1</v>
      </c>
      <c r="H21" s="52">
        <f t="shared" si="1"/>
        <v>19661.999999999996</v>
      </c>
      <c r="I21" s="21" t="s">
        <v>1569</v>
      </c>
    </row>
    <row r="22" spans="1:9" ht="15" customHeight="1" x14ac:dyDescent="0.2">
      <c r="A22" s="43" t="s">
        <v>706</v>
      </c>
      <c r="B22" s="43" t="s">
        <v>707</v>
      </c>
      <c r="C22" s="43" t="s">
        <v>699</v>
      </c>
      <c r="D22" s="50"/>
      <c r="E22" s="50">
        <v>8000</v>
      </c>
      <c r="F22" s="52">
        <f t="shared" si="0"/>
        <v>8000</v>
      </c>
      <c r="G22" s="50">
        <v>1</v>
      </c>
      <c r="H22" s="52">
        <f t="shared" si="1"/>
        <v>8000</v>
      </c>
      <c r="I22" s="21" t="s">
        <v>1077</v>
      </c>
    </row>
    <row r="23" spans="1:9" ht="15" customHeight="1" x14ac:dyDescent="0.2">
      <c r="A23" s="43" t="s">
        <v>1555</v>
      </c>
      <c r="B23" s="43" t="s">
        <v>1556</v>
      </c>
      <c r="C23" s="43" t="s">
        <v>699</v>
      </c>
      <c r="D23" s="50"/>
      <c r="E23" s="50">
        <v>10000</v>
      </c>
      <c r="F23" s="52">
        <f t="shared" si="0"/>
        <v>10000</v>
      </c>
      <c r="G23" s="50">
        <v>1</v>
      </c>
      <c r="H23" s="52">
        <f t="shared" si="1"/>
        <v>10000</v>
      </c>
      <c r="I23" s="21" t="s">
        <v>1570</v>
      </c>
    </row>
    <row r="24" spans="1:9" ht="15" customHeight="1" x14ac:dyDescent="0.2">
      <c r="A24" s="43" t="s">
        <v>708</v>
      </c>
      <c r="B24" s="43" t="s">
        <v>1557</v>
      </c>
      <c r="C24" s="43" t="s">
        <v>699</v>
      </c>
      <c r="D24" s="50"/>
      <c r="E24" s="50">
        <v>12000</v>
      </c>
      <c r="F24" s="52">
        <f t="shared" si="0"/>
        <v>12000</v>
      </c>
      <c r="G24" s="50">
        <v>1</v>
      </c>
      <c r="H24" s="52">
        <f t="shared" si="1"/>
        <v>12000</v>
      </c>
      <c r="I24" s="21" t="s">
        <v>1571</v>
      </c>
    </row>
    <row r="25" spans="1:9" ht="24" customHeight="1" x14ac:dyDescent="0.2">
      <c r="A25" s="43" t="s">
        <v>1558</v>
      </c>
      <c r="B25" s="43" t="s">
        <v>1559</v>
      </c>
      <c r="C25" s="43" t="s">
        <v>697</v>
      </c>
      <c r="D25" s="50"/>
      <c r="E25" s="50">
        <v>15657</v>
      </c>
      <c r="F25" s="52">
        <f t="shared" si="0"/>
        <v>15657</v>
      </c>
      <c r="G25" s="50">
        <v>1</v>
      </c>
      <c r="H25" s="52">
        <f t="shared" si="1"/>
        <v>15657</v>
      </c>
      <c r="I25" s="21" t="s">
        <v>1572</v>
      </c>
    </row>
    <row r="26" spans="1:9" ht="15" customHeight="1" x14ac:dyDescent="0.2">
      <c r="A26" s="43" t="s">
        <v>1560</v>
      </c>
      <c r="B26" s="43" t="s">
        <v>1561</v>
      </c>
      <c r="C26" s="43" t="s">
        <v>1562</v>
      </c>
      <c r="D26" s="50"/>
      <c r="E26" s="50">
        <v>12000</v>
      </c>
      <c r="F26" s="52">
        <f t="shared" si="0"/>
        <v>12000</v>
      </c>
      <c r="G26" s="50">
        <v>1</v>
      </c>
      <c r="H26" s="52">
        <f t="shared" si="1"/>
        <v>12000</v>
      </c>
      <c r="I26" s="21" t="s">
        <v>1573</v>
      </c>
    </row>
    <row r="27" spans="1:9" ht="15" customHeight="1" x14ac:dyDescent="0.2">
      <c r="B27" s="20" t="s">
        <v>709</v>
      </c>
      <c r="H27" s="83">
        <f>SUM(H15:H26)</f>
        <v>340840.5</v>
      </c>
    </row>
    <row r="28" spans="1:9" ht="15" customHeight="1" x14ac:dyDescent="0.2">
      <c r="B28" s="46" t="s">
        <v>710</v>
      </c>
      <c r="H28" s="92">
        <f>(H27-H26)*$C$10</f>
        <v>39460.86</v>
      </c>
      <c r="I28" s="168" t="s">
        <v>1574</v>
      </c>
    </row>
    <row r="29" spans="1:9" ht="15" customHeight="1" x14ac:dyDescent="0.2">
      <c r="A29" s="169"/>
      <c r="B29" s="170" t="s">
        <v>1575</v>
      </c>
      <c r="C29" s="169"/>
      <c r="D29" s="169"/>
      <c r="E29" s="169"/>
      <c r="F29" s="169"/>
      <c r="G29" s="169"/>
      <c r="H29" s="171"/>
      <c r="I29" s="169"/>
    </row>
    <row r="30" spans="1:9" ht="15" customHeight="1" x14ac:dyDescent="0.2">
      <c r="A30" t="s">
        <v>1576</v>
      </c>
      <c r="B30" s="46" t="s">
        <v>1577</v>
      </c>
      <c r="C30" t="s">
        <v>1578</v>
      </c>
      <c r="D30" s="153"/>
      <c r="E30" s="153">
        <v>21951.11</v>
      </c>
      <c r="F30" s="172">
        <f>IF(D30&lt;&gt;"",D30*$C$8,E30)</f>
        <v>21951.11</v>
      </c>
      <c r="G30" s="172">
        <v>1</v>
      </c>
      <c r="H30" s="88">
        <f>F30*G30</f>
        <v>21951.11</v>
      </c>
      <c r="I30" s="39" t="s">
        <v>1579</v>
      </c>
    </row>
    <row r="31" spans="1:9" ht="15" customHeight="1" x14ac:dyDescent="0.2">
      <c r="A31" t="s">
        <v>1965</v>
      </c>
      <c r="B31" s="287" t="s">
        <v>1966</v>
      </c>
      <c r="C31" s="155"/>
      <c r="D31" s="155"/>
      <c r="E31" s="155"/>
      <c r="F31" s="155"/>
      <c r="G31" s="155"/>
      <c r="H31" s="288"/>
      <c r="I31" s="39" t="s">
        <v>1967</v>
      </c>
    </row>
    <row r="32" spans="1:9" ht="15" customHeight="1" x14ac:dyDescent="0.2">
      <c r="A32" t="s">
        <v>1923</v>
      </c>
      <c r="B32" s="46" t="s">
        <v>1924</v>
      </c>
      <c r="C32" t="s">
        <v>699</v>
      </c>
      <c r="D32" s="153"/>
      <c r="E32" s="157">
        <f>SUP_PLANTA_OPEX!$C$38</f>
        <v>24000</v>
      </c>
      <c r="F32" s="172">
        <f>IF(D32&lt;&gt;"",D32*$C$8,E32)</f>
        <v>24000</v>
      </c>
      <c r="G32" s="172">
        <v>1</v>
      </c>
      <c r="H32" s="88">
        <f>F32*G32</f>
        <v>24000</v>
      </c>
      <c r="I32" s="39" t="s">
        <v>1928</v>
      </c>
    </row>
    <row r="33" spans="1:9" ht="15" customHeight="1" x14ac:dyDescent="0.2">
      <c r="A33" t="s">
        <v>1925</v>
      </c>
      <c r="B33" s="46" t="s">
        <v>1914</v>
      </c>
      <c r="C33" t="s">
        <v>699</v>
      </c>
      <c r="D33" s="153"/>
      <c r="E33" s="157">
        <f>SUP_PLANTA_OPEX!$C$41</f>
        <v>35000</v>
      </c>
      <c r="F33" s="172">
        <f>IF(D33&lt;&gt;"",D33*$C$8,E33)</f>
        <v>35000</v>
      </c>
      <c r="G33" s="172">
        <v>1</v>
      </c>
      <c r="H33" s="88">
        <f>F33*G33</f>
        <v>35000</v>
      </c>
      <c r="I33" s="39" t="s">
        <v>1929</v>
      </c>
    </row>
    <row r="34" spans="1:9" ht="15" customHeight="1" x14ac:dyDescent="0.2">
      <c r="A34" t="s">
        <v>1926</v>
      </c>
      <c r="B34" s="46" t="s">
        <v>1927</v>
      </c>
      <c r="C34" t="s">
        <v>699</v>
      </c>
      <c r="D34" s="153"/>
      <c r="E34" s="157">
        <f>SUP_PLANTA_OPEX!$C$45</f>
        <v>80193.75</v>
      </c>
      <c r="F34" s="172">
        <f>IF(D34&lt;&gt;"",D34*$C$8,E34)</f>
        <v>80193.75</v>
      </c>
      <c r="G34" s="172">
        <v>1</v>
      </c>
      <c r="H34" s="88">
        <f>F34*G34</f>
        <v>80193.75</v>
      </c>
      <c r="I34" s="39" t="s">
        <v>1930</v>
      </c>
    </row>
    <row r="35" spans="1:9" ht="15" customHeight="1" x14ac:dyDescent="0.2">
      <c r="B35" s="20" t="s">
        <v>1580</v>
      </c>
      <c r="H35" s="83">
        <f>H27+H28+SUM(H30:H34)</f>
        <v>541446.22</v>
      </c>
    </row>
    <row r="36" spans="1:9" ht="15" customHeight="1" x14ac:dyDescent="0.2">
      <c r="B36" s="46" t="s">
        <v>711</v>
      </c>
      <c r="H36" s="92">
        <f>H35*$C$11</f>
        <v>54144.622000000003</v>
      </c>
    </row>
    <row r="37" spans="1:9" ht="15" customHeight="1" x14ac:dyDescent="0.2">
      <c r="B37" s="20" t="s">
        <v>1581</v>
      </c>
      <c r="H37" s="93">
        <f>H35+H36</f>
        <v>595590.84199999995</v>
      </c>
    </row>
    <row r="39" spans="1:9" ht="36" customHeight="1" x14ac:dyDescent="0.2">
      <c r="B39" s="21" t="s">
        <v>712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2E75B6"/>
  </sheetPr>
  <dimension ref="A1:I42"/>
  <sheetViews>
    <sheetView showGridLines="0" topLeftCell="E15" zoomScale="130" zoomScaleNormal="130" workbookViewId="0">
      <selection activeCell="H42" sqref="H42"/>
    </sheetView>
  </sheetViews>
  <sheetFormatPr baseColWidth="10" defaultColWidth="8.6640625" defaultRowHeight="15" x14ac:dyDescent="0.2"/>
  <cols>
    <col min="1" max="1" width="8" customWidth="1"/>
    <col min="2" max="2" width="55" customWidth="1"/>
    <col min="3" max="5" width="13" customWidth="1"/>
    <col min="6" max="6" width="14" customWidth="1"/>
    <col min="7" max="7" width="8" customWidth="1"/>
    <col min="8" max="8" width="14" customWidth="1"/>
    <col min="9" max="9" width="60" customWidth="1"/>
  </cols>
  <sheetData>
    <row r="1" spans="1:9" ht="18.75" customHeight="1" x14ac:dyDescent="0.25">
      <c r="A1" s="38" t="s">
        <v>713</v>
      </c>
      <c r="B1" s="14"/>
      <c r="C1" s="14"/>
      <c r="D1" s="14"/>
      <c r="E1" s="14"/>
      <c r="F1" s="14"/>
      <c r="G1" s="14"/>
      <c r="H1" s="14"/>
      <c r="I1" s="14"/>
    </row>
    <row r="2" spans="1:9" ht="15" customHeight="1" x14ac:dyDescent="0.2">
      <c r="A2" s="17" t="s">
        <v>1601</v>
      </c>
    </row>
    <row r="3" spans="1:9" ht="15" customHeight="1" x14ac:dyDescent="0.2">
      <c r="A3" s="39" t="s">
        <v>89</v>
      </c>
    </row>
    <row r="5" spans="1:9" ht="15" customHeight="1" x14ac:dyDescent="0.2">
      <c r="A5" s="40" t="s">
        <v>714</v>
      </c>
      <c r="B5" s="41"/>
      <c r="C5" s="41"/>
      <c r="D5" s="41"/>
      <c r="E5" s="41"/>
      <c r="F5" s="41"/>
      <c r="G5" s="41"/>
      <c r="H5" s="41"/>
      <c r="I5" s="41"/>
    </row>
    <row r="6" spans="1:9" ht="15" customHeight="1" x14ac:dyDescent="0.2">
      <c r="B6" s="46" t="s">
        <v>715</v>
      </c>
      <c r="C6" s="50">
        <v>40</v>
      </c>
    </row>
    <row r="7" spans="1:9" ht="15" customHeight="1" x14ac:dyDescent="0.2">
      <c r="B7" s="46" t="s">
        <v>716</v>
      </c>
      <c r="C7" s="50">
        <v>700</v>
      </c>
      <c r="I7" s="39" t="s">
        <v>717</v>
      </c>
    </row>
    <row r="8" spans="1:9" ht="15" customHeight="1" x14ac:dyDescent="0.2">
      <c r="B8" s="46" t="s">
        <v>718</v>
      </c>
      <c r="C8" s="50">
        <v>3000</v>
      </c>
      <c r="I8" s="39" t="s">
        <v>719</v>
      </c>
    </row>
    <row r="9" spans="1:9" ht="15" customHeight="1" x14ac:dyDescent="0.2">
      <c r="B9" s="46" t="s">
        <v>720</v>
      </c>
      <c r="C9" s="94">
        <f>SUP_CAPEX_PLANTA!$C$8</f>
        <v>1.6384999999999998</v>
      </c>
    </row>
    <row r="10" spans="1:9" ht="15" customHeight="1" x14ac:dyDescent="0.2">
      <c r="B10" s="46" t="s">
        <v>721</v>
      </c>
      <c r="C10" s="95">
        <f>SUP_CAPEX_PLANTA!$C$11</f>
        <v>0.1</v>
      </c>
    </row>
    <row r="12" spans="1:9" ht="15" customHeight="1" x14ac:dyDescent="0.2">
      <c r="A12" s="40" t="s">
        <v>722</v>
      </c>
      <c r="B12" s="41"/>
      <c r="C12" s="41"/>
      <c r="D12" s="41"/>
      <c r="E12" s="41"/>
      <c r="F12" s="41"/>
      <c r="G12" s="41"/>
      <c r="H12" s="41"/>
      <c r="I12" s="41"/>
    </row>
    <row r="13" spans="1:9" ht="23.25" customHeight="1" x14ac:dyDescent="0.2">
      <c r="A13" s="42" t="s">
        <v>337</v>
      </c>
      <c r="B13" s="42" t="s">
        <v>723</v>
      </c>
      <c r="C13" s="42" t="s">
        <v>688</v>
      </c>
      <c r="D13" s="42" t="s">
        <v>689</v>
      </c>
      <c r="E13" s="42" t="s">
        <v>690</v>
      </c>
      <c r="F13" s="42" t="s">
        <v>691</v>
      </c>
      <c r="G13" s="42" t="s">
        <v>692</v>
      </c>
      <c r="H13" s="42" t="s">
        <v>693</v>
      </c>
      <c r="I13" s="42" t="s">
        <v>694</v>
      </c>
    </row>
    <row r="14" spans="1:9" ht="15" customHeight="1" x14ac:dyDescent="0.2">
      <c r="A14" s="43" t="s">
        <v>724</v>
      </c>
      <c r="B14" s="43" t="s">
        <v>1587</v>
      </c>
      <c r="C14" s="43" t="s">
        <v>699</v>
      </c>
      <c r="D14" s="50"/>
      <c r="E14" s="50">
        <v>5500</v>
      </c>
      <c r="F14" s="52">
        <f t="shared" ref="F14:F19" si="0">IF(D14&lt;&gt;"",D14*$C$9,E14)</f>
        <v>5500</v>
      </c>
      <c r="G14" s="50">
        <v>1</v>
      </c>
      <c r="H14" s="52">
        <f t="shared" ref="H14:H32" si="1">F14*G14</f>
        <v>5500</v>
      </c>
      <c r="I14" s="21" t="s">
        <v>1588</v>
      </c>
    </row>
    <row r="15" spans="1:9" ht="15" customHeight="1" x14ac:dyDescent="0.2">
      <c r="A15" s="43" t="s">
        <v>725</v>
      </c>
      <c r="B15" s="43" t="s">
        <v>726</v>
      </c>
      <c r="C15" s="43" t="s">
        <v>699</v>
      </c>
      <c r="D15" s="50"/>
      <c r="E15" s="50">
        <v>3000</v>
      </c>
      <c r="F15" s="52">
        <f t="shared" si="0"/>
        <v>3000</v>
      </c>
      <c r="G15" s="50">
        <v>1</v>
      </c>
      <c r="H15" s="52">
        <f t="shared" si="1"/>
        <v>3000</v>
      </c>
      <c r="I15" s="21" t="s">
        <v>727</v>
      </c>
    </row>
    <row r="16" spans="1:9" ht="15" customHeight="1" x14ac:dyDescent="0.2">
      <c r="A16" s="43" t="s">
        <v>728</v>
      </c>
      <c r="B16" s="43" t="s">
        <v>729</v>
      </c>
      <c r="C16" s="43" t="s">
        <v>699</v>
      </c>
      <c r="D16" s="50"/>
      <c r="E16" s="50">
        <v>1200</v>
      </c>
      <c r="F16" s="52">
        <f t="shared" si="0"/>
        <v>1200</v>
      </c>
      <c r="G16" s="50">
        <v>1</v>
      </c>
      <c r="H16" s="52">
        <f t="shared" si="1"/>
        <v>1200</v>
      </c>
      <c r="I16" s="21" t="s">
        <v>730</v>
      </c>
    </row>
    <row r="17" spans="1:9" ht="15" customHeight="1" x14ac:dyDescent="0.2">
      <c r="A17" s="43" t="s">
        <v>731</v>
      </c>
      <c r="B17" s="43" t="s">
        <v>732</v>
      </c>
      <c r="C17" s="43" t="s">
        <v>699</v>
      </c>
      <c r="D17" s="50"/>
      <c r="E17" s="50">
        <v>2000</v>
      </c>
      <c r="F17" s="52">
        <f t="shared" si="0"/>
        <v>2000</v>
      </c>
      <c r="G17" s="50">
        <v>1</v>
      </c>
      <c r="H17" s="52">
        <f t="shared" si="1"/>
        <v>2000</v>
      </c>
      <c r="I17" s="21" t="s">
        <v>733</v>
      </c>
    </row>
    <row r="18" spans="1:9" ht="15" customHeight="1" x14ac:dyDescent="0.2">
      <c r="A18" s="43" t="s">
        <v>734</v>
      </c>
      <c r="B18" s="43" t="s">
        <v>735</v>
      </c>
      <c r="C18" s="43" t="s">
        <v>699</v>
      </c>
      <c r="D18" s="50"/>
      <c r="E18" s="50">
        <v>1500</v>
      </c>
      <c r="F18" s="52">
        <f t="shared" si="0"/>
        <v>1500</v>
      </c>
      <c r="G18" s="50">
        <v>1</v>
      </c>
      <c r="H18" s="52">
        <f t="shared" si="1"/>
        <v>1500</v>
      </c>
      <c r="I18" s="21" t="s">
        <v>736</v>
      </c>
    </row>
    <row r="19" spans="1:9" ht="15" customHeight="1" x14ac:dyDescent="0.2">
      <c r="A19" s="43" t="s">
        <v>737</v>
      </c>
      <c r="B19" s="43" t="s">
        <v>738</v>
      </c>
      <c r="C19" s="43" t="s">
        <v>699</v>
      </c>
      <c r="D19" s="50"/>
      <c r="E19" s="50">
        <v>1100</v>
      </c>
      <c r="F19" s="52">
        <f t="shared" si="0"/>
        <v>1100</v>
      </c>
      <c r="G19" s="50">
        <v>1</v>
      </c>
      <c r="H19" s="52">
        <f t="shared" si="1"/>
        <v>1100</v>
      </c>
      <c r="I19" s="21" t="s">
        <v>739</v>
      </c>
    </row>
    <row r="20" spans="1:9" ht="15" customHeight="1" x14ac:dyDescent="0.2">
      <c r="A20" s="43" t="s">
        <v>740</v>
      </c>
      <c r="B20" s="43" t="s">
        <v>741</v>
      </c>
      <c r="C20" s="43" t="s">
        <v>699</v>
      </c>
      <c r="D20" s="50"/>
      <c r="E20" s="50"/>
      <c r="F20" s="51">
        <f>SUP_TECNOLOGIA!$D$9</f>
        <v>2500</v>
      </c>
      <c r="G20" s="96">
        <v>1</v>
      </c>
      <c r="H20" s="52">
        <f t="shared" si="1"/>
        <v>2500</v>
      </c>
      <c r="I20" s="84" t="s">
        <v>742</v>
      </c>
    </row>
    <row r="21" spans="1:9" ht="15" customHeight="1" x14ac:dyDescent="0.2">
      <c r="A21" s="43" t="s">
        <v>743</v>
      </c>
      <c r="B21" s="43" t="s">
        <v>744</v>
      </c>
      <c r="C21" s="43" t="s">
        <v>699</v>
      </c>
      <c r="D21" s="50"/>
      <c r="E21" s="50">
        <v>3500</v>
      </c>
      <c r="F21" s="52">
        <f t="shared" ref="F21:F32" si="2">IF(D21&lt;&gt;"",D21*$C$9,E21)</f>
        <v>3500</v>
      </c>
      <c r="G21" s="50">
        <v>1</v>
      </c>
      <c r="H21" s="52">
        <f t="shared" si="1"/>
        <v>3500</v>
      </c>
      <c r="I21" s="21" t="s">
        <v>745</v>
      </c>
    </row>
    <row r="22" spans="1:9" ht="15" customHeight="1" x14ac:dyDescent="0.2">
      <c r="A22" s="43" t="s">
        <v>746</v>
      </c>
      <c r="B22" s="43" t="s">
        <v>747</v>
      </c>
      <c r="C22" s="43" t="s">
        <v>699</v>
      </c>
      <c r="D22" s="50"/>
      <c r="E22" s="50">
        <v>500</v>
      </c>
      <c r="F22" s="52">
        <f t="shared" si="2"/>
        <v>500</v>
      </c>
      <c r="G22" s="50">
        <v>1</v>
      </c>
      <c r="H22" s="52">
        <f t="shared" si="1"/>
        <v>500</v>
      </c>
      <c r="I22" s="21" t="s">
        <v>748</v>
      </c>
    </row>
    <row r="23" spans="1:9" ht="15" customHeight="1" x14ac:dyDescent="0.2">
      <c r="A23" s="43" t="s">
        <v>749</v>
      </c>
      <c r="B23" s="43" t="s">
        <v>750</v>
      </c>
      <c r="C23" s="43" t="s">
        <v>699</v>
      </c>
      <c r="D23" s="50"/>
      <c r="E23" s="50">
        <v>800</v>
      </c>
      <c r="F23" s="52">
        <f t="shared" si="2"/>
        <v>800</v>
      </c>
      <c r="G23" s="50">
        <v>1</v>
      </c>
      <c r="H23" s="52">
        <f t="shared" si="1"/>
        <v>800</v>
      </c>
      <c r="I23" s="21" t="s">
        <v>751</v>
      </c>
    </row>
    <row r="24" spans="1:9" ht="15" customHeight="1" x14ac:dyDescent="0.2">
      <c r="A24" s="43" t="s">
        <v>752</v>
      </c>
      <c r="B24" s="43" t="s">
        <v>753</v>
      </c>
      <c r="C24" s="43" t="s">
        <v>697</v>
      </c>
      <c r="D24" s="50">
        <v>1100</v>
      </c>
      <c r="E24" s="50"/>
      <c r="F24" s="52">
        <f t="shared" si="2"/>
        <v>1802.35</v>
      </c>
      <c r="G24" s="50">
        <v>1</v>
      </c>
      <c r="H24" s="52">
        <f t="shared" si="1"/>
        <v>1802.35</v>
      </c>
      <c r="I24" s="21" t="s">
        <v>754</v>
      </c>
    </row>
    <row r="25" spans="1:9" ht="15" customHeight="1" x14ac:dyDescent="0.2">
      <c r="A25" s="43" t="s">
        <v>755</v>
      </c>
      <c r="B25" s="43" t="s">
        <v>756</v>
      </c>
      <c r="C25" s="43" t="s">
        <v>697</v>
      </c>
      <c r="D25" s="50">
        <v>600</v>
      </c>
      <c r="E25" s="50"/>
      <c r="F25" s="52">
        <f t="shared" si="2"/>
        <v>983.09999999999991</v>
      </c>
      <c r="G25" s="50">
        <v>1</v>
      </c>
      <c r="H25" s="52">
        <f t="shared" si="1"/>
        <v>983.09999999999991</v>
      </c>
      <c r="I25" s="21" t="s">
        <v>757</v>
      </c>
    </row>
    <row r="26" spans="1:9" ht="15" customHeight="1" x14ac:dyDescent="0.2">
      <c r="A26" s="43" t="s">
        <v>758</v>
      </c>
      <c r="B26" s="43" t="s">
        <v>1582</v>
      </c>
      <c r="C26" s="43" t="s">
        <v>697</v>
      </c>
      <c r="D26" s="50">
        <v>4510</v>
      </c>
      <c r="E26" s="50"/>
      <c r="F26" s="52">
        <f t="shared" si="2"/>
        <v>7389.6349999999993</v>
      </c>
      <c r="G26" s="50">
        <v>2</v>
      </c>
      <c r="H26" s="52">
        <f t="shared" si="1"/>
        <v>14779.269999999999</v>
      </c>
      <c r="I26" s="21" t="s">
        <v>1583</v>
      </c>
    </row>
    <row r="27" spans="1:9" ht="15" customHeight="1" x14ac:dyDescent="0.2">
      <c r="A27" s="43" t="s">
        <v>759</v>
      </c>
      <c r="B27" s="43" t="s">
        <v>1584</v>
      </c>
      <c r="C27" s="43" t="s">
        <v>697</v>
      </c>
      <c r="D27" s="50">
        <v>1100</v>
      </c>
      <c r="E27" s="50"/>
      <c r="F27" s="52">
        <f t="shared" si="2"/>
        <v>1802.35</v>
      </c>
      <c r="G27" s="50">
        <v>2</v>
      </c>
      <c r="H27" s="52">
        <f t="shared" si="1"/>
        <v>3604.7</v>
      </c>
      <c r="I27" s="21" t="s">
        <v>1585</v>
      </c>
    </row>
    <row r="28" spans="1:9" ht="15" customHeight="1" x14ac:dyDescent="0.2">
      <c r="A28" s="43" t="s">
        <v>760</v>
      </c>
      <c r="B28" s="43" t="s">
        <v>761</v>
      </c>
      <c r="C28" s="43" t="s">
        <v>699</v>
      </c>
      <c r="D28" s="50"/>
      <c r="E28" s="50">
        <v>600</v>
      </c>
      <c r="F28" s="52">
        <f t="shared" si="2"/>
        <v>600</v>
      </c>
      <c r="G28" s="50">
        <v>1</v>
      </c>
      <c r="H28" s="52">
        <f t="shared" si="1"/>
        <v>600</v>
      </c>
      <c r="I28" s="21" t="s">
        <v>762</v>
      </c>
    </row>
    <row r="29" spans="1:9" ht="15" customHeight="1" x14ac:dyDescent="0.2">
      <c r="A29" s="43" t="s">
        <v>763</v>
      </c>
      <c r="B29" s="43" t="s">
        <v>764</v>
      </c>
      <c r="C29" s="43" t="s">
        <v>697</v>
      </c>
      <c r="D29" s="50">
        <v>1500</v>
      </c>
      <c r="E29" s="50"/>
      <c r="F29" s="52">
        <f t="shared" si="2"/>
        <v>2457.7499999999995</v>
      </c>
      <c r="G29" s="50">
        <v>2</v>
      </c>
      <c r="H29" s="52">
        <f t="shared" si="1"/>
        <v>4915.4999999999991</v>
      </c>
      <c r="I29" s="21" t="s">
        <v>1586</v>
      </c>
    </row>
    <row r="30" spans="1:9" ht="15" customHeight="1" x14ac:dyDescent="0.2">
      <c r="A30" s="43" t="s">
        <v>765</v>
      </c>
      <c r="B30" s="43" t="s">
        <v>766</v>
      </c>
      <c r="C30" s="43" t="s">
        <v>697</v>
      </c>
      <c r="D30" s="50">
        <v>700</v>
      </c>
      <c r="E30" s="50"/>
      <c r="F30" s="52">
        <f t="shared" si="2"/>
        <v>1146.9499999999998</v>
      </c>
      <c r="G30" s="50">
        <v>1</v>
      </c>
      <c r="H30" s="52">
        <f t="shared" si="1"/>
        <v>1146.9499999999998</v>
      </c>
      <c r="I30" s="21" t="s">
        <v>767</v>
      </c>
    </row>
    <row r="31" spans="1:9" ht="15" customHeight="1" x14ac:dyDescent="0.2">
      <c r="A31" s="43" t="s">
        <v>768</v>
      </c>
      <c r="B31" s="43" t="s">
        <v>769</v>
      </c>
      <c r="C31" s="43" t="s">
        <v>697</v>
      </c>
      <c r="D31" s="50">
        <v>800</v>
      </c>
      <c r="E31" s="50"/>
      <c r="F31" s="52">
        <f t="shared" si="2"/>
        <v>1310.8</v>
      </c>
      <c r="G31" s="50">
        <v>1</v>
      </c>
      <c r="H31" s="52">
        <f t="shared" si="1"/>
        <v>1310.8</v>
      </c>
      <c r="I31" s="21" t="s">
        <v>770</v>
      </c>
    </row>
    <row r="32" spans="1:9" ht="15" customHeight="1" x14ac:dyDescent="0.2">
      <c r="A32" s="43" t="s">
        <v>771</v>
      </c>
      <c r="B32" s="43" t="s">
        <v>772</v>
      </c>
      <c r="C32" s="43" t="s">
        <v>699</v>
      </c>
      <c r="D32" s="50"/>
      <c r="E32" s="50">
        <v>400</v>
      </c>
      <c r="F32" s="52">
        <f t="shared" si="2"/>
        <v>400</v>
      </c>
      <c r="G32" s="50">
        <v>1</v>
      </c>
      <c r="H32" s="52">
        <f t="shared" si="1"/>
        <v>400</v>
      </c>
      <c r="I32" s="21" t="s">
        <v>773</v>
      </c>
    </row>
    <row r="33" spans="1:9" ht="15" customHeight="1" x14ac:dyDescent="0.2">
      <c r="A33" s="173" t="s">
        <v>1589</v>
      </c>
      <c r="B33" s="173" t="s">
        <v>1590</v>
      </c>
      <c r="C33" s="173" t="s">
        <v>699</v>
      </c>
      <c r="D33" s="174"/>
      <c r="E33" s="174">
        <v>300</v>
      </c>
      <c r="F33" s="175">
        <f>IF(D33&lt;&gt;"",D33*$C$9,E33)</f>
        <v>300</v>
      </c>
      <c r="G33" s="175">
        <v>1</v>
      </c>
      <c r="H33" s="175">
        <f>F33*G33</f>
        <v>300</v>
      </c>
      <c r="I33" s="21" t="s">
        <v>1597</v>
      </c>
    </row>
    <row r="34" spans="1:9" ht="15" customHeight="1" x14ac:dyDescent="0.2">
      <c r="A34" s="173" t="s">
        <v>1591</v>
      </c>
      <c r="B34" s="173" t="s">
        <v>1592</v>
      </c>
      <c r="C34" s="173" t="s">
        <v>699</v>
      </c>
      <c r="D34" s="174"/>
      <c r="E34" s="174">
        <v>600</v>
      </c>
      <c r="F34" s="175">
        <f>IF(D34&lt;&gt;"",D34*$C$9,E34)</f>
        <v>600</v>
      </c>
      <c r="G34" s="175">
        <v>1</v>
      </c>
      <c r="H34" s="175">
        <f>F34*G34</f>
        <v>600</v>
      </c>
      <c r="I34" s="21" t="s">
        <v>1598</v>
      </c>
    </row>
    <row r="35" spans="1:9" ht="15" customHeight="1" x14ac:dyDescent="0.2">
      <c r="A35" s="173" t="s">
        <v>1593</v>
      </c>
      <c r="B35" s="173" t="s">
        <v>1594</v>
      </c>
      <c r="C35" s="173" t="s">
        <v>699</v>
      </c>
      <c r="D35" s="174"/>
      <c r="E35" s="174">
        <v>300</v>
      </c>
      <c r="F35" s="175">
        <f>IF(D35&lt;&gt;"",D35*$C$9,E35)</f>
        <v>300</v>
      </c>
      <c r="G35" s="175">
        <v>1</v>
      </c>
      <c r="H35" s="175">
        <f>F35*G35</f>
        <v>300</v>
      </c>
      <c r="I35" s="21" t="s">
        <v>1599</v>
      </c>
    </row>
    <row r="36" spans="1:9" ht="15" customHeight="1" x14ac:dyDescent="0.2">
      <c r="A36" s="173" t="s">
        <v>1595</v>
      </c>
      <c r="B36" s="173" t="s">
        <v>1596</v>
      </c>
      <c r="C36" s="173" t="s">
        <v>699</v>
      </c>
      <c r="D36" s="174"/>
      <c r="E36" s="174">
        <v>800</v>
      </c>
      <c r="F36" s="175">
        <f>IF(D36&lt;&gt;"",D36*$C$9,E36)</f>
        <v>800</v>
      </c>
      <c r="G36" s="175">
        <v>1</v>
      </c>
      <c r="H36" s="175">
        <f>F36*G36</f>
        <v>800</v>
      </c>
      <c r="I36" s="21" t="s">
        <v>1600</v>
      </c>
    </row>
    <row r="37" spans="1:9" ht="15" customHeight="1" x14ac:dyDescent="0.2">
      <c r="B37" s="20" t="s">
        <v>774</v>
      </c>
      <c r="H37" s="83">
        <f>SUM(H14:H36)</f>
        <v>53142.669999999991</v>
      </c>
    </row>
    <row r="38" spans="1:9" ht="15" customHeight="1" x14ac:dyDescent="0.2">
      <c r="B38" s="46" t="s">
        <v>775</v>
      </c>
      <c r="H38" s="92">
        <f>C6*C7</f>
        <v>28000</v>
      </c>
    </row>
    <row r="39" spans="1:9" ht="15" customHeight="1" x14ac:dyDescent="0.2">
      <c r="B39" s="46" t="s">
        <v>776</v>
      </c>
      <c r="H39" s="92">
        <f>C8</f>
        <v>3000</v>
      </c>
    </row>
    <row r="40" spans="1:9" ht="15" customHeight="1" x14ac:dyDescent="0.2">
      <c r="B40" s="20" t="s">
        <v>777</v>
      </c>
      <c r="H40" s="83">
        <f>H37+H38+H39</f>
        <v>84142.669999999984</v>
      </c>
    </row>
    <row r="41" spans="1:9" ht="15" customHeight="1" x14ac:dyDescent="0.2">
      <c r="B41" s="46" t="s">
        <v>711</v>
      </c>
      <c r="H41" s="92">
        <f>H40*C10</f>
        <v>8414.266999999998</v>
      </c>
    </row>
    <row r="42" spans="1:9" ht="15" customHeight="1" x14ac:dyDescent="0.2">
      <c r="B42" s="20" t="s">
        <v>778</v>
      </c>
      <c r="H42" s="93">
        <f>H40+H41</f>
        <v>92556.936999999976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2E75B6"/>
  </sheetPr>
  <dimension ref="A1:I43"/>
  <sheetViews>
    <sheetView showGridLines="0" topLeftCell="D4" zoomScaleNormal="100" workbookViewId="0">
      <selection activeCell="B42" sqref="B42"/>
    </sheetView>
  </sheetViews>
  <sheetFormatPr baseColWidth="10" defaultColWidth="8.6640625" defaultRowHeight="15" x14ac:dyDescent="0.2"/>
  <cols>
    <col min="1" max="1" width="8" customWidth="1"/>
    <col min="2" max="2" width="55" customWidth="1"/>
    <col min="3" max="5" width="13" customWidth="1"/>
    <col min="6" max="6" width="14" customWidth="1"/>
    <col min="7" max="7" width="8" customWidth="1"/>
    <col min="8" max="8" width="14" customWidth="1"/>
    <col min="9" max="9" width="60" customWidth="1"/>
  </cols>
  <sheetData>
    <row r="1" spans="1:9" ht="18.75" customHeight="1" x14ac:dyDescent="0.25">
      <c r="A1" s="38" t="s">
        <v>779</v>
      </c>
      <c r="B1" s="14"/>
      <c r="C1" s="14"/>
      <c r="D1" s="14"/>
      <c r="E1" s="14"/>
      <c r="F1" s="14"/>
      <c r="G1" s="14"/>
      <c r="H1" s="14"/>
      <c r="I1" s="14"/>
    </row>
    <row r="2" spans="1:9" ht="15" customHeight="1" x14ac:dyDescent="0.2">
      <c r="A2" s="17" t="s">
        <v>1613</v>
      </c>
    </row>
    <row r="3" spans="1:9" ht="15" customHeight="1" x14ac:dyDescent="0.2">
      <c r="A3" s="39" t="s">
        <v>89</v>
      </c>
    </row>
    <row r="5" spans="1:9" ht="15" customHeight="1" x14ac:dyDescent="0.2">
      <c r="A5" s="40" t="s">
        <v>714</v>
      </c>
      <c r="B5" s="41"/>
      <c r="C5" s="41"/>
      <c r="D5" s="41"/>
      <c r="E5" s="41"/>
      <c r="F5" s="41"/>
      <c r="G5" s="41"/>
      <c r="H5" s="41"/>
      <c r="I5" s="41"/>
    </row>
    <row r="6" spans="1:9" ht="15" customHeight="1" x14ac:dyDescent="0.2">
      <c r="B6" s="46" t="s">
        <v>715</v>
      </c>
      <c r="C6" s="50">
        <v>80</v>
      </c>
    </row>
    <row r="7" spans="1:9" ht="15" customHeight="1" x14ac:dyDescent="0.2">
      <c r="B7" s="46" t="s">
        <v>716</v>
      </c>
      <c r="C7" s="50">
        <v>700</v>
      </c>
      <c r="I7" s="39" t="s">
        <v>717</v>
      </c>
    </row>
    <row r="8" spans="1:9" ht="15" customHeight="1" x14ac:dyDescent="0.2">
      <c r="B8" s="46" t="s">
        <v>718</v>
      </c>
      <c r="C8" s="50">
        <v>3000</v>
      </c>
      <c r="I8" s="39" t="s">
        <v>719</v>
      </c>
    </row>
    <row r="9" spans="1:9" ht="15" customHeight="1" x14ac:dyDescent="0.2">
      <c r="B9" s="46" t="s">
        <v>720</v>
      </c>
      <c r="C9" s="94">
        <f>SUP_CAPEX_PLANTA!$C$8</f>
        <v>1.6384999999999998</v>
      </c>
    </row>
    <row r="10" spans="1:9" ht="15" customHeight="1" x14ac:dyDescent="0.2">
      <c r="B10" s="46" t="s">
        <v>721</v>
      </c>
      <c r="C10" s="95">
        <f>SUP_CAPEX_PLANTA!$C$11</f>
        <v>0.1</v>
      </c>
    </row>
    <row r="12" spans="1:9" ht="15" customHeight="1" x14ac:dyDescent="0.2">
      <c r="A12" s="40" t="s">
        <v>722</v>
      </c>
      <c r="B12" s="41"/>
      <c r="C12" s="41"/>
      <c r="D12" s="41"/>
      <c r="E12" s="41"/>
      <c r="F12" s="41"/>
      <c r="G12" s="41"/>
      <c r="H12" s="41"/>
      <c r="I12" s="41"/>
    </row>
    <row r="13" spans="1:9" ht="23.25" customHeight="1" x14ac:dyDescent="0.2">
      <c r="A13" s="42" t="s">
        <v>337</v>
      </c>
      <c r="B13" s="42" t="s">
        <v>723</v>
      </c>
      <c r="C13" s="42" t="s">
        <v>688</v>
      </c>
      <c r="D13" s="42" t="s">
        <v>689</v>
      </c>
      <c r="E13" s="42" t="s">
        <v>690</v>
      </c>
      <c r="F13" s="42" t="s">
        <v>691</v>
      </c>
      <c r="G13" s="42" t="s">
        <v>692</v>
      </c>
      <c r="H13" s="42" t="s">
        <v>693</v>
      </c>
      <c r="I13" s="42" t="s">
        <v>694</v>
      </c>
    </row>
    <row r="14" spans="1:9" ht="15" customHeight="1" x14ac:dyDescent="0.2">
      <c r="A14" s="43" t="s">
        <v>724</v>
      </c>
      <c r="B14" s="43" t="s">
        <v>1587</v>
      </c>
      <c r="C14" s="43" t="s">
        <v>699</v>
      </c>
      <c r="D14" s="50"/>
      <c r="E14" s="50">
        <v>5500</v>
      </c>
      <c r="F14" s="52">
        <f t="shared" ref="F14:F19" si="0">IF(D14&lt;&gt;"",D14*$C$9,E14)</f>
        <v>5500</v>
      </c>
      <c r="G14" s="50">
        <v>1</v>
      </c>
      <c r="H14" s="52">
        <f t="shared" ref="H14:H33" si="1">F14*G14</f>
        <v>5500</v>
      </c>
      <c r="I14" s="21" t="s">
        <v>1605</v>
      </c>
    </row>
    <row r="15" spans="1:9" ht="15" customHeight="1" x14ac:dyDescent="0.2">
      <c r="A15" s="43" t="s">
        <v>725</v>
      </c>
      <c r="B15" s="43" t="s">
        <v>726</v>
      </c>
      <c r="C15" s="43" t="s">
        <v>699</v>
      </c>
      <c r="D15" s="50"/>
      <c r="E15" s="50">
        <v>3000</v>
      </c>
      <c r="F15" s="52">
        <f t="shared" si="0"/>
        <v>3000</v>
      </c>
      <c r="G15" s="50">
        <v>1</v>
      </c>
      <c r="H15" s="52">
        <f t="shared" si="1"/>
        <v>3000</v>
      </c>
      <c r="I15" s="21" t="s">
        <v>727</v>
      </c>
    </row>
    <row r="16" spans="1:9" ht="15" customHeight="1" x14ac:dyDescent="0.2">
      <c r="A16" s="43" t="s">
        <v>728</v>
      </c>
      <c r="B16" s="43" t="s">
        <v>729</v>
      </c>
      <c r="C16" s="43" t="s">
        <v>699</v>
      </c>
      <c r="D16" s="50"/>
      <c r="E16" s="50">
        <v>1200</v>
      </c>
      <c r="F16" s="52">
        <f t="shared" si="0"/>
        <v>1200</v>
      </c>
      <c r="G16" s="50">
        <v>2</v>
      </c>
      <c r="H16" s="52">
        <f t="shared" si="1"/>
        <v>2400</v>
      </c>
      <c r="I16" s="21" t="s">
        <v>730</v>
      </c>
    </row>
    <row r="17" spans="1:9" ht="15" customHeight="1" x14ac:dyDescent="0.2">
      <c r="A17" s="43" t="s">
        <v>731</v>
      </c>
      <c r="B17" s="43" t="s">
        <v>732</v>
      </c>
      <c r="C17" s="43" t="s">
        <v>699</v>
      </c>
      <c r="D17" s="50"/>
      <c r="E17" s="50">
        <v>2000</v>
      </c>
      <c r="F17" s="52">
        <f t="shared" si="0"/>
        <v>2000</v>
      </c>
      <c r="G17" s="50">
        <v>1</v>
      </c>
      <c r="H17" s="52">
        <f t="shared" si="1"/>
        <v>2000</v>
      </c>
      <c r="I17" s="21" t="s">
        <v>733</v>
      </c>
    </row>
    <row r="18" spans="1:9" ht="15" customHeight="1" x14ac:dyDescent="0.2">
      <c r="A18" s="43" t="s">
        <v>734</v>
      </c>
      <c r="B18" s="43" t="s">
        <v>735</v>
      </c>
      <c r="C18" s="43" t="s">
        <v>699</v>
      </c>
      <c r="D18" s="50"/>
      <c r="E18" s="50">
        <v>1500</v>
      </c>
      <c r="F18" s="52">
        <f t="shared" si="0"/>
        <v>1500</v>
      </c>
      <c r="G18" s="50">
        <v>1</v>
      </c>
      <c r="H18" s="52">
        <f t="shared" si="1"/>
        <v>1500</v>
      </c>
      <c r="I18" s="21" t="s">
        <v>736</v>
      </c>
    </row>
    <row r="19" spans="1:9" ht="15" customHeight="1" x14ac:dyDescent="0.2">
      <c r="A19" s="43" t="s">
        <v>737</v>
      </c>
      <c r="B19" s="43" t="s">
        <v>738</v>
      </c>
      <c r="C19" s="43" t="s">
        <v>699</v>
      </c>
      <c r="D19" s="50"/>
      <c r="E19" s="50">
        <v>1100</v>
      </c>
      <c r="F19" s="52">
        <f t="shared" si="0"/>
        <v>1100</v>
      </c>
      <c r="G19" s="50">
        <v>1</v>
      </c>
      <c r="H19" s="52">
        <f t="shared" si="1"/>
        <v>1100</v>
      </c>
      <c r="I19" s="21" t="s">
        <v>739</v>
      </c>
    </row>
    <row r="20" spans="1:9" ht="15" customHeight="1" x14ac:dyDescent="0.2">
      <c r="A20" s="43" t="s">
        <v>740</v>
      </c>
      <c r="B20" s="43" t="s">
        <v>741</v>
      </c>
      <c r="C20" s="43" t="s">
        <v>699</v>
      </c>
      <c r="D20" s="50"/>
      <c r="E20" s="50"/>
      <c r="F20" s="51">
        <f>SUP_TECNOLOGIA!$E$9</f>
        <v>2500</v>
      </c>
      <c r="G20" s="96">
        <v>1</v>
      </c>
      <c r="H20" s="52">
        <f t="shared" si="1"/>
        <v>2500</v>
      </c>
      <c r="I20" s="84" t="s">
        <v>742</v>
      </c>
    </row>
    <row r="21" spans="1:9" ht="15" customHeight="1" x14ac:dyDescent="0.2">
      <c r="A21" s="43" t="s">
        <v>743</v>
      </c>
      <c r="B21" s="43" t="s">
        <v>744</v>
      </c>
      <c r="C21" s="43" t="s">
        <v>699</v>
      </c>
      <c r="D21" s="50"/>
      <c r="E21" s="50">
        <v>3500</v>
      </c>
      <c r="F21" s="52">
        <f t="shared" ref="F21:F33" si="2">IF(D21&lt;&gt;"",D21*$C$9,E21)</f>
        <v>3500</v>
      </c>
      <c r="G21" s="50">
        <v>1</v>
      </c>
      <c r="H21" s="52">
        <f t="shared" si="1"/>
        <v>3500</v>
      </c>
      <c r="I21" s="21" t="s">
        <v>745</v>
      </c>
    </row>
    <row r="22" spans="1:9" ht="15" customHeight="1" x14ac:dyDescent="0.2">
      <c r="A22" s="43" t="s">
        <v>746</v>
      </c>
      <c r="B22" s="43" t="s">
        <v>747</v>
      </c>
      <c r="C22" s="43" t="s">
        <v>699</v>
      </c>
      <c r="D22" s="50"/>
      <c r="E22" s="50">
        <v>500</v>
      </c>
      <c r="F22" s="52">
        <f t="shared" si="2"/>
        <v>500</v>
      </c>
      <c r="G22" s="50">
        <v>1</v>
      </c>
      <c r="H22" s="52">
        <f t="shared" si="1"/>
        <v>500</v>
      </c>
      <c r="I22" s="21" t="s">
        <v>748</v>
      </c>
    </row>
    <row r="23" spans="1:9" ht="15" customHeight="1" x14ac:dyDescent="0.2">
      <c r="A23" s="43" t="s">
        <v>749</v>
      </c>
      <c r="B23" s="43" t="s">
        <v>750</v>
      </c>
      <c r="C23" s="43" t="s">
        <v>699</v>
      </c>
      <c r="D23" s="50"/>
      <c r="E23" s="50">
        <v>800</v>
      </c>
      <c r="F23" s="52">
        <f t="shared" si="2"/>
        <v>800</v>
      </c>
      <c r="G23" s="50">
        <v>1</v>
      </c>
      <c r="H23" s="52">
        <f t="shared" si="1"/>
        <v>800</v>
      </c>
      <c r="I23" s="21" t="s">
        <v>751</v>
      </c>
    </row>
    <row r="24" spans="1:9" ht="15" customHeight="1" x14ac:dyDescent="0.2">
      <c r="A24" s="43" t="s">
        <v>752</v>
      </c>
      <c r="B24" s="43" t="s">
        <v>753</v>
      </c>
      <c r="C24" s="43" t="s">
        <v>697</v>
      </c>
      <c r="D24" s="50">
        <v>1100</v>
      </c>
      <c r="E24" s="50"/>
      <c r="F24" s="52">
        <f t="shared" si="2"/>
        <v>1802.35</v>
      </c>
      <c r="G24" s="50">
        <v>1</v>
      </c>
      <c r="H24" s="52">
        <f t="shared" si="1"/>
        <v>1802.35</v>
      </c>
      <c r="I24" s="21" t="s">
        <v>754</v>
      </c>
    </row>
    <row r="25" spans="1:9" ht="15" customHeight="1" x14ac:dyDescent="0.2">
      <c r="A25" s="43" t="s">
        <v>755</v>
      </c>
      <c r="B25" s="43" t="s">
        <v>756</v>
      </c>
      <c r="C25" s="43" t="s">
        <v>697</v>
      </c>
      <c r="D25" s="50">
        <v>600</v>
      </c>
      <c r="E25" s="50"/>
      <c r="F25" s="52">
        <f t="shared" si="2"/>
        <v>983.09999999999991</v>
      </c>
      <c r="G25" s="50">
        <v>1</v>
      </c>
      <c r="H25" s="52">
        <f t="shared" si="1"/>
        <v>983.09999999999991</v>
      </c>
      <c r="I25" s="21" t="s">
        <v>757</v>
      </c>
    </row>
    <row r="26" spans="1:9" ht="15" customHeight="1" x14ac:dyDescent="0.2">
      <c r="A26" s="43" t="s">
        <v>758</v>
      </c>
      <c r="B26" s="43" t="s">
        <v>1582</v>
      </c>
      <c r="C26" s="43" t="s">
        <v>697</v>
      </c>
      <c r="D26" s="50">
        <v>4510</v>
      </c>
      <c r="E26" s="50"/>
      <c r="F26" s="52">
        <f t="shared" si="2"/>
        <v>7389.6349999999993</v>
      </c>
      <c r="G26" s="50">
        <v>2</v>
      </c>
      <c r="H26" s="52">
        <f t="shared" si="1"/>
        <v>14779.269999999999</v>
      </c>
      <c r="I26" s="21" t="s">
        <v>1602</v>
      </c>
    </row>
    <row r="27" spans="1:9" ht="15" customHeight="1" x14ac:dyDescent="0.2">
      <c r="A27" s="43" t="s">
        <v>759</v>
      </c>
      <c r="B27" s="43" t="s">
        <v>1584</v>
      </c>
      <c r="C27" s="43" t="s">
        <v>697</v>
      </c>
      <c r="D27" s="50">
        <v>1100</v>
      </c>
      <c r="E27" s="50"/>
      <c r="F27" s="52">
        <f t="shared" si="2"/>
        <v>1802.35</v>
      </c>
      <c r="G27" s="50">
        <v>2</v>
      </c>
      <c r="H27" s="52">
        <f t="shared" si="1"/>
        <v>3604.7</v>
      </c>
      <c r="I27" s="21" t="s">
        <v>1603</v>
      </c>
    </row>
    <row r="28" spans="1:9" ht="15" customHeight="1" x14ac:dyDescent="0.2">
      <c r="A28" s="43" t="s">
        <v>760</v>
      </c>
      <c r="B28" s="43" t="s">
        <v>761</v>
      </c>
      <c r="C28" s="43" t="s">
        <v>699</v>
      </c>
      <c r="D28" s="50"/>
      <c r="E28" s="50">
        <v>600</v>
      </c>
      <c r="F28" s="52">
        <f t="shared" si="2"/>
        <v>600</v>
      </c>
      <c r="G28" s="50">
        <v>1</v>
      </c>
      <c r="H28" s="52">
        <f t="shared" si="1"/>
        <v>600</v>
      </c>
      <c r="I28" s="21" t="s">
        <v>762</v>
      </c>
    </row>
    <row r="29" spans="1:9" ht="15" customHeight="1" x14ac:dyDescent="0.2">
      <c r="A29" s="43" t="s">
        <v>763</v>
      </c>
      <c r="B29" s="43" t="s">
        <v>764</v>
      </c>
      <c r="C29" s="43" t="s">
        <v>697</v>
      </c>
      <c r="D29" s="50">
        <v>1500</v>
      </c>
      <c r="E29" s="50"/>
      <c r="F29" s="52">
        <f t="shared" si="2"/>
        <v>2457.7499999999995</v>
      </c>
      <c r="G29" s="50">
        <v>2</v>
      </c>
      <c r="H29" s="52">
        <f t="shared" si="1"/>
        <v>4915.4999999999991</v>
      </c>
      <c r="I29" s="21" t="s">
        <v>1604</v>
      </c>
    </row>
    <row r="30" spans="1:9" ht="15" customHeight="1" x14ac:dyDescent="0.2">
      <c r="A30" s="43" t="s">
        <v>765</v>
      </c>
      <c r="B30" s="43" t="s">
        <v>766</v>
      </c>
      <c r="C30" s="43" t="s">
        <v>697</v>
      </c>
      <c r="D30" s="50">
        <v>700</v>
      </c>
      <c r="E30" s="50"/>
      <c r="F30" s="52">
        <f t="shared" si="2"/>
        <v>1146.9499999999998</v>
      </c>
      <c r="G30" s="50">
        <v>1</v>
      </c>
      <c r="H30" s="52">
        <f t="shared" si="1"/>
        <v>1146.9499999999998</v>
      </c>
      <c r="I30" s="21" t="s">
        <v>767</v>
      </c>
    </row>
    <row r="31" spans="1:9" ht="15" customHeight="1" x14ac:dyDescent="0.2">
      <c r="A31" s="43" t="s">
        <v>768</v>
      </c>
      <c r="B31" s="43" t="s">
        <v>769</v>
      </c>
      <c r="C31" s="43" t="s">
        <v>697</v>
      </c>
      <c r="D31" s="50">
        <v>800</v>
      </c>
      <c r="E31" s="50"/>
      <c r="F31" s="52">
        <f t="shared" si="2"/>
        <v>1310.8</v>
      </c>
      <c r="G31" s="50">
        <v>1</v>
      </c>
      <c r="H31" s="52">
        <f t="shared" si="1"/>
        <v>1310.8</v>
      </c>
      <c r="I31" s="21" t="s">
        <v>770</v>
      </c>
    </row>
    <row r="32" spans="1:9" ht="15" customHeight="1" x14ac:dyDescent="0.2">
      <c r="A32" s="43" t="s">
        <v>780</v>
      </c>
      <c r="B32" s="43" t="s">
        <v>781</v>
      </c>
      <c r="C32" s="43" t="s">
        <v>699</v>
      </c>
      <c r="D32" s="50"/>
      <c r="E32" s="50">
        <v>3000</v>
      </c>
      <c r="F32" s="52">
        <f t="shared" si="2"/>
        <v>3000</v>
      </c>
      <c r="G32" s="50">
        <v>1</v>
      </c>
      <c r="H32" s="52">
        <f t="shared" si="1"/>
        <v>3000</v>
      </c>
      <c r="I32" s="21" t="s">
        <v>727</v>
      </c>
    </row>
    <row r="33" spans="1:9" ht="15" customHeight="1" x14ac:dyDescent="0.2">
      <c r="A33" s="43" t="s">
        <v>782</v>
      </c>
      <c r="B33" s="43" t="s">
        <v>783</v>
      </c>
      <c r="C33" s="43" t="s">
        <v>699</v>
      </c>
      <c r="D33" s="50"/>
      <c r="E33" s="50">
        <v>2000</v>
      </c>
      <c r="F33" s="52">
        <f t="shared" si="2"/>
        <v>2000</v>
      </c>
      <c r="G33" s="50">
        <v>1</v>
      </c>
      <c r="H33" s="52">
        <f t="shared" si="1"/>
        <v>2000</v>
      </c>
      <c r="I33" s="21" t="s">
        <v>784</v>
      </c>
    </row>
    <row r="34" spans="1:9" ht="15" customHeight="1" x14ac:dyDescent="0.2">
      <c r="A34" s="173" t="s">
        <v>1606</v>
      </c>
      <c r="B34" s="173" t="s">
        <v>1607</v>
      </c>
      <c r="C34" s="173" t="s">
        <v>1578</v>
      </c>
      <c r="D34" s="174">
        <v>3015</v>
      </c>
      <c r="E34" s="174"/>
      <c r="F34" s="175">
        <f>IF(D34&lt;&gt;"",D34*$C$9,E34)</f>
        <v>4940.0774999999994</v>
      </c>
      <c r="G34" s="175">
        <v>1</v>
      </c>
      <c r="H34" s="175">
        <f>F34*G34</f>
        <v>4940.0774999999994</v>
      </c>
      <c r="I34" s="21" t="s">
        <v>1610</v>
      </c>
    </row>
    <row r="35" spans="1:9" ht="15" customHeight="1" x14ac:dyDescent="0.2">
      <c r="A35" s="173" t="s">
        <v>1591</v>
      </c>
      <c r="B35" s="173" t="s">
        <v>1592</v>
      </c>
      <c r="C35" s="173" t="s">
        <v>699</v>
      </c>
      <c r="D35" s="174"/>
      <c r="E35" s="174">
        <v>600</v>
      </c>
      <c r="F35" s="175">
        <f>IF(D35&lt;&gt;"",D35*$C$9,E35)</f>
        <v>600</v>
      </c>
      <c r="G35" s="175">
        <v>1</v>
      </c>
      <c r="H35" s="175">
        <f>F35*G35</f>
        <v>600</v>
      </c>
      <c r="I35" s="21" t="s">
        <v>1598</v>
      </c>
    </row>
    <row r="36" spans="1:9" ht="15" customHeight="1" x14ac:dyDescent="0.2">
      <c r="A36" s="173" t="s">
        <v>1593</v>
      </c>
      <c r="B36" s="173" t="s">
        <v>1594</v>
      </c>
      <c r="C36" s="173" t="s">
        <v>699</v>
      </c>
      <c r="D36" s="174"/>
      <c r="E36" s="174">
        <v>300</v>
      </c>
      <c r="F36" s="175">
        <f>IF(D36&lt;&gt;"",D36*$C$9,E36)</f>
        <v>300</v>
      </c>
      <c r="G36" s="175">
        <v>1</v>
      </c>
      <c r="H36" s="175">
        <f>F36*G36</f>
        <v>300</v>
      </c>
      <c r="I36" s="21" t="s">
        <v>1611</v>
      </c>
    </row>
    <row r="37" spans="1:9" ht="15" customHeight="1" x14ac:dyDescent="0.2">
      <c r="A37" s="173" t="s">
        <v>1608</v>
      </c>
      <c r="B37" s="173" t="s">
        <v>1609</v>
      </c>
      <c r="C37" s="173" t="s">
        <v>699</v>
      </c>
      <c r="D37" s="174"/>
      <c r="E37" s="174">
        <v>4500</v>
      </c>
      <c r="F37" s="175">
        <f>IF(D37&lt;&gt;"",D37*$C$9,E37)</f>
        <v>4500</v>
      </c>
      <c r="G37" s="175">
        <v>1</v>
      </c>
      <c r="H37" s="175">
        <f>F37*G37</f>
        <v>4500</v>
      </c>
      <c r="I37" s="21" t="s">
        <v>1612</v>
      </c>
    </row>
    <row r="38" spans="1:9" ht="15" customHeight="1" x14ac:dyDescent="0.2">
      <c r="B38" s="20" t="s">
        <v>774</v>
      </c>
      <c r="H38" s="83">
        <f>SUM(H14:H37)</f>
        <v>67282.747499999998</v>
      </c>
    </row>
    <row r="39" spans="1:9" ht="15" customHeight="1" x14ac:dyDescent="0.2">
      <c r="B39" s="46" t="s">
        <v>775</v>
      </c>
      <c r="H39" s="92">
        <f>C6*C7</f>
        <v>56000</v>
      </c>
    </row>
    <row r="40" spans="1:9" ht="15" customHeight="1" x14ac:dyDescent="0.2">
      <c r="B40" s="46" t="s">
        <v>776</v>
      </c>
      <c r="H40" s="92">
        <f>C8</f>
        <v>3000</v>
      </c>
    </row>
    <row r="41" spans="1:9" ht="15" customHeight="1" x14ac:dyDescent="0.2">
      <c r="B41" s="20" t="s">
        <v>777</v>
      </c>
      <c r="H41" s="83">
        <f>H38+H39+H40</f>
        <v>126282.7475</v>
      </c>
    </row>
    <row r="42" spans="1:9" ht="15" customHeight="1" x14ac:dyDescent="0.2">
      <c r="B42" s="46" t="s">
        <v>711</v>
      </c>
      <c r="H42" s="92">
        <f>H41*C10</f>
        <v>12628.27475</v>
      </c>
    </row>
    <row r="43" spans="1:9" ht="15" customHeight="1" x14ac:dyDescent="0.2">
      <c r="B43" s="20" t="s">
        <v>778</v>
      </c>
      <c r="H43" s="93">
        <f>H41+H42</f>
        <v>138911.02225000001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ED7D31"/>
  </sheetPr>
  <dimension ref="A1:I57"/>
  <sheetViews>
    <sheetView topLeftCell="C12" zoomScaleNormal="100" workbookViewId="0"/>
  </sheetViews>
  <sheetFormatPr baseColWidth="10" defaultColWidth="8.6640625" defaultRowHeight="15" x14ac:dyDescent="0.2"/>
  <cols>
    <col min="1" max="1" width="4" customWidth="1"/>
    <col min="2" max="2" width="52" customWidth="1"/>
    <col min="3" max="3" width="9" customWidth="1"/>
    <col min="4" max="5" width="11" customWidth="1"/>
    <col min="6" max="6" width="12" customWidth="1"/>
    <col min="7" max="7" width="7" customWidth="1"/>
    <col min="8" max="8" width="13" customWidth="1"/>
    <col min="9" max="9" width="95" customWidth="1"/>
  </cols>
  <sheetData>
    <row r="1" spans="1:9" ht="15" customHeight="1" x14ac:dyDescent="0.2">
      <c r="A1" s="24" t="s">
        <v>785</v>
      </c>
      <c r="B1" s="14"/>
      <c r="C1" s="14"/>
      <c r="D1" s="14"/>
      <c r="E1" s="14"/>
      <c r="F1" s="14"/>
      <c r="G1" s="14"/>
      <c r="H1" s="14"/>
      <c r="I1" s="14"/>
    </row>
    <row r="2" spans="1:9" ht="15" customHeight="1" x14ac:dyDescent="0.2">
      <c r="A2" s="23" t="s">
        <v>1664</v>
      </c>
    </row>
    <row r="3" spans="1:9" ht="15" customHeight="1" x14ac:dyDescent="0.2">
      <c r="A3" s="23" t="s">
        <v>89</v>
      </c>
    </row>
    <row r="5" spans="1:9" ht="15" customHeight="1" x14ac:dyDescent="0.2">
      <c r="A5" s="25" t="s">
        <v>786</v>
      </c>
      <c r="B5" s="26"/>
      <c r="C5" s="26"/>
      <c r="D5" s="26"/>
      <c r="E5" s="26"/>
      <c r="F5" s="26"/>
      <c r="G5" s="26"/>
      <c r="H5" s="26"/>
      <c r="I5" s="26"/>
    </row>
    <row r="6" spans="1:9" ht="15" customHeight="1" x14ac:dyDescent="0.2">
      <c r="B6" t="s">
        <v>787</v>
      </c>
      <c r="C6" s="30">
        <v>400</v>
      </c>
      <c r="I6" s="23" t="s">
        <v>788</v>
      </c>
    </row>
    <row r="7" spans="1:9" ht="15" customHeight="1" x14ac:dyDescent="0.2">
      <c r="B7" t="s">
        <v>789</v>
      </c>
      <c r="C7" s="30">
        <v>150</v>
      </c>
      <c r="I7" s="23" t="s">
        <v>790</v>
      </c>
    </row>
    <row r="8" spans="1:9" ht="15" customHeight="1" x14ac:dyDescent="0.2">
      <c r="B8" t="s">
        <v>791</v>
      </c>
      <c r="C8" s="30">
        <v>20</v>
      </c>
      <c r="I8" s="23" t="s">
        <v>792</v>
      </c>
    </row>
    <row r="9" spans="1:9" ht="15" customHeight="1" x14ac:dyDescent="0.2">
      <c r="B9" t="s">
        <v>793</v>
      </c>
      <c r="C9" s="71">
        <v>700</v>
      </c>
      <c r="I9" s="23" t="s">
        <v>1614</v>
      </c>
    </row>
    <row r="10" spans="1:9" ht="15" customHeight="1" x14ac:dyDescent="0.2">
      <c r="B10" t="s">
        <v>794</v>
      </c>
      <c r="C10" s="71">
        <v>0</v>
      </c>
      <c r="I10" s="23" t="s">
        <v>1615</v>
      </c>
    </row>
    <row r="11" spans="1:9" ht="15" customHeight="1" x14ac:dyDescent="0.2">
      <c r="B11" t="s">
        <v>795</v>
      </c>
      <c r="C11" s="71">
        <v>0</v>
      </c>
      <c r="I11" s="23" t="s">
        <v>1616</v>
      </c>
    </row>
    <row r="12" spans="1:9" ht="15" customHeight="1" x14ac:dyDescent="0.2">
      <c r="B12" t="s">
        <v>796</v>
      </c>
      <c r="C12" s="71">
        <v>0</v>
      </c>
      <c r="I12" s="23" t="s">
        <v>1617</v>
      </c>
    </row>
    <row r="13" spans="1:9" ht="15" customHeight="1" x14ac:dyDescent="0.2">
      <c r="B13" t="s">
        <v>797</v>
      </c>
      <c r="C13" s="71">
        <v>10000</v>
      </c>
      <c r="I13" s="23" t="s">
        <v>798</v>
      </c>
    </row>
    <row r="14" spans="1:9" ht="15" customHeight="1" x14ac:dyDescent="0.2">
      <c r="B14" t="s">
        <v>720</v>
      </c>
      <c r="C14" s="32">
        <f>SUP_CAPEX_PLANTA!$C$8</f>
        <v>1.6384999999999998</v>
      </c>
    </row>
    <row r="15" spans="1:9" ht="15" customHeight="1" x14ac:dyDescent="0.2">
      <c r="B15" t="s">
        <v>721</v>
      </c>
      <c r="C15" s="36">
        <f>SUP_CAPEX_PLANTA!$C$11</f>
        <v>0.1</v>
      </c>
    </row>
    <row r="16" spans="1:9" ht="15" customHeight="1" x14ac:dyDescent="0.2">
      <c r="B16" t="s">
        <v>799</v>
      </c>
      <c r="C16" s="35">
        <v>0</v>
      </c>
      <c r="I16" s="23" t="s">
        <v>1618</v>
      </c>
    </row>
    <row r="18" spans="1:9" ht="15" customHeight="1" x14ac:dyDescent="0.2">
      <c r="A18" s="25" t="s">
        <v>800</v>
      </c>
      <c r="B18" s="26"/>
      <c r="C18" s="26"/>
      <c r="D18" s="26"/>
      <c r="E18" s="26"/>
      <c r="F18" s="26"/>
      <c r="G18" s="26"/>
      <c r="H18" s="26"/>
      <c r="I18" s="26"/>
    </row>
    <row r="19" spans="1:9" ht="15" customHeight="1" x14ac:dyDescent="0.2">
      <c r="A19" s="97" t="s">
        <v>337</v>
      </c>
      <c r="B19" s="97" t="s">
        <v>723</v>
      </c>
      <c r="C19" s="97" t="s">
        <v>688</v>
      </c>
      <c r="D19" s="97" t="s">
        <v>689</v>
      </c>
      <c r="E19" s="97" t="s">
        <v>690</v>
      </c>
      <c r="F19" s="97" t="s">
        <v>691</v>
      </c>
      <c r="G19" s="97" t="s">
        <v>692</v>
      </c>
      <c r="H19" s="97" t="s">
        <v>693</v>
      </c>
      <c r="I19" s="97" t="s">
        <v>694</v>
      </c>
    </row>
    <row r="20" spans="1:9" ht="15" customHeight="1" x14ac:dyDescent="0.2">
      <c r="A20" s="37" t="s">
        <v>758</v>
      </c>
      <c r="B20" s="37" t="s">
        <v>1582</v>
      </c>
      <c r="C20" s="37" t="s">
        <v>697</v>
      </c>
      <c r="D20" s="71">
        <v>4510</v>
      </c>
      <c r="E20" s="153"/>
      <c r="F20" s="77">
        <f>IF(D20&lt;&gt;"",D20*$C$14,E20)</f>
        <v>7389.6349999999993</v>
      </c>
      <c r="G20" s="88">
        <v>3</v>
      </c>
      <c r="H20" s="77">
        <f>F20*G20</f>
        <v>22168.904999999999</v>
      </c>
      <c r="I20" s="23" t="s">
        <v>1640</v>
      </c>
    </row>
    <row r="21" spans="1:9" ht="15" customHeight="1" x14ac:dyDescent="0.2">
      <c r="A21" s="37" t="s">
        <v>759</v>
      </c>
      <c r="B21" s="37" t="s">
        <v>1584</v>
      </c>
      <c r="C21" s="37" t="s">
        <v>697</v>
      </c>
      <c r="D21" s="71">
        <v>1100</v>
      </c>
      <c r="E21" s="153"/>
      <c r="F21" s="77">
        <f>IF(D21&lt;&gt;"",D21*$C$14,E21)</f>
        <v>1802.35</v>
      </c>
      <c r="G21" s="88">
        <v>4</v>
      </c>
      <c r="H21" s="77">
        <f>F21*G21</f>
        <v>7209.4</v>
      </c>
      <c r="I21" s="23" t="s">
        <v>1641</v>
      </c>
    </row>
    <row r="22" spans="1:9" ht="15" customHeight="1" x14ac:dyDescent="0.2">
      <c r="A22" s="37" t="s">
        <v>755</v>
      </c>
      <c r="B22" s="37" t="s">
        <v>1619</v>
      </c>
      <c r="C22" s="37" t="s">
        <v>697</v>
      </c>
      <c r="D22" s="71">
        <v>600</v>
      </c>
      <c r="E22" s="153"/>
      <c r="F22" s="77">
        <f>IF(D22&lt;&gt;"",D22*$C$14,E22)</f>
        <v>983.09999999999991</v>
      </c>
      <c r="G22" s="88">
        <v>2</v>
      </c>
      <c r="H22" s="77">
        <f>F22*G22</f>
        <v>1966.1999999999998</v>
      </c>
      <c r="I22" s="23" t="s">
        <v>1642</v>
      </c>
    </row>
    <row r="23" spans="1:9" ht="15" customHeight="1" x14ac:dyDescent="0.2">
      <c r="A23" s="37" t="s">
        <v>1606</v>
      </c>
      <c r="B23" s="37" t="s">
        <v>1607</v>
      </c>
      <c r="C23" s="37" t="s">
        <v>1578</v>
      </c>
      <c r="D23" s="71">
        <v>3015</v>
      </c>
      <c r="E23" s="153"/>
      <c r="F23" s="77">
        <f>IF(D23&lt;&gt;"",D23*$C$14,E23)</f>
        <v>4940.0774999999994</v>
      </c>
      <c r="G23" s="88">
        <v>1</v>
      </c>
      <c r="H23" s="77">
        <f>F23*G23</f>
        <v>4940.0774999999994</v>
      </c>
      <c r="I23" s="23" t="s">
        <v>1643</v>
      </c>
    </row>
    <row r="24" spans="1:9" ht="15" customHeight="1" x14ac:dyDescent="0.2">
      <c r="A24" s="37" t="s">
        <v>760</v>
      </c>
      <c r="B24" s="37" t="s">
        <v>1620</v>
      </c>
      <c r="C24" s="37" t="s">
        <v>699</v>
      </c>
      <c r="D24" s="71"/>
      <c r="E24" s="153">
        <v>600</v>
      </c>
      <c r="F24" s="77">
        <f>IF(D24&lt;&gt;"",D24*$C$14,E24)</f>
        <v>600</v>
      </c>
      <c r="G24" s="88">
        <v>2</v>
      </c>
      <c r="H24" s="77">
        <f>F24*G24</f>
        <v>1200</v>
      </c>
      <c r="I24" s="23" t="s">
        <v>1644</v>
      </c>
    </row>
    <row r="25" spans="1:9" ht="15" customHeight="1" x14ac:dyDescent="0.2">
      <c r="A25" s="37" t="s">
        <v>763</v>
      </c>
      <c r="B25" s="37" t="s">
        <v>764</v>
      </c>
      <c r="C25" s="37" t="s">
        <v>697</v>
      </c>
      <c r="D25" s="71">
        <v>1500</v>
      </c>
      <c r="E25" s="153"/>
      <c r="F25" s="77">
        <f>IF(D25&lt;&gt;"",D25*$C$14,E25)</f>
        <v>2457.7499999999995</v>
      </c>
      <c r="G25" s="88">
        <v>3</v>
      </c>
      <c r="H25" s="77">
        <f>F25*G25</f>
        <v>7373.2499999999982</v>
      </c>
      <c r="I25" s="23" t="s">
        <v>1645</v>
      </c>
    </row>
    <row r="26" spans="1:9" ht="15" customHeight="1" x14ac:dyDescent="0.2">
      <c r="A26" s="37" t="s">
        <v>765</v>
      </c>
      <c r="B26" s="37" t="s">
        <v>766</v>
      </c>
      <c r="C26" s="37" t="s">
        <v>697</v>
      </c>
      <c r="D26" s="71">
        <v>700</v>
      </c>
      <c r="E26" s="153"/>
      <c r="F26" s="77">
        <f>IF(D26&lt;&gt;"",D26*$C$14,E26)</f>
        <v>1146.9499999999998</v>
      </c>
      <c r="G26" s="88">
        <v>2</v>
      </c>
      <c r="H26" s="77">
        <f>F26*G26</f>
        <v>2293.8999999999996</v>
      </c>
      <c r="I26" s="23"/>
    </row>
    <row r="27" spans="1:9" ht="15" customHeight="1" x14ac:dyDescent="0.2">
      <c r="A27" s="37" t="s">
        <v>768</v>
      </c>
      <c r="B27" s="37" t="s">
        <v>1621</v>
      </c>
      <c r="C27" s="37" t="s">
        <v>697</v>
      </c>
      <c r="D27" s="71">
        <v>800</v>
      </c>
      <c r="E27" s="153"/>
      <c r="F27" s="77">
        <f>IF(D27&lt;&gt;"",D27*$C$14,E27)</f>
        <v>1310.8</v>
      </c>
      <c r="G27" s="88">
        <v>2</v>
      </c>
      <c r="H27" s="77">
        <f>F27*G27</f>
        <v>2621.6</v>
      </c>
      <c r="I27" s="23"/>
    </row>
    <row r="28" spans="1:9" ht="15" customHeight="1" x14ac:dyDescent="0.2">
      <c r="A28" s="37" t="s">
        <v>724</v>
      </c>
      <c r="B28" s="37" t="s">
        <v>1587</v>
      </c>
      <c r="C28" s="37" t="s">
        <v>699</v>
      </c>
      <c r="D28" s="71"/>
      <c r="E28" s="153">
        <v>5500</v>
      </c>
      <c r="F28" s="77">
        <f>IF(D28&lt;&gt;"",D28*$C$14,E28)</f>
        <v>5500</v>
      </c>
      <c r="G28" s="88">
        <v>2</v>
      </c>
      <c r="H28" s="77">
        <f>F28*G28</f>
        <v>11000</v>
      </c>
      <c r="I28" s="23" t="s">
        <v>1646</v>
      </c>
    </row>
    <row r="29" spans="1:9" ht="15" customHeight="1" x14ac:dyDescent="0.2">
      <c r="A29" s="37" t="s">
        <v>725</v>
      </c>
      <c r="B29" s="37" t="s">
        <v>1622</v>
      </c>
      <c r="C29" s="37" t="s">
        <v>699</v>
      </c>
      <c r="D29" s="71"/>
      <c r="E29" s="153">
        <v>3000</v>
      </c>
      <c r="F29" s="77">
        <f>IF(D29&lt;&gt;"",D29*$C$14,E29)</f>
        <v>3000</v>
      </c>
      <c r="G29" s="88">
        <v>1</v>
      </c>
      <c r="H29" s="77">
        <f>F29*G29</f>
        <v>3000</v>
      </c>
      <c r="I29" s="23" t="s">
        <v>1647</v>
      </c>
    </row>
    <row r="30" spans="1:9" ht="15" customHeight="1" x14ac:dyDescent="0.2">
      <c r="A30" s="37" t="s">
        <v>731</v>
      </c>
      <c r="B30" s="37" t="s">
        <v>1623</v>
      </c>
      <c r="C30" s="37" t="s">
        <v>699</v>
      </c>
      <c r="D30" s="153"/>
      <c r="E30" s="71">
        <v>2000</v>
      </c>
      <c r="F30" s="77">
        <f>IF(D30&lt;&gt;"",D30*$C$14,E30)</f>
        <v>2000</v>
      </c>
      <c r="G30" s="88">
        <v>2</v>
      </c>
      <c r="H30" s="77">
        <f>F30*G30</f>
        <v>4000</v>
      </c>
      <c r="I30" s="23" t="s">
        <v>1648</v>
      </c>
    </row>
    <row r="31" spans="1:9" ht="15" customHeight="1" x14ac:dyDescent="0.2">
      <c r="A31" s="37" t="s">
        <v>734</v>
      </c>
      <c r="B31" s="37" t="s">
        <v>1624</v>
      </c>
      <c r="C31" s="37" t="s">
        <v>699</v>
      </c>
      <c r="D31" s="153"/>
      <c r="E31" s="71">
        <v>1500</v>
      </c>
      <c r="F31" s="77">
        <f>IF(D31&lt;&gt;"",D31*$C$14,E31)</f>
        <v>1500</v>
      </c>
      <c r="G31" s="88">
        <v>1</v>
      </c>
      <c r="H31" s="77">
        <f>F31*G31</f>
        <v>1500</v>
      </c>
      <c r="I31" s="23"/>
    </row>
    <row r="32" spans="1:9" ht="15" customHeight="1" x14ac:dyDescent="0.2">
      <c r="A32" s="37" t="s">
        <v>737</v>
      </c>
      <c r="B32" s="37" t="s">
        <v>738</v>
      </c>
      <c r="C32" s="37" t="s">
        <v>699</v>
      </c>
      <c r="D32" s="153"/>
      <c r="E32" s="71">
        <v>1100</v>
      </c>
      <c r="F32" s="77">
        <f>IF(D32&lt;&gt;"",D32*$C$14,E32)</f>
        <v>1100</v>
      </c>
      <c r="G32" s="88">
        <v>1</v>
      </c>
      <c r="H32" s="77">
        <f>F32*G32</f>
        <v>1100</v>
      </c>
      <c r="I32" s="23"/>
    </row>
    <row r="33" spans="1:9" ht="15" customHeight="1" x14ac:dyDescent="0.2">
      <c r="A33" s="37" t="s">
        <v>749</v>
      </c>
      <c r="B33" s="37" t="s">
        <v>750</v>
      </c>
      <c r="C33" s="37" t="s">
        <v>699</v>
      </c>
      <c r="D33" s="153"/>
      <c r="E33" s="71">
        <v>800</v>
      </c>
      <c r="F33" s="77">
        <f>IF(D33&lt;&gt;"",D33*$C$14,E33)</f>
        <v>800</v>
      </c>
      <c r="G33" s="88">
        <v>2</v>
      </c>
      <c r="H33" s="77">
        <f>F33*G33</f>
        <v>1600</v>
      </c>
      <c r="I33" s="23" t="s">
        <v>1649</v>
      </c>
    </row>
    <row r="34" spans="1:9" ht="15" customHeight="1" x14ac:dyDescent="0.2">
      <c r="A34" s="37" t="s">
        <v>728</v>
      </c>
      <c r="B34" s="37" t="s">
        <v>1625</v>
      </c>
      <c r="C34" s="37" t="s">
        <v>699</v>
      </c>
      <c r="D34" s="153"/>
      <c r="E34" s="71">
        <v>1200</v>
      </c>
      <c r="F34" s="77">
        <f>IF(D34&lt;&gt;"",D34*$C$14,E34)</f>
        <v>1200</v>
      </c>
      <c r="G34" s="88">
        <v>3</v>
      </c>
      <c r="H34" s="77">
        <f>F34*G34</f>
        <v>3600</v>
      </c>
      <c r="I34" s="23" t="s">
        <v>1650</v>
      </c>
    </row>
    <row r="35" spans="1:9" ht="15" customHeight="1" x14ac:dyDescent="0.2">
      <c r="A35" s="37" t="s">
        <v>1626</v>
      </c>
      <c r="B35" s="37" t="s">
        <v>1627</v>
      </c>
      <c r="C35" s="37" t="s">
        <v>699</v>
      </c>
      <c r="D35" s="153"/>
      <c r="E35" s="71">
        <v>12000</v>
      </c>
      <c r="F35" s="77">
        <f>IF(D35&lt;&gt;"",D35*$C$14,E35)</f>
        <v>12000</v>
      </c>
      <c r="G35" s="88">
        <v>1</v>
      </c>
      <c r="H35" s="77">
        <f>F35*G35</f>
        <v>12000</v>
      </c>
      <c r="I35" s="23" t="s">
        <v>1651</v>
      </c>
    </row>
    <row r="36" spans="1:9" ht="15" customHeight="1" x14ac:dyDescent="0.2">
      <c r="A36" s="37" t="s">
        <v>1628</v>
      </c>
      <c r="B36" s="37" t="s">
        <v>1629</v>
      </c>
      <c r="C36" s="37" t="s">
        <v>699</v>
      </c>
      <c r="D36" s="153"/>
      <c r="E36" s="71">
        <v>8000</v>
      </c>
      <c r="F36" s="77">
        <f>IF(D36&lt;&gt;"",D36*$C$14,E36)</f>
        <v>8000</v>
      </c>
      <c r="G36" s="88">
        <v>1</v>
      </c>
      <c r="H36" s="77">
        <f>F36*G36</f>
        <v>8000</v>
      </c>
      <c r="I36" s="23" t="s">
        <v>1652</v>
      </c>
    </row>
    <row r="37" spans="1:9" ht="15" customHeight="1" x14ac:dyDescent="0.2">
      <c r="A37" s="37" t="s">
        <v>1630</v>
      </c>
      <c r="B37" s="37" t="s">
        <v>1631</v>
      </c>
      <c r="C37" s="37" t="s">
        <v>699</v>
      </c>
      <c r="D37" s="153"/>
      <c r="E37" s="71">
        <v>15000</v>
      </c>
      <c r="F37" s="77">
        <f>IF(D37&lt;&gt;"",D37*$C$14,E37)</f>
        <v>15000</v>
      </c>
      <c r="G37" s="88">
        <v>1</v>
      </c>
      <c r="H37" s="77">
        <f>F37*G37</f>
        <v>15000</v>
      </c>
      <c r="I37" s="23" t="s">
        <v>1653</v>
      </c>
    </row>
    <row r="38" spans="1:9" ht="15" customHeight="1" x14ac:dyDescent="0.2">
      <c r="A38" s="37" t="s">
        <v>780</v>
      </c>
      <c r="B38" s="37" t="s">
        <v>781</v>
      </c>
      <c r="C38" s="37" t="s">
        <v>699</v>
      </c>
      <c r="D38" s="153"/>
      <c r="E38" s="71">
        <v>3000</v>
      </c>
      <c r="F38" s="77">
        <f>IF(D38&lt;&gt;"",D38*$C$14,E38)</f>
        <v>3000</v>
      </c>
      <c r="G38" s="88">
        <v>3</v>
      </c>
      <c r="H38" s="77">
        <f>F38*G38</f>
        <v>9000</v>
      </c>
      <c r="I38" s="23" t="s">
        <v>1654</v>
      </c>
    </row>
    <row r="39" spans="1:9" ht="15" customHeight="1" x14ac:dyDescent="0.2">
      <c r="A39" s="37" t="s">
        <v>746</v>
      </c>
      <c r="B39" s="37" t="s">
        <v>747</v>
      </c>
      <c r="C39" s="37" t="s">
        <v>699</v>
      </c>
      <c r="D39" s="153"/>
      <c r="E39" s="71">
        <v>500</v>
      </c>
      <c r="F39" s="77">
        <f>IF(D39&lt;&gt;"",D39*$C$14,E39)</f>
        <v>500</v>
      </c>
      <c r="G39" s="88">
        <v>1</v>
      </c>
      <c r="H39" s="77">
        <f>F39*G39</f>
        <v>500</v>
      </c>
      <c r="I39" s="23"/>
    </row>
    <row r="40" spans="1:9" ht="15" customHeight="1" x14ac:dyDescent="0.2">
      <c r="A40" s="37" t="s">
        <v>740</v>
      </c>
      <c r="B40" s="37" t="s">
        <v>741</v>
      </c>
      <c r="C40" s="37" t="s">
        <v>801</v>
      </c>
      <c r="D40" s="153"/>
      <c r="E40" s="71"/>
      <c r="F40" s="85">
        <f>SUP_TECNOLOGIA!$F$9</f>
        <v>5000</v>
      </c>
      <c r="G40" s="88">
        <v>1</v>
      </c>
      <c r="H40" s="77">
        <f>F40*G40</f>
        <v>5000</v>
      </c>
      <c r="I40" s="23" t="s">
        <v>1655</v>
      </c>
    </row>
    <row r="41" spans="1:9" ht="15" customHeight="1" x14ac:dyDescent="0.2">
      <c r="A41" s="37" t="s">
        <v>752</v>
      </c>
      <c r="B41" s="37" t="s">
        <v>753</v>
      </c>
      <c r="C41" s="37" t="s">
        <v>697</v>
      </c>
      <c r="D41" s="153">
        <v>1100</v>
      </c>
      <c r="E41" s="71"/>
      <c r="F41" s="77">
        <f>IF(D41&lt;&gt;"",D41*$C$14,E41)</f>
        <v>1802.35</v>
      </c>
      <c r="G41" s="88">
        <v>3</v>
      </c>
      <c r="H41" s="77">
        <f>F41*G41</f>
        <v>5407.0499999999993</v>
      </c>
      <c r="I41" s="23" t="s">
        <v>1656</v>
      </c>
    </row>
    <row r="42" spans="1:9" ht="15" customHeight="1" x14ac:dyDescent="0.2">
      <c r="A42" s="37" t="s">
        <v>1632</v>
      </c>
      <c r="B42" s="37" t="s">
        <v>1633</v>
      </c>
      <c r="C42" s="37" t="s">
        <v>699</v>
      </c>
      <c r="D42" s="153"/>
      <c r="E42" s="71">
        <v>1200</v>
      </c>
      <c r="F42" s="77">
        <f>IF(D42&lt;&gt;"",D42*$C$14,E42)</f>
        <v>1200</v>
      </c>
      <c r="G42" s="88">
        <v>1</v>
      </c>
      <c r="H42" s="77">
        <f>F42*G42</f>
        <v>1200</v>
      </c>
      <c r="I42" s="23" t="s">
        <v>1657</v>
      </c>
    </row>
    <row r="43" spans="1:9" ht="15" customHeight="1" x14ac:dyDescent="0.2">
      <c r="A43" s="37" t="s">
        <v>1634</v>
      </c>
      <c r="B43" s="37" t="s">
        <v>1635</v>
      </c>
      <c r="C43" s="37" t="s">
        <v>699</v>
      </c>
      <c r="D43" s="153"/>
      <c r="E43" s="71">
        <v>6000</v>
      </c>
      <c r="F43" s="77">
        <f>IF(D43&lt;&gt;"",D43*$C$14,E43)</f>
        <v>6000</v>
      </c>
      <c r="G43" s="88">
        <v>1</v>
      </c>
      <c r="H43" s="77">
        <f>F43*G43</f>
        <v>6000</v>
      </c>
      <c r="I43" s="23" t="s">
        <v>1658</v>
      </c>
    </row>
    <row r="44" spans="1:9" ht="15" customHeight="1" x14ac:dyDescent="0.2">
      <c r="A44" s="37" t="s">
        <v>1636</v>
      </c>
      <c r="B44" s="37" t="s">
        <v>1637</v>
      </c>
      <c r="C44" s="37" t="s">
        <v>699</v>
      </c>
      <c r="D44" s="153"/>
      <c r="E44" s="71">
        <v>1500</v>
      </c>
      <c r="F44" s="77">
        <f>IF(D44&lt;&gt;"",D44*$C$14,E44)</f>
        <v>1500</v>
      </c>
      <c r="G44" s="88">
        <v>1</v>
      </c>
      <c r="H44" s="77">
        <f>F44*G44</f>
        <v>1500</v>
      </c>
      <c r="I44" s="23" t="s">
        <v>1659</v>
      </c>
    </row>
    <row r="45" spans="1:9" ht="15" customHeight="1" x14ac:dyDescent="0.2">
      <c r="A45" s="37" t="s">
        <v>1593</v>
      </c>
      <c r="B45" s="37" t="s">
        <v>1594</v>
      </c>
      <c r="C45" s="37" t="s">
        <v>699</v>
      </c>
      <c r="D45" s="153"/>
      <c r="E45" s="71">
        <v>300</v>
      </c>
      <c r="F45" s="77">
        <f>IF(D45&lt;&gt;"",D45*$C$14,E45)</f>
        <v>300</v>
      </c>
      <c r="G45" s="88">
        <v>1</v>
      </c>
      <c r="H45" s="77">
        <f>F45*G45</f>
        <v>300</v>
      </c>
      <c r="I45" s="23"/>
    </row>
    <row r="46" spans="1:9" ht="15" customHeight="1" x14ac:dyDescent="0.2">
      <c r="A46" s="37" t="s">
        <v>1638</v>
      </c>
      <c r="B46" s="37" t="s">
        <v>1639</v>
      </c>
      <c r="C46" s="37" t="s">
        <v>699</v>
      </c>
      <c r="D46" s="153"/>
      <c r="E46" s="71">
        <v>12000</v>
      </c>
      <c r="F46" s="77">
        <f>IF(D46&lt;&gt;"",D46*$C$14,E46)</f>
        <v>12000</v>
      </c>
      <c r="G46" s="88">
        <v>1</v>
      </c>
      <c r="H46" s="77">
        <f>F46*G46</f>
        <v>12000</v>
      </c>
      <c r="I46" s="23" t="s">
        <v>1660</v>
      </c>
    </row>
    <row r="47" spans="1:9" ht="15" customHeight="1" x14ac:dyDescent="0.2">
      <c r="A47" s="37" t="s">
        <v>802</v>
      </c>
      <c r="B47" s="37" t="s">
        <v>803</v>
      </c>
      <c r="C47" s="37" t="s">
        <v>804</v>
      </c>
      <c r="D47" s="153"/>
      <c r="E47" s="71">
        <v>0</v>
      </c>
      <c r="F47" s="77">
        <f>IF(D47&lt;&gt;"",D47*$C$14,E47)</f>
        <v>0</v>
      </c>
      <c r="G47" s="88">
        <v>0</v>
      </c>
      <c r="H47" s="77">
        <f>F47*G47</f>
        <v>0</v>
      </c>
      <c r="I47" s="23" t="s">
        <v>805</v>
      </c>
    </row>
    <row r="48" spans="1:9" ht="15" customHeight="1" x14ac:dyDescent="0.2">
      <c r="B48" s="20" t="s">
        <v>806</v>
      </c>
      <c r="H48" s="72">
        <f>SUM(H20:H47)</f>
        <v>151480.38250000001</v>
      </c>
    </row>
    <row r="49" spans="2:8" ht="15" customHeight="1" x14ac:dyDescent="0.2">
      <c r="B49" s="20" t="s">
        <v>1661</v>
      </c>
      <c r="H49" s="72">
        <f>H48*$C$16</f>
        <v>0</v>
      </c>
    </row>
    <row r="50" spans="2:8" ht="15" customHeight="1" x14ac:dyDescent="0.2">
      <c r="B50" s="20" t="s">
        <v>807</v>
      </c>
      <c r="H50" s="72">
        <f>$C$6*$C$9</f>
        <v>280000</v>
      </c>
    </row>
    <row r="51" spans="2:8" ht="15" customHeight="1" x14ac:dyDescent="0.2">
      <c r="B51" s="20" t="s">
        <v>1662</v>
      </c>
      <c r="H51" s="72">
        <f>$C$10+$C$11+$C$12</f>
        <v>0</v>
      </c>
    </row>
    <row r="52" spans="2:8" ht="15" customHeight="1" x14ac:dyDescent="0.2">
      <c r="B52" s="20" t="s">
        <v>776</v>
      </c>
      <c r="H52" s="72">
        <f>$C$13</f>
        <v>10000</v>
      </c>
    </row>
    <row r="53" spans="2:8" ht="15" customHeight="1" x14ac:dyDescent="0.2">
      <c r="B53" s="20" t="s">
        <v>808</v>
      </c>
      <c r="H53" s="72">
        <f>SUM(H48:H52)</f>
        <v>441480.38250000001</v>
      </c>
    </row>
    <row r="54" spans="2:8" ht="15" customHeight="1" x14ac:dyDescent="0.2">
      <c r="B54" s="20" t="s">
        <v>711</v>
      </c>
      <c r="H54" s="72">
        <f>H53*$C$15</f>
        <v>44148.038250000005</v>
      </c>
    </row>
    <row r="55" spans="2:8" ht="15" customHeight="1" x14ac:dyDescent="0.2">
      <c r="B55" s="22" t="s">
        <v>1663</v>
      </c>
      <c r="H55" s="80">
        <f>H53+H54</f>
        <v>485628.42074999999</v>
      </c>
    </row>
    <row r="57" spans="2:8" ht="15" customHeight="1" x14ac:dyDescent="0.2">
      <c r="B57" s="23" t="s">
        <v>809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838F"/>
  </sheetPr>
  <dimension ref="A1:I93"/>
  <sheetViews>
    <sheetView zoomScale="130" zoomScaleNormal="130" workbookViewId="0">
      <selection activeCell="B93" sqref="B93"/>
    </sheetView>
  </sheetViews>
  <sheetFormatPr baseColWidth="10" defaultColWidth="8.6640625" defaultRowHeight="15" x14ac:dyDescent="0.2"/>
  <cols>
    <col min="1" max="1" width="4" customWidth="1"/>
    <col min="2" max="2" width="79.33203125" customWidth="1"/>
    <col min="3" max="5" width="12" customWidth="1"/>
    <col min="6" max="6" width="13" customWidth="1"/>
    <col min="7" max="7" width="100" customWidth="1"/>
  </cols>
  <sheetData>
    <row r="1" spans="1:9" ht="15" customHeight="1" x14ac:dyDescent="0.2">
      <c r="A1" s="24" t="s">
        <v>810</v>
      </c>
      <c r="B1" s="14"/>
      <c r="C1" s="14"/>
      <c r="D1" s="14"/>
      <c r="E1" s="14"/>
      <c r="F1" s="14"/>
      <c r="G1" s="14"/>
      <c r="H1" s="14"/>
      <c r="I1" s="14"/>
    </row>
    <row r="2" spans="1:9" ht="15" customHeight="1" x14ac:dyDescent="0.2">
      <c r="A2" s="23" t="s">
        <v>811</v>
      </c>
    </row>
    <row r="3" spans="1:9" ht="15" customHeight="1" x14ac:dyDescent="0.2">
      <c r="A3" s="23" t="s">
        <v>89</v>
      </c>
    </row>
    <row r="5" spans="1:9" ht="15" customHeight="1" x14ac:dyDescent="0.2">
      <c r="A5" s="25" t="s">
        <v>812</v>
      </c>
      <c r="B5" s="26"/>
      <c r="C5" s="26"/>
      <c r="D5" s="26"/>
      <c r="E5" s="26"/>
      <c r="F5" s="26"/>
      <c r="G5" s="26"/>
      <c r="H5" s="26"/>
      <c r="I5" s="26"/>
    </row>
    <row r="6" spans="1:9" ht="15" customHeight="1" x14ac:dyDescent="0.2">
      <c r="B6" t="s">
        <v>813</v>
      </c>
      <c r="C6" s="30">
        <v>16</v>
      </c>
      <c r="G6" s="23" t="s">
        <v>814</v>
      </c>
    </row>
    <row r="7" spans="1:9" ht="15" customHeight="1" x14ac:dyDescent="0.2">
      <c r="B7" t="s">
        <v>815</v>
      </c>
      <c r="C7" s="30">
        <v>26</v>
      </c>
    </row>
    <row r="8" spans="1:9" ht="15" customHeight="1" x14ac:dyDescent="0.2">
      <c r="B8" t="s">
        <v>816</v>
      </c>
      <c r="C8" s="35">
        <v>0.65</v>
      </c>
      <c r="G8" s="23" t="s">
        <v>817</v>
      </c>
    </row>
    <row r="10" spans="1:9" ht="15" customHeight="1" x14ac:dyDescent="0.2">
      <c r="A10" s="25" t="s">
        <v>818</v>
      </c>
      <c r="B10" s="26"/>
      <c r="C10" s="26"/>
      <c r="D10" s="26"/>
      <c r="E10" s="26"/>
      <c r="F10" s="26"/>
      <c r="G10" s="26"/>
      <c r="H10" s="26"/>
      <c r="I10" s="26"/>
    </row>
    <row r="11" spans="1:9" ht="15" customHeight="1" x14ac:dyDescent="0.2">
      <c r="B11" t="s">
        <v>819</v>
      </c>
      <c r="C11" s="30">
        <v>500</v>
      </c>
      <c r="G11" s="23" t="s">
        <v>820</v>
      </c>
    </row>
    <row r="12" spans="1:9" ht="15" customHeight="1" x14ac:dyDescent="0.2">
      <c r="B12" t="s">
        <v>821</v>
      </c>
      <c r="C12" s="98">
        <v>0.5</v>
      </c>
      <c r="G12" s="23" t="s">
        <v>822</v>
      </c>
    </row>
    <row r="13" spans="1:9" ht="15" customHeight="1" x14ac:dyDescent="0.2">
      <c r="B13" t="s">
        <v>823</v>
      </c>
      <c r="C13" s="30">
        <v>40</v>
      </c>
      <c r="G13" s="23" t="s">
        <v>824</v>
      </c>
    </row>
    <row r="14" spans="1:9" ht="15" customHeight="1" x14ac:dyDescent="0.2">
      <c r="B14" t="s">
        <v>825</v>
      </c>
      <c r="C14" s="30">
        <v>3</v>
      </c>
      <c r="G14" s="23" t="s">
        <v>826</v>
      </c>
    </row>
    <row r="15" spans="1:9" ht="15" customHeight="1" x14ac:dyDescent="0.2">
      <c r="B15" t="s">
        <v>827</v>
      </c>
      <c r="C15" s="30">
        <v>20</v>
      </c>
    </row>
    <row r="16" spans="1:9" ht="15" customHeight="1" x14ac:dyDescent="0.2">
      <c r="B16" t="s">
        <v>828</v>
      </c>
      <c r="C16" s="88">
        <f>C11*C12</f>
        <v>250</v>
      </c>
    </row>
    <row r="17" spans="1:9" ht="15" customHeight="1" x14ac:dyDescent="0.2">
      <c r="B17" t="s">
        <v>829</v>
      </c>
      <c r="C17" s="99">
        <f>(C6*60*$C$8-C14*C15)/C13</f>
        <v>14.1</v>
      </c>
    </row>
    <row r="18" spans="1:9" ht="15" customHeight="1" x14ac:dyDescent="0.2">
      <c r="B18" t="s">
        <v>830</v>
      </c>
      <c r="C18" s="63">
        <f>C16*C17*C7/1000</f>
        <v>91.65</v>
      </c>
      <c r="G18" s="23" t="s">
        <v>831</v>
      </c>
    </row>
    <row r="20" spans="1:9" ht="15" customHeight="1" x14ac:dyDescent="0.2">
      <c r="A20" s="25" t="s">
        <v>832</v>
      </c>
      <c r="B20" s="26"/>
      <c r="C20" s="26"/>
      <c r="D20" s="26"/>
      <c r="E20" s="26"/>
      <c r="F20" s="26"/>
      <c r="G20" s="26"/>
      <c r="H20" s="26"/>
      <c r="I20" s="26"/>
    </row>
    <row r="21" spans="1:9" ht="15" customHeight="1" x14ac:dyDescent="0.2">
      <c r="B21" s="20" t="s">
        <v>833</v>
      </c>
      <c r="C21" s="20" t="s">
        <v>834</v>
      </c>
      <c r="D21" s="20" t="s">
        <v>835</v>
      </c>
      <c r="G21" s="20" t="s">
        <v>411</v>
      </c>
    </row>
    <row r="22" spans="1:9" ht="15" customHeight="1" x14ac:dyDescent="0.2">
      <c r="B22" t="s">
        <v>836</v>
      </c>
      <c r="C22" s="30">
        <v>300</v>
      </c>
      <c r="D22" s="99">
        <f>C22*$C$6*$C$7*$C$8/1000</f>
        <v>81.12</v>
      </c>
      <c r="G22" s="23" t="s">
        <v>837</v>
      </c>
    </row>
    <row r="23" spans="1:9" ht="15" customHeight="1" x14ac:dyDescent="0.2">
      <c r="B23" t="s">
        <v>838</v>
      </c>
      <c r="C23" s="30">
        <v>150</v>
      </c>
      <c r="D23" s="99">
        <f>C23*$C$6*$C$7*$C$8/1000</f>
        <v>40.56</v>
      </c>
      <c r="G23" s="23" t="s">
        <v>839</v>
      </c>
    </row>
    <row r="24" spans="1:9" ht="15" customHeight="1" x14ac:dyDescent="0.2">
      <c r="B24" t="s">
        <v>840</v>
      </c>
      <c r="C24" s="30">
        <v>250</v>
      </c>
      <c r="D24" s="99">
        <f>C24*$C$6*$C$7*$C$8/1000</f>
        <v>67.599999999999994</v>
      </c>
      <c r="G24" s="23" t="s">
        <v>841</v>
      </c>
    </row>
    <row r="25" spans="1:9" ht="15" customHeight="1" x14ac:dyDescent="0.2">
      <c r="B25" t="s">
        <v>842</v>
      </c>
      <c r="C25" s="30">
        <v>250</v>
      </c>
      <c r="D25" s="99">
        <f>C25*$C$6*$C$7*$C$8/1000</f>
        <v>67.599999999999994</v>
      </c>
      <c r="G25" s="23" t="s">
        <v>843</v>
      </c>
    </row>
    <row r="26" spans="1:9" ht="15" customHeight="1" x14ac:dyDescent="0.2">
      <c r="B26" t="s">
        <v>844</v>
      </c>
      <c r="C26" s="30">
        <v>500</v>
      </c>
      <c r="D26" s="99">
        <f>C26*$C$6*$C$7*$C$8/1000</f>
        <v>135.19999999999999</v>
      </c>
      <c r="G26" s="23" t="s">
        <v>845</v>
      </c>
    </row>
    <row r="28" spans="1:9" ht="15" customHeight="1" x14ac:dyDescent="0.2">
      <c r="A28" s="25" t="s">
        <v>846</v>
      </c>
      <c r="B28" s="26"/>
      <c r="C28" s="26"/>
      <c r="D28" s="26"/>
      <c r="E28" s="26"/>
      <c r="F28" s="26"/>
      <c r="G28" s="26"/>
      <c r="H28" s="26"/>
      <c r="I28" s="26"/>
    </row>
    <row r="29" spans="1:9" ht="15" customHeight="1" x14ac:dyDescent="0.2">
      <c r="B29" t="s">
        <v>847</v>
      </c>
      <c r="C29" s="36">
        <f>SUP_VOLUMEN!$C$36+SUP_VOLUMEN!$C$39*0.47</f>
        <v>0.32819999999999999</v>
      </c>
      <c r="G29" s="23" t="s">
        <v>848</v>
      </c>
    </row>
    <row r="30" spans="1:9" ht="15" customHeight="1" x14ac:dyDescent="0.2">
      <c r="B30" t="s">
        <v>849</v>
      </c>
      <c r="C30" s="36">
        <f>SUP_VOLUMEN!$C$35+SUP_VOLUMEN!$C$37+SUP_VOLUMEN!$C$39*0.53</f>
        <v>0.5918000000000001</v>
      </c>
    </row>
    <row r="31" spans="1:9" ht="15" customHeight="1" x14ac:dyDescent="0.2">
      <c r="B31" t="s">
        <v>850</v>
      </c>
      <c r="C31" s="36">
        <f>SUP_VOLUMEN!$C$38</f>
        <v>0.08</v>
      </c>
    </row>
    <row r="33" spans="1:9" ht="15" customHeight="1" x14ac:dyDescent="0.2">
      <c r="A33" s="25" t="s">
        <v>851</v>
      </c>
      <c r="B33" s="26"/>
      <c r="C33" s="26"/>
      <c r="D33" s="26"/>
      <c r="E33" s="26"/>
      <c r="F33" s="26"/>
      <c r="G33" s="26"/>
      <c r="H33" s="26"/>
      <c r="I33" s="26"/>
    </row>
    <row r="34" spans="1:9" ht="15" customHeight="1" x14ac:dyDescent="0.2">
      <c r="B34" t="s">
        <v>852</v>
      </c>
      <c r="C34" s="63">
        <f>MIN($C$18, D23/$C$29, D22/$C$29, D24/$C$29, D25/$C$29, D26/($C$30+$C$31))</f>
        <v>91.65</v>
      </c>
      <c r="G34" s="23" t="s">
        <v>853</v>
      </c>
    </row>
    <row r="36" spans="1:9" ht="15" customHeight="1" x14ac:dyDescent="0.2">
      <c r="B36" t="s">
        <v>854</v>
      </c>
    </row>
    <row r="37" spans="1:9" ht="15" customHeight="1" x14ac:dyDescent="0.2">
      <c r="B37" t="s">
        <v>855</v>
      </c>
      <c r="C37" s="30">
        <v>300</v>
      </c>
    </row>
    <row r="38" spans="1:9" ht="15" customHeight="1" x14ac:dyDescent="0.2">
      <c r="B38" t="s">
        <v>856</v>
      </c>
      <c r="C38" s="63">
        <f>MIN($C$18*2, C37*$C$6*$C$7*$C$8/1000/$C$29, D22/$C$29, D24/$C$29, D25/$C$29, D26/($C$30+$C$31))</f>
        <v>183.3</v>
      </c>
      <c r="G38" s="23" t="s">
        <v>857</v>
      </c>
    </row>
    <row r="39" spans="1:9" ht="15" customHeight="1" x14ac:dyDescent="0.2">
      <c r="B39" t="s">
        <v>858</v>
      </c>
      <c r="C39" s="30">
        <v>500</v>
      </c>
    </row>
    <row r="40" spans="1:9" ht="15" customHeight="1" x14ac:dyDescent="0.2">
      <c r="B40" t="s">
        <v>859</v>
      </c>
      <c r="C40" s="63">
        <f>MIN($C$18*4, C39*$C$6*$C$7*$C$8/1000/$C$29, (D22+D22)/$C$29, (D24+D24)/$C$29, (D25+D25)/$C$29, (D26+D26)/($C$30+$C$31))</f>
        <v>366.6</v>
      </c>
      <c r="G40" s="23" t="s">
        <v>860</v>
      </c>
    </row>
    <row r="41" spans="1:9" ht="15" customHeight="1" x14ac:dyDescent="0.2">
      <c r="B41" t="s">
        <v>1734</v>
      </c>
      <c r="C41" s="219">
        <v>700</v>
      </c>
      <c r="G41" s="23"/>
    </row>
    <row r="42" spans="1:9" ht="15" customHeight="1" x14ac:dyDescent="0.2">
      <c r="B42" t="s">
        <v>1735</v>
      </c>
      <c r="C42" s="220">
        <f>MIN($C$18*6, C41*$C$6*$C$7*$C$8/1000/$C$29, (D22*3)/$C$29, (D24*3)/$C$29, (D25*3)/$C$29, (D26*3)/($C$30+$C$31))</f>
        <v>549.90000000000009</v>
      </c>
      <c r="G42" s="23" t="s">
        <v>1736</v>
      </c>
    </row>
    <row r="44" spans="1:9" ht="15" customHeight="1" x14ac:dyDescent="0.2">
      <c r="A44" s="25" t="s">
        <v>861</v>
      </c>
      <c r="B44" s="26"/>
      <c r="C44" s="26"/>
      <c r="D44" s="26"/>
      <c r="E44" s="26"/>
      <c r="F44" s="26"/>
      <c r="G44" s="26"/>
      <c r="H44" s="26"/>
      <c r="I44" s="26"/>
    </row>
    <row r="45" spans="1:9" ht="15" customHeight="1" x14ac:dyDescent="0.2">
      <c r="B45" s="20" t="s">
        <v>862</v>
      </c>
      <c r="C45" s="20" t="s">
        <v>689</v>
      </c>
      <c r="D45" s="20" t="s">
        <v>863</v>
      </c>
    </row>
    <row r="46" spans="1:9" ht="15" customHeight="1" x14ac:dyDescent="0.2">
      <c r="B46" t="s">
        <v>864</v>
      </c>
      <c r="C46" s="71">
        <v>24000</v>
      </c>
      <c r="D46" s="77">
        <f>C46*SUP_CAPEX_PLANTA!$C$8</f>
        <v>39323.999999999993</v>
      </c>
    </row>
    <row r="47" spans="1:9" ht="15" customHeight="1" x14ac:dyDescent="0.2">
      <c r="B47" t="s">
        <v>865</v>
      </c>
      <c r="C47" s="71">
        <v>60000</v>
      </c>
      <c r="D47" s="77">
        <f>C47*SUP_CAPEX_PLANTA!$C$8</f>
        <v>98309.999999999985</v>
      </c>
    </row>
    <row r="48" spans="1:9" ht="15" customHeight="1" x14ac:dyDescent="0.2">
      <c r="B48" t="s">
        <v>866</v>
      </c>
      <c r="C48" s="71">
        <v>10000</v>
      </c>
      <c r="D48" s="77">
        <f>C48*SUP_CAPEX_PLANTA!$C$8</f>
        <v>16385</v>
      </c>
    </row>
    <row r="49" spans="2:7" ht="15" customHeight="1" x14ac:dyDescent="0.2">
      <c r="B49" t="s">
        <v>867</v>
      </c>
      <c r="C49" s="75">
        <f>SUM(D46:D48)*(1+SUP_CAPEX_PLANTA!$C$10)*(1+SUP_CAPEX_PLANTA!$C$11)</f>
        <v>189751.408</v>
      </c>
    </row>
    <row r="51" spans="2:7" ht="15" customHeight="1" x14ac:dyDescent="0.2">
      <c r="B51" s="20" t="s">
        <v>868</v>
      </c>
      <c r="C51" s="20" t="s">
        <v>689</v>
      </c>
    </row>
    <row r="52" spans="2:7" ht="15" customHeight="1" x14ac:dyDescent="0.2">
      <c r="B52" t="s">
        <v>869</v>
      </c>
      <c r="C52" s="71">
        <v>48000</v>
      </c>
      <c r="D52" s="77">
        <f>C52*SUP_CAPEX_PLANTA!$C$8</f>
        <v>78647.999999999985</v>
      </c>
    </row>
    <row r="53" spans="2:7" ht="15" customHeight="1" x14ac:dyDescent="0.2">
      <c r="B53" t="s">
        <v>870</v>
      </c>
      <c r="C53" s="71">
        <v>55000</v>
      </c>
      <c r="D53" s="77">
        <f>C53*SUP_CAPEX_PLANTA!$C$8</f>
        <v>90117.499999999985</v>
      </c>
    </row>
    <row r="54" spans="2:7" ht="15" customHeight="1" x14ac:dyDescent="0.2">
      <c r="B54" t="s">
        <v>871</v>
      </c>
      <c r="C54" s="71">
        <v>60000</v>
      </c>
      <c r="D54" s="77">
        <f>C54*SUP_CAPEX_PLANTA!$C$8</f>
        <v>98309.999999999985</v>
      </c>
    </row>
    <row r="55" spans="2:7" ht="15" customHeight="1" x14ac:dyDescent="0.2">
      <c r="B55" t="s">
        <v>872</v>
      </c>
      <c r="C55" s="71">
        <v>45000</v>
      </c>
      <c r="D55" s="77">
        <f>C55*SUP_CAPEX_PLANTA!$C$8</f>
        <v>73732.5</v>
      </c>
    </row>
    <row r="56" spans="2:7" ht="15" customHeight="1" x14ac:dyDescent="0.2">
      <c r="B56" t="s">
        <v>873</v>
      </c>
      <c r="C56" s="71">
        <v>45000</v>
      </c>
      <c r="D56" s="77">
        <f>C56*SUP_CAPEX_PLANTA!$C$8</f>
        <v>73732.5</v>
      </c>
    </row>
    <row r="57" spans="2:7" ht="15" customHeight="1" x14ac:dyDescent="0.2">
      <c r="B57" t="s">
        <v>874</v>
      </c>
      <c r="C57" s="75">
        <f>SUM(D52:D56)*(1+SUP_CAPEX_PLANTA!$C$10)*(1+SUP_CAPEX_PLANTA!$C$11)</f>
        <v>510713.89600000001</v>
      </c>
    </row>
    <row r="59" spans="2:7" x14ac:dyDescent="0.2">
      <c r="B59" s="150" t="s">
        <v>1737</v>
      </c>
      <c r="C59" s="150" t="s">
        <v>689</v>
      </c>
      <c r="D59" s="150" t="s">
        <v>863</v>
      </c>
      <c r="G59" s="23" t="s">
        <v>1744</v>
      </c>
    </row>
    <row r="60" spans="2:7" x14ac:dyDescent="0.2">
      <c r="B60" t="s">
        <v>1738</v>
      </c>
      <c r="C60" s="191">
        <v>48000</v>
      </c>
      <c r="D60" s="194">
        <f>C60*SUP_CAPEX_PLANTA!$C$8</f>
        <v>78647.999999999985</v>
      </c>
    </row>
    <row r="61" spans="2:7" x14ac:dyDescent="0.2">
      <c r="B61" t="s">
        <v>1739</v>
      </c>
      <c r="C61" s="191">
        <v>55000</v>
      </c>
      <c r="D61" s="194">
        <f>C61*SUP_CAPEX_PLANTA!$C$8</f>
        <v>90117.499999999985</v>
      </c>
    </row>
    <row r="62" spans="2:7" x14ac:dyDescent="0.2">
      <c r="B62" t="s">
        <v>1740</v>
      </c>
      <c r="C62" s="191">
        <v>60000</v>
      </c>
      <c r="D62" s="194">
        <f>C62*SUP_CAPEX_PLANTA!$C$8</f>
        <v>98309.999999999985</v>
      </c>
    </row>
    <row r="63" spans="2:7" x14ac:dyDescent="0.2">
      <c r="B63" t="s">
        <v>1741</v>
      </c>
      <c r="C63" s="191">
        <v>45000</v>
      </c>
      <c r="D63" s="194">
        <f>C63*SUP_CAPEX_PLANTA!$C$8</f>
        <v>73732.5</v>
      </c>
    </row>
    <row r="64" spans="2:7" x14ac:dyDescent="0.2">
      <c r="B64" t="s">
        <v>1742</v>
      </c>
      <c r="C64" s="191">
        <v>45000</v>
      </c>
      <c r="D64" s="194">
        <f>C64*SUP_CAPEX_PLANTA!$C$8</f>
        <v>73732.5</v>
      </c>
    </row>
    <row r="65" spans="1:9" x14ac:dyDescent="0.2">
      <c r="B65" t="s">
        <v>1743</v>
      </c>
      <c r="C65" s="221">
        <f>SUM(D60:D64)*(1+SUP_CAPEX_PLANTA!$C$10)*(1+SUP_CAPEX_PLANTA!$C$11)</f>
        <v>510713.89600000001</v>
      </c>
    </row>
    <row r="67" spans="1:9" ht="15" customHeight="1" x14ac:dyDescent="0.2">
      <c r="B67" t="s">
        <v>875</v>
      </c>
      <c r="C67" s="33">
        <v>0.85</v>
      </c>
      <c r="G67" s="23" t="s">
        <v>876</v>
      </c>
    </row>
    <row r="68" spans="1:9" ht="15" customHeight="1" x14ac:dyDescent="0.2">
      <c r="B68" t="s">
        <v>877</v>
      </c>
      <c r="C68" s="71">
        <v>2500</v>
      </c>
      <c r="G68" s="23" t="s">
        <v>878</v>
      </c>
    </row>
    <row r="70" spans="1:9" ht="15" customHeight="1" x14ac:dyDescent="0.2">
      <c r="A70" s="25" t="s">
        <v>879</v>
      </c>
      <c r="B70" s="26"/>
      <c r="C70" s="26"/>
      <c r="D70" s="26"/>
      <c r="E70" s="26"/>
      <c r="F70" s="26"/>
      <c r="G70" s="26"/>
      <c r="H70" s="26"/>
      <c r="I70" s="26"/>
    </row>
    <row r="71" spans="1:9" ht="15" customHeight="1" x14ac:dyDescent="0.2">
      <c r="B71" s="23" t="s">
        <v>880</v>
      </c>
    </row>
    <row r="72" spans="1:9" ht="15" customHeight="1" x14ac:dyDescent="0.2">
      <c r="B72" s="23" t="s">
        <v>881</v>
      </c>
    </row>
    <row r="73" spans="1:9" ht="15" customHeight="1" x14ac:dyDescent="0.2">
      <c r="B73" s="23" t="s">
        <v>882</v>
      </c>
    </row>
    <row r="74" spans="1:9" ht="15" customHeight="1" x14ac:dyDescent="0.2">
      <c r="B74" s="23" t="s">
        <v>883</v>
      </c>
    </row>
    <row r="75" spans="1:9" ht="15" customHeight="1" x14ac:dyDescent="0.2">
      <c r="B75" s="23" t="s">
        <v>884</v>
      </c>
    </row>
    <row r="77" spans="1:9" x14ac:dyDescent="0.2">
      <c r="A77" s="270" t="s">
        <v>1818</v>
      </c>
      <c r="B77" s="270"/>
    </row>
    <row r="78" spans="1:9" x14ac:dyDescent="0.2">
      <c r="A78" s="23" t="s">
        <v>1819</v>
      </c>
    </row>
    <row r="79" spans="1:9" x14ac:dyDescent="0.2">
      <c r="B79" t="s">
        <v>1820</v>
      </c>
      <c r="C79" s="264">
        <v>0.06</v>
      </c>
      <c r="G79" s="23" t="s">
        <v>1821</v>
      </c>
    </row>
    <row r="80" spans="1:9" x14ac:dyDescent="0.2">
      <c r="B80" t="s">
        <v>1822</v>
      </c>
      <c r="C80" s="265">
        <v>2</v>
      </c>
      <c r="G80" s="23" t="s">
        <v>1823</v>
      </c>
    </row>
    <row r="81" spans="2:7" x14ac:dyDescent="0.2">
      <c r="B81" t="s">
        <v>1824</v>
      </c>
      <c r="C81" s="163">
        <v>0.01</v>
      </c>
    </row>
    <row r="82" spans="2:7" x14ac:dyDescent="0.2">
      <c r="B82" t="s">
        <v>1825</v>
      </c>
      <c r="C82" s="191">
        <v>2200</v>
      </c>
    </row>
    <row r="83" spans="2:7" x14ac:dyDescent="0.2">
      <c r="B83" t="s">
        <v>1826</v>
      </c>
      <c r="C83" s="191">
        <v>45000</v>
      </c>
      <c r="G83" s="23" t="s">
        <v>1827</v>
      </c>
    </row>
    <row r="84" spans="2:7" x14ac:dyDescent="0.2">
      <c r="B84" t="s">
        <v>1828</v>
      </c>
      <c r="C84" s="265">
        <v>0</v>
      </c>
    </row>
    <row r="85" spans="2:7" x14ac:dyDescent="0.2">
      <c r="B85" t="s">
        <v>1829</v>
      </c>
      <c r="C85" s="265">
        <v>3</v>
      </c>
      <c r="G85" s="23" t="s">
        <v>1830</v>
      </c>
    </row>
    <row r="86" spans="2:7" x14ac:dyDescent="0.2">
      <c r="B86" t="s">
        <v>1831</v>
      </c>
      <c r="C86" s="265">
        <v>5</v>
      </c>
    </row>
    <row r="87" spans="2:7" x14ac:dyDescent="0.2">
      <c r="B87" t="s">
        <v>1832</v>
      </c>
      <c r="C87" s="265">
        <v>6</v>
      </c>
    </row>
    <row r="88" spans="2:7" x14ac:dyDescent="0.2">
      <c r="B88" t="s">
        <v>1833</v>
      </c>
      <c r="C88" s="194">
        <f>MAX(0,C85-C84)*$C$83</f>
        <v>135000</v>
      </c>
    </row>
    <row r="89" spans="2:7" x14ac:dyDescent="0.2">
      <c r="B89" t="s">
        <v>1834</v>
      </c>
      <c r="C89" s="194">
        <f>MAX(0,C86-C85)*$C$83</f>
        <v>90000</v>
      </c>
    </row>
    <row r="90" spans="2:7" x14ac:dyDescent="0.2">
      <c r="B90" t="s">
        <v>1835</v>
      </c>
      <c r="C90" s="194">
        <f>MAX(0,C87-C86)*$C$83</f>
        <v>45000</v>
      </c>
    </row>
    <row r="91" spans="2:7" x14ac:dyDescent="0.2">
      <c r="B91" s="150" t="s">
        <v>1931</v>
      </c>
      <c r="C91" s="266">
        <f>C49+C88+SUP_PLANTA_OPEX!$C$39</f>
        <v>342751.408</v>
      </c>
    </row>
    <row r="92" spans="2:7" x14ac:dyDescent="0.2">
      <c r="B92" s="150" t="s">
        <v>1932</v>
      </c>
      <c r="C92" s="266">
        <f>C57+C89+SUP_PLANTA_OPEX!$D$39</f>
        <v>624713.89599999995</v>
      </c>
    </row>
    <row r="93" spans="2:7" x14ac:dyDescent="0.2">
      <c r="B93" s="150" t="s">
        <v>1933</v>
      </c>
      <c r="C93" s="266">
        <f>C65+C90+SUP_PLANTA_OPEX!$E$39</f>
        <v>573713.89599999995</v>
      </c>
    </row>
  </sheetData>
  <mergeCells count="1">
    <mergeCell ref="A77:B77"/>
  </mergeCells>
  <pageMargins left="0.75" right="0.75" top="1" bottom="1" header="0.511811023622047" footer="0.511811023622047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5697A-C0B3-C448-9F9C-6A1F8AF7D899}">
  <sheetPr>
    <tabColor rgb="FF2E7D6B"/>
  </sheetPr>
  <dimension ref="A1:G47"/>
  <sheetViews>
    <sheetView showGridLines="0" topLeftCell="A11" workbookViewId="0">
      <selection activeCell="C15" sqref="C15"/>
    </sheetView>
  </sheetViews>
  <sheetFormatPr baseColWidth="10" defaultRowHeight="15" x14ac:dyDescent="0.2"/>
  <cols>
    <col min="1" max="1" width="2" customWidth="1"/>
    <col min="2" max="2" width="56.6640625" customWidth="1"/>
    <col min="3" max="6" width="13" customWidth="1"/>
    <col min="7" max="7" width="70" customWidth="1"/>
  </cols>
  <sheetData>
    <row r="1" spans="1:7" ht="16" x14ac:dyDescent="0.2">
      <c r="A1" s="151" t="s">
        <v>1865</v>
      </c>
    </row>
    <row r="2" spans="1:7" x14ac:dyDescent="0.2">
      <c r="A2" s="249" t="s">
        <v>1866</v>
      </c>
    </row>
    <row r="3" spans="1:7" x14ac:dyDescent="0.2">
      <c r="A3" s="249" t="s">
        <v>1867</v>
      </c>
    </row>
    <row r="5" spans="1:7" x14ac:dyDescent="0.2">
      <c r="A5" s="152" t="s">
        <v>1868</v>
      </c>
    </row>
    <row r="6" spans="1:7" x14ac:dyDescent="0.2">
      <c r="B6" t="s">
        <v>1869</v>
      </c>
      <c r="C6" s="191">
        <v>2000</v>
      </c>
      <c r="D6" t="s">
        <v>1956</v>
      </c>
      <c r="E6" s="191">
        <v>100</v>
      </c>
      <c r="G6" t="s">
        <v>1957</v>
      </c>
    </row>
    <row r="7" spans="1:7" x14ac:dyDescent="0.2">
      <c r="B7" t="s">
        <v>1870</v>
      </c>
      <c r="C7" s="191">
        <v>900</v>
      </c>
      <c r="D7" t="s">
        <v>1956</v>
      </c>
      <c r="E7" s="191">
        <v>35</v>
      </c>
      <c r="G7" t="s">
        <v>1958</v>
      </c>
    </row>
    <row r="8" spans="1:7" x14ac:dyDescent="0.2">
      <c r="B8" t="s">
        <v>1871</v>
      </c>
      <c r="C8" s="191">
        <v>250</v>
      </c>
      <c r="D8" t="s">
        <v>1956</v>
      </c>
      <c r="E8" s="191">
        <v>20</v>
      </c>
      <c r="G8" t="s">
        <v>1872</v>
      </c>
    </row>
    <row r="9" spans="1:7" x14ac:dyDescent="0.2">
      <c r="B9" t="s">
        <v>1959</v>
      </c>
      <c r="C9" s="251">
        <f>SUP_OPEX!$C$14</f>
        <v>0.4</v>
      </c>
      <c r="G9" s="23" t="s">
        <v>1960</v>
      </c>
    </row>
    <row r="10" spans="1:7" x14ac:dyDescent="0.2">
      <c r="A10" s="152" t="s">
        <v>1873</v>
      </c>
    </row>
    <row r="11" spans="1:7" x14ac:dyDescent="0.2">
      <c r="B11" s="156" t="s">
        <v>1874</v>
      </c>
      <c r="C11" s="156" t="s">
        <v>1875</v>
      </c>
      <c r="D11" s="156" t="s">
        <v>1876</v>
      </c>
      <c r="E11" s="156" t="s">
        <v>1877</v>
      </c>
      <c r="F11" s="156" t="s">
        <v>1878</v>
      </c>
      <c r="G11" s="277" t="s">
        <v>1879</v>
      </c>
    </row>
    <row r="12" spans="1:7" x14ac:dyDescent="0.2">
      <c r="B12" t="s">
        <v>1880</v>
      </c>
      <c r="C12" s="153">
        <v>1</v>
      </c>
      <c r="D12" s="153">
        <v>1</v>
      </c>
      <c r="E12" s="153">
        <v>1</v>
      </c>
      <c r="F12" s="153">
        <v>1</v>
      </c>
    </row>
    <row r="13" spans="1:7" x14ac:dyDescent="0.2">
      <c r="B13" t="s">
        <v>1881</v>
      </c>
      <c r="C13" s="153">
        <v>1</v>
      </c>
      <c r="D13" s="153">
        <v>1</v>
      </c>
      <c r="E13" s="153">
        <v>2</v>
      </c>
      <c r="F13" s="153">
        <v>2</v>
      </c>
      <c r="G13" t="s">
        <v>1882</v>
      </c>
    </row>
    <row r="14" spans="1:7" x14ac:dyDescent="0.2">
      <c r="B14" t="s">
        <v>1883</v>
      </c>
      <c r="C14" s="153">
        <v>12</v>
      </c>
      <c r="D14" s="153">
        <v>20</v>
      </c>
      <c r="E14" s="153">
        <v>32</v>
      </c>
      <c r="F14" s="153">
        <v>40</v>
      </c>
      <c r="G14" t="s">
        <v>1884</v>
      </c>
    </row>
    <row r="15" spans="1:7" x14ac:dyDescent="0.2">
      <c r="B15" s="150" t="s">
        <v>1885</v>
      </c>
      <c r="C15" s="195">
        <f>C12*($C$6*(1+$C$9)+$E$6)+C13*($C$7*(1+$C$9)+$E$7)+C14*($C$8*(1+$C$9)+$E$8)</f>
        <v>8635</v>
      </c>
      <c r="D15" s="195">
        <f>D12*($C$6*(1+$C$9)+$E$6)+D13*($C$7*(1+$C$9)+$E$7)+D14*($C$8*(1+$C$9)+$E$8)</f>
        <v>11595</v>
      </c>
      <c r="E15" s="195">
        <f>E12*($C$6*(1+$C$9)+$E$6)+E13*($C$7*(1+$C$9)+$E$7)+E14*($C$8*(1+$C$9)+$E$8)</f>
        <v>17330</v>
      </c>
      <c r="F15" s="195">
        <f>F12*($C$6*(1+$C$9)+$E$6)+F13*($C$7*(1+$C$9)+$E$7)+F14*($C$8*(1+$C$9)+$E$8)</f>
        <v>20290</v>
      </c>
    </row>
    <row r="17" spans="1:7" x14ac:dyDescent="0.2">
      <c r="A17" s="152" t="s">
        <v>1886</v>
      </c>
    </row>
    <row r="18" spans="1:7" x14ac:dyDescent="0.2">
      <c r="B18" t="s">
        <v>1887</v>
      </c>
      <c r="C18" s="153">
        <v>200</v>
      </c>
      <c r="D18" s="153">
        <v>350</v>
      </c>
      <c r="E18" s="153">
        <v>550</v>
      </c>
      <c r="F18" s="153">
        <v>700</v>
      </c>
      <c r="G18" t="s">
        <v>1888</v>
      </c>
    </row>
    <row r="19" spans="1:7" x14ac:dyDescent="0.2">
      <c r="B19" t="s">
        <v>1889</v>
      </c>
      <c r="C19" s="278">
        <v>5</v>
      </c>
      <c r="G19" t="s">
        <v>1890</v>
      </c>
    </row>
    <row r="20" spans="1:7" x14ac:dyDescent="0.2">
      <c r="B20" s="150" t="s">
        <v>1891</v>
      </c>
      <c r="C20" s="195">
        <f>C18*$C$19</f>
        <v>1000</v>
      </c>
      <c r="D20" s="195">
        <f>D18*$C$19</f>
        <v>1750</v>
      </c>
      <c r="E20" s="195">
        <f>E18*$C$19</f>
        <v>2750</v>
      </c>
      <c r="F20" s="195">
        <f>F18*$C$19</f>
        <v>3500</v>
      </c>
    </row>
    <row r="22" spans="1:7" x14ac:dyDescent="0.2">
      <c r="A22" s="152" t="s">
        <v>1892</v>
      </c>
    </row>
    <row r="23" spans="1:7" x14ac:dyDescent="0.2">
      <c r="B23" t="s">
        <v>1893</v>
      </c>
      <c r="C23" s="191">
        <v>600</v>
      </c>
      <c r="D23" s="191">
        <v>900</v>
      </c>
      <c r="E23" s="191">
        <v>1400</v>
      </c>
      <c r="F23" s="191">
        <v>1800</v>
      </c>
      <c r="G23" t="s">
        <v>1894</v>
      </c>
    </row>
    <row r="24" spans="1:7" x14ac:dyDescent="0.2">
      <c r="B24" t="s">
        <v>1895</v>
      </c>
      <c r="C24" s="222">
        <v>1.4999999999999999E-2</v>
      </c>
      <c r="G24" t="s">
        <v>1896</v>
      </c>
    </row>
    <row r="25" spans="1:7" x14ac:dyDescent="0.2">
      <c r="B25" t="s">
        <v>1897</v>
      </c>
      <c r="C25" s="222">
        <v>0.01</v>
      </c>
    </row>
    <row r="26" spans="1:7" x14ac:dyDescent="0.2">
      <c r="B26" s="150" t="s">
        <v>1898</v>
      </c>
      <c r="C26" s="195">
        <f>SUP_CAPEX_PLANTA!$H$27*($C$24+$C$25)/12</f>
        <v>710.08437500000002</v>
      </c>
    </row>
    <row r="28" spans="1:7" x14ac:dyDescent="0.2">
      <c r="B28" t="s">
        <v>1899</v>
      </c>
      <c r="C28" s="279">
        <v>0.01</v>
      </c>
      <c r="G28" t="s">
        <v>1900</v>
      </c>
    </row>
    <row r="29" spans="1:7" x14ac:dyDescent="0.2">
      <c r="B29" t="s">
        <v>1901</v>
      </c>
      <c r="C29" s="280">
        <v>0.01</v>
      </c>
      <c r="G29" t="s">
        <v>1902</v>
      </c>
    </row>
    <row r="30" spans="1:7" x14ac:dyDescent="0.2">
      <c r="B30" s="150" t="s">
        <v>1903</v>
      </c>
      <c r="C30" s="281">
        <f>C28+C29</f>
        <v>0.02</v>
      </c>
    </row>
    <row r="32" spans="1:7" x14ac:dyDescent="0.2">
      <c r="A32" s="152" t="s">
        <v>1904</v>
      </c>
    </row>
    <row r="33" spans="1:7" x14ac:dyDescent="0.2">
      <c r="B33" s="150" t="s">
        <v>1905</v>
      </c>
      <c r="C33" s="266">
        <f>C15+C20+C23+$C$26</f>
        <v>10945.084375</v>
      </c>
      <c r="D33" s="266">
        <f>D15+D20+D23+$C$26</f>
        <v>14955.084375</v>
      </c>
      <c r="E33" s="266">
        <f>E15+E20+E23+$C$26</f>
        <v>22190.084374999999</v>
      </c>
      <c r="F33" s="266">
        <f>F15+F20+F23+$C$26</f>
        <v>26300.084374999999</v>
      </c>
    </row>
    <row r="34" spans="1:7" x14ac:dyDescent="0.2">
      <c r="B34" t="s">
        <v>1906</v>
      </c>
      <c r="C34" s="282">
        <f>F33/(SUP_PRODUCCION!$C$42*1000*0.85)+C30</f>
        <v>7.6267095354235523E-2</v>
      </c>
      <c r="G34" t="s">
        <v>1907</v>
      </c>
    </row>
    <row r="36" spans="1:7" x14ac:dyDescent="0.2">
      <c r="A36" s="152" t="s">
        <v>1908</v>
      </c>
    </row>
    <row r="37" spans="1:7" x14ac:dyDescent="0.2">
      <c r="B37" t="s">
        <v>1909</v>
      </c>
      <c r="C37" s="191">
        <v>120</v>
      </c>
      <c r="G37" t="s">
        <v>1910</v>
      </c>
    </row>
    <row r="38" spans="1:7" x14ac:dyDescent="0.2">
      <c r="B38" s="150" t="s">
        <v>1911</v>
      </c>
      <c r="C38" s="195">
        <f>C18*$C$37</f>
        <v>24000</v>
      </c>
    </row>
    <row r="39" spans="1:7" x14ac:dyDescent="0.2">
      <c r="B39" t="s">
        <v>1912</v>
      </c>
      <c r="C39" s="194">
        <f>(D18-C18)*$C$37</f>
        <v>18000</v>
      </c>
      <c r="D39" s="194">
        <f>(E18-D18)*$C$37</f>
        <v>24000</v>
      </c>
      <c r="E39" s="194">
        <f>(F18-E18)*$C$37</f>
        <v>18000</v>
      </c>
      <c r="G39" t="s">
        <v>1913</v>
      </c>
    </row>
    <row r="41" spans="1:7" x14ac:dyDescent="0.2">
      <c r="B41" t="s">
        <v>1914</v>
      </c>
      <c r="C41" s="191">
        <v>35000</v>
      </c>
      <c r="G41" t="s">
        <v>1915</v>
      </c>
    </row>
    <row r="43" spans="1:7" x14ac:dyDescent="0.2">
      <c r="B43" t="s">
        <v>1916</v>
      </c>
      <c r="C43" s="153">
        <v>7</v>
      </c>
      <c r="G43" t="s">
        <v>1917</v>
      </c>
    </row>
    <row r="44" spans="1:7" x14ac:dyDescent="0.2">
      <c r="B44" t="s">
        <v>1918</v>
      </c>
      <c r="C44" s="153">
        <v>14</v>
      </c>
      <c r="G44" t="s">
        <v>1919</v>
      </c>
    </row>
    <row r="45" spans="1:7" x14ac:dyDescent="0.2">
      <c r="B45" s="150" t="s">
        <v>1920</v>
      </c>
      <c r="C45" s="195">
        <f>(C43+C44)/30*SUP_PRODUCCION!$C$34*1000*SUP_COSTOS!$E$19</f>
        <v>80193.75</v>
      </c>
      <c r="G45" t="s">
        <v>1921</v>
      </c>
    </row>
    <row r="47" spans="1:7" x14ac:dyDescent="0.2">
      <c r="A47" s="23" t="s">
        <v>1922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7BF29-C0A7-1446-8248-11964FC5EF9D}">
  <sheetPr>
    <tabColor rgb="FFBF8F00"/>
  </sheetPr>
  <dimension ref="B1:N184"/>
  <sheetViews>
    <sheetView showGridLines="0" workbookViewId="0">
      <selection activeCell="C30" sqref="C30"/>
    </sheetView>
  </sheetViews>
  <sheetFormatPr baseColWidth="10" defaultRowHeight="15" x14ac:dyDescent="0.2"/>
  <cols>
    <col min="1" max="1" width="3" customWidth="1"/>
    <col min="2" max="2" width="69.1640625" customWidth="1"/>
    <col min="3" max="4" width="23.1640625" customWidth="1"/>
    <col min="5" max="12" width="14.6640625" customWidth="1"/>
    <col min="13" max="13" width="3" customWidth="1"/>
    <col min="14" max="14" width="63.33203125" customWidth="1"/>
  </cols>
  <sheetData>
    <row r="1" spans="2:14" ht="19" x14ac:dyDescent="0.25">
      <c r="B1" s="177" t="s">
        <v>1665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</row>
    <row r="2" spans="2:14" x14ac:dyDescent="0.2">
      <c r="B2" s="23" t="s">
        <v>1666</v>
      </c>
    </row>
    <row r="3" spans="2:14" x14ac:dyDescent="0.2">
      <c r="B3" s="23" t="s">
        <v>1667</v>
      </c>
    </row>
    <row r="5" spans="2:14" x14ac:dyDescent="0.2">
      <c r="B5" s="180" t="s">
        <v>1668</v>
      </c>
      <c r="C5" s="181"/>
      <c r="D5" s="181"/>
      <c r="E5" s="181"/>
      <c r="F5" s="181"/>
      <c r="G5" s="181"/>
      <c r="H5" s="181"/>
      <c r="I5" s="181"/>
      <c r="J5" s="181"/>
      <c r="K5" s="181"/>
      <c r="L5" s="181"/>
      <c r="N5" s="181"/>
    </row>
    <row r="6" spans="2:14" x14ac:dyDescent="0.2">
      <c r="B6" t="s">
        <v>1669</v>
      </c>
      <c r="C6" s="182" t="str">
        <f>SUP_CONTROL!$C$7</f>
        <v>MEDIO</v>
      </c>
      <c r="N6" s="23" t="s">
        <v>1968</v>
      </c>
    </row>
    <row r="7" spans="2:14" x14ac:dyDescent="0.2">
      <c r="B7" t="s">
        <v>1670</v>
      </c>
      <c r="C7" s="183">
        <f>SUP_CONTROL!$C$8</f>
        <v>3367</v>
      </c>
    </row>
    <row r="8" spans="2:14" x14ac:dyDescent="0.2">
      <c r="B8" t="s">
        <v>1671</v>
      </c>
      <c r="C8" s="184">
        <f>CONSOLIDADO!$C$22</f>
        <v>8935738.8824999984</v>
      </c>
    </row>
    <row r="9" spans="2:14" x14ac:dyDescent="0.2">
      <c r="B9" s="150" t="s">
        <v>1672</v>
      </c>
      <c r="C9" s="185">
        <f>CONSOLIDADO!$C$23</f>
        <v>1959622.4677499998</v>
      </c>
    </row>
    <row r="10" spans="2:14" x14ac:dyDescent="0.2">
      <c r="B10" t="s">
        <v>1673</v>
      </c>
      <c r="C10" s="184">
        <f>CONSOLIDADO!$C$24</f>
        <v>6976116.4147499986</v>
      </c>
    </row>
    <row r="11" spans="2:14" x14ac:dyDescent="0.2">
      <c r="B11" s="150" t="s">
        <v>1674</v>
      </c>
      <c r="C11" s="186">
        <f>CONSOLIDADO!$C$25</f>
        <v>1227003.2854261987</v>
      </c>
      <c r="N11" s="23" t="s">
        <v>1679</v>
      </c>
    </row>
    <row r="12" spans="2:14" x14ac:dyDescent="0.2">
      <c r="B12" s="150" t="s">
        <v>1128</v>
      </c>
      <c r="C12" s="187">
        <f>CONSOLIDADO!$C$26</f>
        <v>0.36264870678155892</v>
      </c>
    </row>
    <row r="13" spans="2:14" x14ac:dyDescent="0.2">
      <c r="B13" s="150" t="s">
        <v>1255</v>
      </c>
      <c r="C13" s="188" t="str">
        <f>CONSOLIDADO!$C$28&amp;" / "&amp;CONSOLIDADO!$C$29</f>
        <v>71 / 90</v>
      </c>
    </row>
    <row r="14" spans="2:14" x14ac:dyDescent="0.2">
      <c r="B14" s="150" t="s">
        <v>1675</v>
      </c>
      <c r="C14" s="164">
        <f>CONSOLIDADO!$C$30</f>
        <v>0.62614269106386589</v>
      </c>
    </row>
    <row r="15" spans="2:14" x14ac:dyDescent="0.2">
      <c r="B15" s="150" t="s">
        <v>1676</v>
      </c>
      <c r="C15" s="186">
        <f>CONSOLIDADO!$C$65</f>
        <v>2947499.2211243054</v>
      </c>
    </row>
    <row r="16" spans="2:14" x14ac:dyDescent="0.2">
      <c r="B16" s="150" t="s">
        <v>1677</v>
      </c>
      <c r="C16" s="188" t="str">
        <f>CONSOLIDADO!$C$33&amp;" PDV · "&amp;TEXT(CONSOLIDADO!$C$34,"#,##0")&amp;" t/mes"</f>
        <v>50 PDV · 326 t/mes</v>
      </c>
    </row>
    <row r="17" spans="2:14" x14ac:dyDescent="0.2">
      <c r="B17" s="150" t="s">
        <v>1678</v>
      </c>
      <c r="C17" s="189">
        <f>SUP_PRECIOS!$C$26</f>
        <v>0.46739872338260452</v>
      </c>
    </row>
    <row r="19" spans="2:14" x14ac:dyDescent="0.2">
      <c r="B19" s="180" t="s">
        <v>1680</v>
      </c>
      <c r="C19" s="181"/>
      <c r="D19" s="181"/>
      <c r="E19" s="181"/>
      <c r="F19" s="181"/>
      <c r="G19" s="181"/>
      <c r="H19" s="181"/>
      <c r="I19" s="181"/>
      <c r="J19" s="181"/>
      <c r="K19" s="181"/>
      <c r="L19" s="181"/>
      <c r="N19" s="181"/>
    </row>
    <row r="20" spans="2:14" x14ac:dyDescent="0.2">
      <c r="B20" s="196" t="s">
        <v>1681</v>
      </c>
      <c r="C20" s="197" t="str">
        <f>"BÁSICO"&amp;IF(SUP_CONTROL!$C$6=1," ◀ activo","")</f>
        <v>BÁSICO</v>
      </c>
      <c r="D20" s="197" t="str">
        <f>"MEDIO"&amp;IF(SUP_CONTROL!$C$6=2," ◀ activo","")</f>
        <v>MEDIO ◀ activo</v>
      </c>
      <c r="E20" s="197" t="str">
        <f>"ALTO"&amp;IF(SUP_CONTROL!$C$6=3," ◀ activo","")</f>
        <v>ALTO</v>
      </c>
      <c r="N20" s="23" t="s">
        <v>1955</v>
      </c>
    </row>
    <row r="21" spans="2:14" x14ac:dyDescent="0.2">
      <c r="B21" s="198" t="s">
        <v>1682</v>
      </c>
      <c r="C21" s="199">
        <f>SUP_VOLUMEN!C16</f>
        <v>2946</v>
      </c>
      <c r="D21" s="199">
        <f>SUP_VOLUMEN!D16</f>
        <v>3367</v>
      </c>
      <c r="E21" s="199">
        <f>SUP_VOLUMEN!E16</f>
        <v>4209</v>
      </c>
    </row>
    <row r="22" spans="2:14" x14ac:dyDescent="0.2">
      <c r="B22" s="198" t="s">
        <v>1251</v>
      </c>
      <c r="C22" s="199">
        <f>IF(SUP_CONTROL!$C$6=1,CONSOLIDADO!$C$33,50)</f>
        <v>50</v>
      </c>
      <c r="D22" s="199">
        <f>IF(SUP_CONTROL!$C$6=2,CONSOLIDADO!$C$33,50)</f>
        <v>50</v>
      </c>
      <c r="E22" s="199">
        <f>IF(SUP_CONTROL!$C$6=3,CONSOLIDADO!$C$33,50)</f>
        <v>50</v>
      </c>
    </row>
    <row r="23" spans="2:14" x14ac:dyDescent="0.2">
      <c r="B23" s="198" t="s">
        <v>1683</v>
      </c>
      <c r="C23" s="199">
        <f>IF(SUP_CONTROL!$C$6=1,CONSOLIDADO!$C$34,292)</f>
        <v>292</v>
      </c>
      <c r="D23" s="199">
        <f>IF(SUP_CONTROL!$C$6=2,CONSOLIDADO!$C$34,334)</f>
        <v>326.24883199999988</v>
      </c>
      <c r="E23" s="199">
        <f>IF(SUP_CONTROL!$C$6=3,CONSOLIDADO!$C$34,418)</f>
        <v>418</v>
      </c>
    </row>
    <row r="24" spans="2:14" x14ac:dyDescent="0.2">
      <c r="B24" s="198" t="s">
        <v>1684</v>
      </c>
      <c r="C24" s="200">
        <f>C23*12</f>
        <v>3504</v>
      </c>
      <c r="D24" s="200">
        <f>D23*12</f>
        <v>3914.9859839999986</v>
      </c>
      <c r="E24" s="200">
        <f>E23*12</f>
        <v>5016</v>
      </c>
    </row>
    <row r="25" spans="2:14" x14ac:dyDescent="0.2">
      <c r="B25" s="198" t="s">
        <v>1685</v>
      </c>
      <c r="C25" s="201">
        <f>IF(SUP_CONTROL!$C$6=1,CAPA3_DASHBOARD!C$18,3117888)</f>
        <v>3117888</v>
      </c>
      <c r="D25" s="201">
        <f>IF(SUP_CONTROL!$C$6=2,CAPA3_DASHBOARD!C$18,3563452)</f>
        <v>3054168.7086127447</v>
      </c>
      <c r="E25" s="201">
        <f>IF(SUP_CONTROL!$C$6=3,CAPA3_DASHBOARD!C$18,4454579)</f>
        <v>4454579</v>
      </c>
    </row>
    <row r="26" spans="2:14" x14ac:dyDescent="0.2">
      <c r="B26" s="198" t="s">
        <v>1686</v>
      </c>
      <c r="C26" s="201">
        <f>IF(SUP_CONTROL!$C$6=1,CAPA3_DASHBOARD!G$18,12158853)</f>
        <v>12158853</v>
      </c>
      <c r="D26" s="201">
        <f>IF(SUP_CONTROL!$C$6=2,CAPA3_DASHBOARD!G$18,15403825)</f>
        <v>14420146.459296852</v>
      </c>
      <c r="E26" s="201">
        <f>IF(SUP_CONTROL!$C$6=3,CAPA3_DASHBOARD!G$18,24233811)</f>
        <v>24233811</v>
      </c>
    </row>
    <row r="27" spans="2:14" x14ac:dyDescent="0.2">
      <c r="B27" s="198" t="s">
        <v>1687</v>
      </c>
      <c r="C27" s="201">
        <f>IF(SUP_CONTROL!$C$6=1,CAPA3_DASHBOARD!L$18,22805735)</f>
        <v>22805735</v>
      </c>
      <c r="D27" s="201">
        <f>IF(SUP_CONTROL!$C$6=2,CAPA3_DASHBOARD!L$18,26064803)</f>
        <v>25404111.698096316</v>
      </c>
      <c r="E27" s="201">
        <f>IF(SUP_CONTROL!$C$6=3,CAPA3_DASHBOARD!L$18,32582939)</f>
        <v>32582939</v>
      </c>
    </row>
    <row r="28" spans="2:14" x14ac:dyDescent="0.2">
      <c r="B28" s="198" t="s">
        <v>1688</v>
      </c>
      <c r="C28" s="201">
        <f>IF(SUP_CONTROL!$C$6=1,CAPA3_DASHBOARD!L$19,3817063)</f>
        <v>3817063</v>
      </c>
      <c r="D28" s="201">
        <f>IF(SUP_CONTROL!$C$6=2,CAPA3_DASHBOARD!L$19,4775699)</f>
        <v>4765603.7050963081</v>
      </c>
      <c r="E28" s="201">
        <f>IF(SUP_CONTROL!$C$6=3,CAPA3_DASHBOARD!L$19,6904412)</f>
        <v>6904412</v>
      </c>
    </row>
    <row r="29" spans="2:14" x14ac:dyDescent="0.2">
      <c r="B29" s="198" t="s">
        <v>1689</v>
      </c>
      <c r="C29" s="201">
        <f>IF(SUP_CONTROL!$C$6=1,CONSOLIDADO!$C$22,8793596)</f>
        <v>8793596</v>
      </c>
      <c r="D29" s="201">
        <f>IF(SUP_CONTROL!$C$6=2,CONSOLIDADO!$C$22,9367310)</f>
        <v>8935738.8824999984</v>
      </c>
      <c r="E29" s="201">
        <f>IF(SUP_CONTROL!$C$6=3,CONSOLIDADO!$C$22,9367310)</f>
        <v>9367310</v>
      </c>
    </row>
    <row r="30" spans="2:14" x14ac:dyDescent="0.2">
      <c r="B30" s="198" t="s">
        <v>1690</v>
      </c>
      <c r="C30" s="202">
        <f>IF(SUP_CONTROL!$C$6=1,CONSOLIDADO!$C$23,2493896)</f>
        <v>2493896</v>
      </c>
      <c r="D30" s="202">
        <f>IF(SUP_CONTROL!$C$6=2,CONSOLIDADO!$C$23,2493896)</f>
        <v>1959622.4677499998</v>
      </c>
      <c r="E30" s="202">
        <f>IF(SUP_CONTROL!$C$6=3,CONSOLIDADO!$C$23,2493896)</f>
        <v>2493896</v>
      </c>
      <c r="N30" s="23" t="s">
        <v>1694</v>
      </c>
    </row>
    <row r="31" spans="2:14" x14ac:dyDescent="0.2">
      <c r="B31" s="198" t="s">
        <v>1691</v>
      </c>
      <c r="C31" s="201">
        <f>IF(SUP_CONTROL!$C$6=1,CONSOLIDADO!$C$24,6299701)</f>
        <v>6299701</v>
      </c>
      <c r="D31" s="201">
        <f>IF(SUP_CONTROL!$C$6=2,CONSOLIDADO!$C$24,6873414)</f>
        <v>6976116.4147499986</v>
      </c>
      <c r="E31" s="201">
        <f>IF(SUP_CONTROL!$C$6=3,CONSOLIDADO!$C$24,6873414)</f>
        <v>6873414</v>
      </c>
    </row>
    <row r="32" spans="2:14" x14ac:dyDescent="0.2">
      <c r="B32" s="198" t="s">
        <v>955</v>
      </c>
      <c r="C32" s="203">
        <f>IF(SUP_CONTROL!$C$6=1,CONSOLIDADO!$C$25,-296748)</f>
        <v>-296748</v>
      </c>
      <c r="D32" s="203">
        <f>IF(SUP_CONTROL!$C$6=2,CONSOLIDADO!$C$25,818368)</f>
        <v>1227003.2854261987</v>
      </c>
      <c r="E32" s="203">
        <f>IF(SUP_CONTROL!$C$6=3,CONSOLIDADO!$C$25,3564063)</f>
        <v>3564063</v>
      </c>
      <c r="N32" s="23" t="s">
        <v>1695</v>
      </c>
    </row>
    <row r="33" spans="2:14" x14ac:dyDescent="0.2">
      <c r="B33" s="198" t="s">
        <v>1692</v>
      </c>
      <c r="C33" s="204">
        <f>IF(SUP_CONTROL!$C$6=1,CONSOLIDADO!$C$26,0.223)</f>
        <v>0.223</v>
      </c>
      <c r="D33" s="204">
        <f>IF(SUP_CONTROL!$C$6=2,CONSOLIDADO!$C$26,0.315)</f>
        <v>0.36264870678155892</v>
      </c>
      <c r="E33" s="204">
        <f>IF(SUP_CONTROL!$C$6=3,CONSOLIDADO!$C$26,0.49)</f>
        <v>0.49</v>
      </c>
    </row>
    <row r="34" spans="2:14" x14ac:dyDescent="0.2">
      <c r="B34" s="198" t="s">
        <v>1255</v>
      </c>
      <c r="C34" s="205" t="str">
        <f>IF(SUP_CONTROL!$C$6=1,CONSOLIDADO!$C$28&amp;" / "&amp;CONSOLIDADO!$C$29,"87 / no recupera")</f>
        <v>87 / no recupera</v>
      </c>
      <c r="D34" s="205" t="str">
        <f>IF(SUP_CONTROL!$C$6=2,CONSOLIDADO!$C$28&amp;" / "&amp;CONSOLIDADO!$C$29,"74 / 99")</f>
        <v>71 / 90</v>
      </c>
      <c r="E34" s="205" t="str">
        <f>IF(SUP_CONTROL!$C$6=3,CONSOLIDADO!$C$28&amp;" / "&amp;CONSOLIDADO!$C$29,"54 / 70")</f>
        <v>54 / 70</v>
      </c>
    </row>
    <row r="35" spans="2:14" x14ac:dyDescent="0.2">
      <c r="B35" s="206" t="s">
        <v>1693</v>
      </c>
      <c r="C35" s="207">
        <f>IF(SUP_CONTROL!$C$6=1,CONSOLIDADO!$C$65,1105948)</f>
        <v>1105948</v>
      </c>
      <c r="D35" s="207">
        <f>IF(SUP_CONTROL!$C$6=2,CONSOLIDADO!$C$65,2548932)</f>
        <v>2947499.2211243054</v>
      </c>
      <c r="E35" s="207">
        <f>IF(SUP_CONTROL!$C$6=3,CONSOLIDADO!$C$65,6000904)</f>
        <v>6000904</v>
      </c>
    </row>
    <row r="37" spans="2:14" x14ac:dyDescent="0.2">
      <c r="B37" s="180" t="s">
        <v>1696</v>
      </c>
      <c r="C37" s="181"/>
      <c r="D37" s="181"/>
      <c r="E37" s="181"/>
      <c r="F37" s="181"/>
      <c r="G37" s="181"/>
      <c r="H37" s="181"/>
      <c r="I37" s="181"/>
      <c r="J37" s="181"/>
      <c r="K37" s="181"/>
      <c r="L37" s="181"/>
      <c r="N37" s="181"/>
    </row>
    <row r="38" spans="2:14" x14ac:dyDescent="0.2">
      <c r="B38" s="196" t="s">
        <v>1697</v>
      </c>
      <c r="C38" s="197">
        <v>1</v>
      </c>
      <c r="D38" s="197">
        <v>2</v>
      </c>
      <c r="E38" s="197">
        <v>3</v>
      </c>
      <c r="F38" s="197">
        <v>4</v>
      </c>
      <c r="G38" s="197">
        <v>5</v>
      </c>
      <c r="H38" s="197">
        <v>6</v>
      </c>
      <c r="I38" s="197">
        <v>7</v>
      </c>
      <c r="J38" s="197">
        <v>8</v>
      </c>
      <c r="K38" s="197">
        <v>9</v>
      </c>
      <c r="L38" s="197">
        <v>10</v>
      </c>
    </row>
    <row r="39" spans="2:14" x14ac:dyDescent="0.2">
      <c r="B39" s="198" t="s">
        <v>1698</v>
      </c>
      <c r="C39" s="200">
        <f>IF(SUP_CONTROL!$C$6=1,CAPA3_DASHBOARD!C$22,40)</f>
        <v>40</v>
      </c>
      <c r="D39" s="200">
        <f>IF(SUP_CONTROL!$C$6=1,CAPA3_DASHBOARD!D$22,80)</f>
        <v>80</v>
      </c>
      <c r="E39" s="200">
        <f>IF(SUP_CONTROL!$C$6=1,CAPA3_DASHBOARD!E$22,93)</f>
        <v>93</v>
      </c>
      <c r="F39" s="200">
        <f>IF(SUP_CONTROL!$C$6=1,CAPA3_DASHBOARD!F$22,125)</f>
        <v>125</v>
      </c>
      <c r="G39" s="200">
        <f>IF(SUP_CONTROL!$C$6=1,CAPA3_DASHBOARD!G$22,156)</f>
        <v>156</v>
      </c>
      <c r="H39" s="200">
        <f>IF(SUP_CONTROL!$C$6=1,CAPA3_DASHBOARD!H$22,189)</f>
        <v>189</v>
      </c>
      <c r="I39" s="200">
        <f>IF(SUP_CONTROL!$C$6=1,CAPA3_DASHBOARD!I$22,244)</f>
        <v>244</v>
      </c>
      <c r="J39" s="200">
        <f>IF(SUP_CONTROL!$C$6=1,CAPA3_DASHBOARD!J$22,288)</f>
        <v>288</v>
      </c>
      <c r="K39" s="200">
        <f>IF(SUP_CONTROL!$C$6=1,CAPA3_DASHBOARD!K$22,292)</f>
        <v>292</v>
      </c>
      <c r="L39" s="200">
        <f>IF(SUP_CONTROL!$C$6=1,CAPA3_DASHBOARD!L$22,292)</f>
        <v>292</v>
      </c>
      <c r="N39" s="23" t="s">
        <v>1746</v>
      </c>
    </row>
    <row r="40" spans="2:14" x14ac:dyDescent="0.2">
      <c r="B40" s="198" t="s">
        <v>1699</v>
      </c>
      <c r="C40" s="200">
        <f>IF(SUP_CONTROL!$C$6=2,CAPA3_DASHBOARD!C$22,45)</f>
        <v>39.222744166666665</v>
      </c>
      <c r="D40" s="200">
        <f>IF(SUP_CONTROL!$C$6=2,CAPA3_DASHBOARD!D$22,88)</f>
        <v>82.968491666666679</v>
      </c>
      <c r="E40" s="200">
        <f>IF(SUP_CONTROL!$C$6=2,CAPA3_DASHBOARD!E$22,114)</f>
        <v>106.19118168750002</v>
      </c>
      <c r="F40" s="200">
        <f>IF(SUP_CONTROL!$C$6=2,CAPA3_DASHBOARD!F$22,163)</f>
        <v>154.59786728750001</v>
      </c>
      <c r="G40" s="200">
        <f>IF(SUP_CONTROL!$C$6=2,CAPA3_DASHBOARD!G$22,197)</f>
        <v>185.18875981666667</v>
      </c>
      <c r="H40" s="200">
        <f>IF(SUP_CONTROL!$C$6=2,CAPA3_DASHBOARD!H$22,267)</f>
        <v>254.48825561250001</v>
      </c>
      <c r="I40" s="200">
        <f>IF(SUP_CONTROL!$C$6=2,CAPA3_DASHBOARD!I$22,327)</f>
        <v>318.4467634833332</v>
      </c>
      <c r="J40" s="200">
        <f>IF(SUP_CONTROL!$C$6=2,CAPA3_DASHBOARD!J$22,334)</f>
        <v>326.24883199999988</v>
      </c>
      <c r="K40" s="200">
        <f>IF(SUP_CONTROL!$C$6=2,CAPA3_DASHBOARD!K$22,334)</f>
        <v>326.24883199999988</v>
      </c>
      <c r="L40" s="200">
        <f>IF(SUP_CONTROL!$C$6=2,CAPA3_DASHBOARD!L$22,334)</f>
        <v>326.24883199999988</v>
      </c>
    </row>
    <row r="41" spans="2:14" x14ac:dyDescent="0.2">
      <c r="B41" s="198" t="s">
        <v>1700</v>
      </c>
      <c r="C41" s="200">
        <f>IF(SUP_CONTROL!$C$6=3,CAPA3_DASHBOARD!C$22,57)</f>
        <v>57</v>
      </c>
      <c r="D41" s="200">
        <f>IF(SUP_CONTROL!$C$6=3,CAPA3_DASHBOARD!D$22,113)</f>
        <v>113</v>
      </c>
      <c r="E41" s="200">
        <f>IF(SUP_CONTROL!$C$6=3,CAPA3_DASHBOARD!E$22,165)</f>
        <v>165</v>
      </c>
      <c r="F41" s="200">
        <f>IF(SUP_CONTROL!$C$6=3,CAPA3_DASHBOARD!F$22,221)</f>
        <v>221</v>
      </c>
      <c r="G41" s="200">
        <f>IF(SUP_CONTROL!$C$6=3,CAPA3_DASHBOARD!G$22,310)</f>
        <v>310</v>
      </c>
      <c r="H41" s="200">
        <f>IF(SUP_CONTROL!$C$6=3,CAPA3_DASHBOARD!H$22,392)</f>
        <v>392</v>
      </c>
      <c r="I41" s="200">
        <f>IF(SUP_CONTROL!$C$6=3,CAPA3_DASHBOARD!I$22,418)</f>
        <v>418</v>
      </c>
      <c r="J41" s="200">
        <f>IF(SUP_CONTROL!$C$6=3,CAPA3_DASHBOARD!J$22,418)</f>
        <v>418</v>
      </c>
      <c r="K41" s="200">
        <f>IF(SUP_CONTROL!$C$6=3,CAPA3_DASHBOARD!K$22,418)</f>
        <v>418</v>
      </c>
      <c r="L41" s="200">
        <f>IF(SUP_CONTROL!$C$6=3,CAPA3_DASHBOARD!L$22,418)</f>
        <v>418</v>
      </c>
    </row>
    <row r="42" spans="2:14" x14ac:dyDescent="0.2">
      <c r="B42" s="208"/>
      <c r="C42" s="200"/>
      <c r="D42" s="200"/>
      <c r="E42" s="200"/>
      <c r="F42" s="200"/>
      <c r="G42" s="200"/>
      <c r="H42" s="200"/>
      <c r="I42" s="200"/>
      <c r="J42" s="200"/>
      <c r="K42" s="200"/>
      <c r="L42" s="200"/>
    </row>
    <row r="43" spans="2:14" x14ac:dyDescent="0.2">
      <c r="B43" s="198" t="s">
        <v>1701</v>
      </c>
      <c r="C43" s="200">
        <f>C39*12</f>
        <v>480</v>
      </c>
      <c r="D43" s="200">
        <f>D39*12</f>
        <v>960</v>
      </c>
      <c r="E43" s="200">
        <f>E39*12</f>
        <v>1116</v>
      </c>
      <c r="F43" s="200">
        <f>F39*12</f>
        <v>1500</v>
      </c>
      <c r="G43" s="200">
        <f>G39*12</f>
        <v>1872</v>
      </c>
      <c r="H43" s="200">
        <f>H39*12</f>
        <v>2268</v>
      </c>
      <c r="I43" s="200">
        <f>I39*12</f>
        <v>2928</v>
      </c>
      <c r="J43" s="200">
        <f>J39*12</f>
        <v>3456</v>
      </c>
      <c r="K43" s="200">
        <f>K39*12</f>
        <v>3504</v>
      </c>
      <c r="L43" s="200">
        <f>L39*12</f>
        <v>3504</v>
      </c>
    </row>
    <row r="44" spans="2:14" x14ac:dyDescent="0.2">
      <c r="B44" s="198" t="s">
        <v>1702</v>
      </c>
      <c r="C44" s="200">
        <f>C40*12</f>
        <v>470.67292999999995</v>
      </c>
      <c r="D44" s="200">
        <f>D40*12</f>
        <v>995.6219000000001</v>
      </c>
      <c r="E44" s="200">
        <f>E40*12</f>
        <v>1274.2941802500002</v>
      </c>
      <c r="F44" s="200">
        <f>F40*12</f>
        <v>1855.1744074500002</v>
      </c>
      <c r="G44" s="200">
        <f>G40*12</f>
        <v>2222.2651178000001</v>
      </c>
      <c r="H44" s="200">
        <f>H40*12</f>
        <v>3053.8590673500003</v>
      </c>
      <c r="I44" s="200">
        <f>I40*12</f>
        <v>3821.3611617999986</v>
      </c>
      <c r="J44" s="200">
        <f>J40*12</f>
        <v>3914.9859839999986</v>
      </c>
      <c r="K44" s="200">
        <f>K40*12</f>
        <v>3914.9859839999986</v>
      </c>
      <c r="L44" s="200">
        <f>L40*12</f>
        <v>3914.9859839999986</v>
      </c>
    </row>
    <row r="45" spans="2:14" x14ac:dyDescent="0.2">
      <c r="B45" s="206" t="s">
        <v>1703</v>
      </c>
      <c r="C45" s="209">
        <f>C41*12</f>
        <v>684</v>
      </c>
      <c r="D45" s="209">
        <f>D41*12</f>
        <v>1356</v>
      </c>
      <c r="E45" s="209">
        <f>E41*12</f>
        <v>1980</v>
      </c>
      <c r="F45" s="209">
        <f>F41*12</f>
        <v>2652</v>
      </c>
      <c r="G45" s="209">
        <f>G41*12</f>
        <v>3720</v>
      </c>
      <c r="H45" s="209">
        <f>H41*12</f>
        <v>4704</v>
      </c>
      <c r="I45" s="209">
        <f>I41*12</f>
        <v>5016</v>
      </c>
      <c r="J45" s="209">
        <f>J41*12</f>
        <v>5016</v>
      </c>
      <c r="K45" s="209">
        <f>K41*12</f>
        <v>5016</v>
      </c>
      <c r="L45" s="209">
        <f>L41*12</f>
        <v>5016</v>
      </c>
    </row>
    <row r="47" spans="2:14" x14ac:dyDescent="0.2">
      <c r="B47" s="180" t="s">
        <v>1704</v>
      </c>
      <c r="C47" s="181"/>
      <c r="D47" s="181"/>
      <c r="E47" s="181"/>
      <c r="F47" s="181"/>
      <c r="G47" s="181"/>
      <c r="H47" s="181"/>
      <c r="I47" s="181"/>
      <c r="J47" s="181"/>
      <c r="K47" s="181"/>
      <c r="L47" s="181"/>
      <c r="N47" s="181"/>
    </row>
    <row r="48" spans="2:14" x14ac:dyDescent="0.2">
      <c r="B48" s="196" t="s">
        <v>1705</v>
      </c>
      <c r="C48" s="197">
        <v>1</v>
      </c>
      <c r="D48" s="197">
        <v>2</v>
      </c>
      <c r="E48" s="197">
        <v>3</v>
      </c>
      <c r="F48" s="197">
        <v>4</v>
      </c>
      <c r="G48" s="197">
        <v>5</v>
      </c>
      <c r="H48" s="197">
        <v>6</v>
      </c>
      <c r="I48" s="197">
        <v>7</v>
      </c>
      <c r="J48" s="197">
        <v>8</v>
      </c>
      <c r="K48" s="197">
        <v>9</v>
      </c>
      <c r="L48" s="197">
        <v>10</v>
      </c>
    </row>
    <row r="49" spans="2:14" x14ac:dyDescent="0.2">
      <c r="B49" s="198" t="s">
        <v>1706</v>
      </c>
      <c r="C49" s="210">
        <f>IF(SUP_CONTROL!$C$6=1,CAPA3_DASHBOARD!C$18,3117888)</f>
        <v>3117888</v>
      </c>
      <c r="D49" s="210">
        <f>IF(SUP_CONTROL!$C$6=1,CAPA3_DASHBOARD!D$18,6296948)</f>
        <v>6296948</v>
      </c>
      <c r="E49" s="210">
        <f>IF(SUP_CONTROL!$C$6=1,CAPA3_DASHBOARD!E$18,7316632)</f>
        <v>7316632</v>
      </c>
      <c r="F49" s="210">
        <f>IF(SUP_CONTROL!$C$6=1,CAPA3_DASHBOARD!F$18,9812864)</f>
        <v>9812864</v>
      </c>
      <c r="G49" s="210">
        <f>IF(SUP_CONTROL!$C$6=1,CAPA3_DASHBOARD!G$18,12158853)</f>
        <v>12158853</v>
      </c>
      <c r="H49" s="210">
        <f>IF(SUP_CONTROL!$C$6=1,CAPA3_DASHBOARD!H$18,14762330)</f>
        <v>14762330</v>
      </c>
      <c r="I49" s="210">
        <f>IF(SUP_CONTROL!$C$6=1,CAPA3_DASHBOARD!I$18,19032010)</f>
        <v>19032010</v>
      </c>
      <c r="J49" s="210">
        <f>IF(SUP_CONTROL!$C$6=1,CAPA3_DASHBOARD!J$18,22490200)</f>
        <v>22490200</v>
      </c>
      <c r="K49" s="210">
        <f>IF(SUP_CONTROL!$C$6=1,CAPA3_DASHBOARD!K$18,22805735)</f>
        <v>22805735</v>
      </c>
      <c r="L49" s="210">
        <f>IF(SUP_CONTROL!$C$6=1,CAPA3_DASHBOARD!L$18,22805735)</f>
        <v>22805735</v>
      </c>
      <c r="N49" s="23" t="s">
        <v>1747</v>
      </c>
    </row>
    <row r="50" spans="2:14" x14ac:dyDescent="0.2">
      <c r="B50" s="198" t="s">
        <v>1707</v>
      </c>
      <c r="C50" s="210">
        <f>IF(SUP_CONTROL!$C$6=2,CAPA3_DASHBOARD!C$18,3563452)</f>
        <v>3054168.7086127447</v>
      </c>
      <c r="D50" s="210">
        <f>IF(SUP_CONTROL!$C$6=2,CAPA3_DASHBOARD!D$18,6880018)</f>
        <v>6460531.4195349347</v>
      </c>
      <c r="E50" s="210">
        <f>IF(SUP_CONTROL!$C$6=2,CAPA3_DASHBOARD!E$18,8925304)</f>
        <v>8268819.3070438085</v>
      </c>
      <c r="F50" s="210">
        <f>IF(SUP_CONTROL!$C$6=2,CAPA3_DASHBOARD!F$18,12728796)</f>
        <v>12038116.62645009</v>
      </c>
      <c r="G50" s="210">
        <f>IF(SUP_CONTROL!$C$6=2,CAPA3_DASHBOARD!G$18,15403825)</f>
        <v>14420146.459296852</v>
      </c>
      <c r="H50" s="210">
        <f>IF(SUP_CONTROL!$C$6=2,CAPA3_DASHBOARD!H$18,20876622)</f>
        <v>19816310.243322622</v>
      </c>
      <c r="I50" s="210">
        <f>IF(SUP_CONTROL!$C$6=2,CAPA3_DASHBOARD!I$18,25537189)</f>
        <v>24796585.783417795</v>
      </c>
      <c r="J50" s="210">
        <f>IF(SUP_CONTROL!$C$6=2,CAPA3_DASHBOARD!J$18,26064803)</f>
        <v>25404111.698096316</v>
      </c>
      <c r="K50" s="210">
        <f>IF(SUP_CONTROL!$C$6=2,CAPA3_DASHBOARD!K$18,26064803)</f>
        <v>25404111.698096316</v>
      </c>
      <c r="L50" s="210">
        <f>IF(SUP_CONTROL!$C$6=2,CAPA3_DASHBOARD!L$18,26064803)</f>
        <v>25404111.698096316</v>
      </c>
    </row>
    <row r="51" spans="2:14" x14ac:dyDescent="0.2">
      <c r="B51" s="198" t="s">
        <v>1708</v>
      </c>
      <c r="C51" s="210">
        <f>IF(SUP_CONTROL!$C$6=3,CAPA3_DASHBOARD!C$18,4454579)</f>
        <v>4454579</v>
      </c>
      <c r="D51" s="210">
        <f>IF(SUP_CONTROL!$C$6=3,CAPA3_DASHBOARD!D$18,8901238)</f>
        <v>8901238</v>
      </c>
      <c r="E51" s="210">
        <f>IF(SUP_CONTROL!$C$6=3,CAPA3_DASHBOARD!E$18,12918837)</f>
        <v>12918837</v>
      </c>
      <c r="F51" s="210">
        <f>IF(SUP_CONTROL!$C$6=3,CAPA3_DASHBOARD!F$18,17310402)</f>
        <v>17310402</v>
      </c>
      <c r="G51" s="210">
        <f>IF(SUP_CONTROL!$C$6=3,CAPA3_DASHBOARD!G$18,24233811)</f>
        <v>24233811</v>
      </c>
      <c r="H51" s="210">
        <f>IF(SUP_CONTROL!$C$6=3,CAPA3_DASHBOARD!H$18,30579294)</f>
        <v>30579294</v>
      </c>
      <c r="I51" s="210">
        <f>IF(SUP_CONTROL!$C$6=3,CAPA3_DASHBOARD!I$18,32582939)</f>
        <v>32582939</v>
      </c>
      <c r="J51" s="210">
        <f>IF(SUP_CONTROL!$C$6=3,CAPA3_DASHBOARD!J$18,32582939)</f>
        <v>32582939</v>
      </c>
      <c r="K51" s="210">
        <f>IF(SUP_CONTROL!$C$6=3,CAPA3_DASHBOARD!K$18,32582939)</f>
        <v>32582939</v>
      </c>
      <c r="L51" s="210">
        <f>IF(SUP_CONTROL!$C$6=3,CAPA3_DASHBOARD!L$18,32582939)</f>
        <v>32582939</v>
      </c>
    </row>
    <row r="52" spans="2:14" x14ac:dyDescent="0.2">
      <c r="B52" s="198" t="s">
        <v>1709</v>
      </c>
      <c r="C52" s="210">
        <f>IF(SUP_CONTROL!$C$6=1,CAPA3_DASHBOARD!C$19,285954)</f>
        <v>285954</v>
      </c>
      <c r="D52" s="210">
        <f>IF(SUP_CONTROL!$C$6=1,CAPA3_DASHBOARD!D$19,850413)</f>
        <v>850413</v>
      </c>
      <c r="E52" s="210">
        <f>IF(SUP_CONTROL!$C$6=1,CAPA3_DASHBOARD!E$19,1011773)</f>
        <v>1011773</v>
      </c>
      <c r="F52" s="210">
        <f>IF(SUP_CONTROL!$C$6=1,CAPA3_DASHBOARD!F$19,1520006)</f>
        <v>1520006</v>
      </c>
      <c r="G52" s="210">
        <f>IF(SUP_CONTROL!$C$6=1,CAPA3_DASHBOARD!G$19,1942513)</f>
        <v>1942513</v>
      </c>
      <c r="H52" s="210">
        <f>IF(SUP_CONTROL!$C$6=1,CAPA3_DASHBOARD!H$19,2291281)</f>
        <v>2291281</v>
      </c>
      <c r="I52" s="210">
        <f>IF(SUP_CONTROL!$C$6=1,CAPA3_DASHBOARD!I$19,3127409)</f>
        <v>3127409</v>
      </c>
      <c r="J52" s="210">
        <f>IF(SUP_CONTROL!$C$6=1,CAPA3_DASHBOARD!J$19,3740919)</f>
        <v>3740919</v>
      </c>
      <c r="K52" s="210">
        <f>IF(SUP_CONTROL!$C$6=1,CAPA3_DASHBOARD!K$19,3817063)</f>
        <v>3817063</v>
      </c>
      <c r="L52" s="210">
        <f>IF(SUP_CONTROL!$C$6=1,CAPA3_DASHBOARD!L$19,3817063)</f>
        <v>3817063</v>
      </c>
    </row>
    <row r="53" spans="2:14" x14ac:dyDescent="0.2">
      <c r="B53" s="198" t="s">
        <v>1710</v>
      </c>
      <c r="C53" s="210">
        <f>IF(SUP_CONTROL!$C$6=2,CAPA3_DASHBOARD!C$19,411052)</f>
        <v>394476.1871012685</v>
      </c>
      <c r="D53" s="210">
        <f>IF(SUP_CONTROL!$C$6=2,CAPA3_DASHBOARD!D$19,995836)</f>
        <v>1103745.81914057</v>
      </c>
      <c r="E53" s="210">
        <f>IF(SUP_CONTROL!$C$6=2,CAPA3_DASHBOARD!E$19,1429176)</f>
        <v>1442578.7574944182</v>
      </c>
      <c r="F53" s="210">
        <f>IF(SUP_CONTROL!$C$6=2,CAPA3_DASHBOARD!F$19,2233226)</f>
        <v>2234201.6044426654</v>
      </c>
      <c r="G53" s="210">
        <f>IF(SUP_CONTROL!$C$6=2,CAPA3_DASHBOARD!G$19,2627804)</f>
        <v>2566007.84343349</v>
      </c>
      <c r="H53" s="210">
        <f>IF(SUP_CONTROL!$C$6=2,CAPA3_DASHBOARD!H$19,3731918)</f>
        <v>3644497.8912969558</v>
      </c>
      <c r="I53" s="210">
        <f>IF(SUP_CONTROL!$C$6=2,CAPA3_DASHBOARD!I$19,4674141)</f>
        <v>4666811.6113013169</v>
      </c>
      <c r="J53" s="210">
        <f>IF(SUP_CONTROL!$C$6=2,CAPA3_DASHBOARD!J$19,4775699)</f>
        <v>4765603.7050963081</v>
      </c>
      <c r="K53" s="210">
        <f>IF(SUP_CONTROL!$C$6=2,CAPA3_DASHBOARD!K$19,4775699)</f>
        <v>4765603.7050963081</v>
      </c>
      <c r="L53" s="210">
        <f>IF(SUP_CONTROL!$C$6=2,CAPA3_DASHBOARD!L$19,4775699)</f>
        <v>4765603.7050963081</v>
      </c>
    </row>
    <row r="54" spans="2:14" x14ac:dyDescent="0.2">
      <c r="B54" s="198" t="s">
        <v>1711</v>
      </c>
      <c r="C54" s="210">
        <f>IF(SUP_CONTROL!$C$6=3,CAPA3_DASHBOARD!C$19,661016)</f>
        <v>661016</v>
      </c>
      <c r="D54" s="210">
        <f>IF(SUP_CONTROL!$C$6=3,CAPA3_DASHBOARD!D$19,1532165)</f>
        <v>1532165</v>
      </c>
      <c r="E54" s="210">
        <f>IF(SUP_CONTROL!$C$6=3,CAPA3_DASHBOARD!E$19,2456024)</f>
        <v>2456024</v>
      </c>
      <c r="F54" s="210">
        <f>IF(SUP_CONTROL!$C$6=3,CAPA3_DASHBOARD!F$19,3335483)</f>
        <v>3335483</v>
      </c>
      <c r="G54" s="210">
        <f>IF(SUP_CONTROL!$C$6=3,CAPA3_DASHBOARD!G$19,4865004)</f>
        <v>4865004</v>
      </c>
      <c r="H54" s="210">
        <f>IF(SUP_CONTROL!$C$6=3,CAPA3_DASHBOARD!H$19,6255349)</f>
        <v>6255349</v>
      </c>
      <c r="I54" s="210">
        <f>IF(SUP_CONTROL!$C$6=3,CAPA3_DASHBOARD!I$19,6904412)</f>
        <v>6904412</v>
      </c>
      <c r="J54" s="210">
        <f>IF(SUP_CONTROL!$C$6=3,CAPA3_DASHBOARD!J$19,6904412)</f>
        <v>6904412</v>
      </c>
      <c r="K54" s="210">
        <f>IF(SUP_CONTROL!$C$6=3,CAPA3_DASHBOARD!K$19,6904412)</f>
        <v>6904412</v>
      </c>
      <c r="L54" s="210">
        <f>IF(SUP_CONTROL!$C$6=3,CAPA3_DASHBOARD!L$19,6904412)</f>
        <v>6904412</v>
      </c>
    </row>
    <row r="55" spans="2:14" x14ac:dyDescent="0.2">
      <c r="B55" s="198" t="s">
        <v>1712</v>
      </c>
      <c r="C55" s="210">
        <f>IF(SUP_CONTROL!$C$6=1,CAPA3_DASHBOARD!C$20,-2290854)</f>
        <v>-2290854</v>
      </c>
      <c r="D55" s="210">
        <f>IF(SUP_CONTROL!$C$6=1,CAPA3_DASHBOARD!D$20,420238)</f>
        <v>420238</v>
      </c>
      <c r="E55" s="210">
        <f>IF(SUP_CONTROL!$C$6=1,CAPA3_DASHBOARD!E$20,-142683)</f>
        <v>-142683</v>
      </c>
      <c r="F55" s="210">
        <f>IF(SUP_CONTROL!$C$6=1,CAPA3_DASHBOARD!F$20,292140)</f>
        <v>292140</v>
      </c>
      <c r="G55" s="210">
        <f>IF(SUP_CONTROL!$C$6=1,CAPA3_DASHBOARD!G$20,52029)</f>
        <v>52029</v>
      </c>
      <c r="H55" s="210">
        <f>IF(SUP_CONTROL!$C$6=1,CAPA3_DASHBOARD!H$20,438573)</f>
        <v>438573</v>
      </c>
      <c r="I55" s="210">
        <f>IF(SUP_CONTROL!$C$6=1,CAPA3_DASHBOARD!I$20,700353)</f>
        <v>700353</v>
      </c>
      <c r="J55" s="210">
        <f>IF(SUP_CONTROL!$C$6=1,CAPA3_DASHBOARD!J$20,2622881)</f>
        <v>2622881</v>
      </c>
      <c r="K55" s="210">
        <f>IF(SUP_CONTROL!$C$6=1,CAPA3_DASHBOARD!K$20,2790288)</f>
        <v>2790288</v>
      </c>
      <c r="L55" s="210">
        <f>IF(SUP_CONTROL!$C$6=1,CAPA3_DASHBOARD!L$20,2790288)</f>
        <v>2790288</v>
      </c>
      <c r="N55" s="23" t="s">
        <v>1715</v>
      </c>
    </row>
    <row r="56" spans="2:14" x14ac:dyDescent="0.2">
      <c r="B56" s="198" t="s">
        <v>1713</v>
      </c>
      <c r="C56" s="210">
        <f>IF(SUP_CONTROL!$C$6=2,CAPA3_DASHBOARD!C$20,-2199819)</f>
        <v>-1678646.065770485</v>
      </c>
      <c r="D56" s="210">
        <f>IF(SUP_CONTROL!$C$6=2,CAPA3_DASHBOARD!D$20,85480)</f>
        <v>142857.58624160971</v>
      </c>
      <c r="E56" s="210">
        <f>IF(SUP_CONTROL!$C$6=2,CAPA3_DASHBOARD!E$20,237618)</f>
        <v>132143.53554127435</v>
      </c>
      <c r="F56" s="210">
        <f>IF(SUP_CONTROL!$C$6=2,CAPA3_DASHBOARD!F$20,509325)</f>
        <v>600126.37146761722</v>
      </c>
      <c r="G56" s="210">
        <f>IF(SUP_CONTROL!$C$6=2,CAPA3_DASHBOARD!G$20,214583)</f>
        <v>163285.65686543661</v>
      </c>
      <c r="H56" s="210">
        <f>IF(SUP_CONTROL!$C$6=2,CAPA3_DASHBOARD!H$20,931172)</f>
        <v>856963.23338269908</v>
      </c>
      <c r="I56" s="210">
        <f>IF(SUP_CONTROL!$C$6=2,CAPA3_DASHBOARD!I$20,2530085)</f>
        <v>2407031.3484280361</v>
      </c>
      <c r="J56" s="210">
        <f>IF(SUP_CONTROL!$C$6=2,CAPA3_DASHBOARD!J$20,3442494)</f>
        <v>3422466.7473685634</v>
      </c>
      <c r="K56" s="210">
        <f>IF(SUP_CONTROL!$C$6=2,CAPA3_DASHBOARD!K$20,3442494)</f>
        <v>3422466.7473685634</v>
      </c>
      <c r="L56" s="210">
        <f>IF(SUP_CONTROL!$C$6=2,CAPA3_DASHBOARD!L$20,3442494)</f>
        <v>3422466.7473685634</v>
      </c>
    </row>
    <row r="57" spans="2:14" x14ac:dyDescent="0.2">
      <c r="B57" s="206" t="s">
        <v>1714</v>
      </c>
      <c r="C57" s="211">
        <f>IF(SUP_CONTROL!$C$6=3,CAPA3_DASHBOARD!C$20,-2025353)</f>
        <v>-2025353</v>
      </c>
      <c r="D57" s="211">
        <f>IF(SUP_CONTROL!$C$6=3,CAPA3_DASHBOARD!D$20,195284)</f>
        <v>195284</v>
      </c>
      <c r="E57" s="211">
        <f>IF(SUP_CONTROL!$C$6=3,CAPA3_DASHBOARD!E$20,454607)</f>
        <v>454607</v>
      </c>
      <c r="F57" s="211">
        <f>IF(SUP_CONTROL!$C$6=3,CAPA3_DASHBOARD!F$20,657936)</f>
        <v>657936</v>
      </c>
      <c r="G57" s="211">
        <f>IF(SUP_CONTROL!$C$6=3,CAPA3_DASHBOARD!G$20,1186935)</f>
        <v>1186935</v>
      </c>
      <c r="H57" s="211">
        <f>IF(SUP_CONTROL!$C$6=3,CAPA3_DASHBOARD!H$20,3697344)</f>
        <v>3697344</v>
      </c>
      <c r="I57" s="211">
        <f>IF(SUP_CONTROL!$C$6=3,CAPA3_DASHBOARD!I$20,4847444)</f>
        <v>4847444</v>
      </c>
      <c r="J57" s="211">
        <f>IF(SUP_CONTROL!$C$6=3,CAPA3_DASHBOARD!J$20,4847444)</f>
        <v>4847444</v>
      </c>
      <c r="K57" s="211">
        <f>IF(SUP_CONTROL!$C$6=3,CAPA3_DASHBOARD!K$20,4847444)</f>
        <v>4847444</v>
      </c>
      <c r="L57" s="211">
        <f>IF(SUP_CONTROL!$C$6=3,CAPA3_DASHBOARD!L$20,4847444)</f>
        <v>4847444</v>
      </c>
    </row>
    <row r="59" spans="2:14" x14ac:dyDescent="0.2">
      <c r="B59" s="180" t="s">
        <v>1716</v>
      </c>
      <c r="C59" s="181"/>
      <c r="D59" s="181"/>
      <c r="E59" s="181"/>
      <c r="F59" s="181"/>
      <c r="G59" s="181"/>
      <c r="H59" s="181"/>
      <c r="I59" s="181"/>
      <c r="J59" s="181"/>
      <c r="K59" s="181"/>
      <c r="L59" s="181"/>
      <c r="N59" s="181"/>
    </row>
    <row r="60" spans="2:14" x14ac:dyDescent="0.2">
      <c r="B60" s="196" t="s">
        <v>1717</v>
      </c>
      <c r="C60" s="197" t="s">
        <v>275</v>
      </c>
      <c r="D60" s="197" t="s">
        <v>276</v>
      </c>
      <c r="E60" s="197" t="s">
        <v>277</v>
      </c>
    </row>
    <row r="61" spans="2:14" x14ac:dyDescent="0.2">
      <c r="B61" s="198" t="s">
        <v>1718</v>
      </c>
      <c r="C61" s="212">
        <f>CHOOSE(SUP_CONTROL!$C$6,SUP_VOLUMEN!$C$30,SUP_VOLUMEN!$D$30,SUP_VOLUMEN!$E$30)</f>
        <v>3367</v>
      </c>
      <c r="D61" s="212">
        <f>CHOOSE(SUP_CONTROL!$C$6,SUP_VOLUMEN!$C$31,SUP_VOLUMEN!$D$31,SUP_VOLUMEN!$E$31)</f>
        <v>4377.1000000000004</v>
      </c>
      <c r="E61" s="212">
        <f>CHOOSE(SUP_CONTROL!$C$6,SUP_VOLUMEN!$C$32,SUP_VOLUMEN!$D$32,SUP_VOLUMEN!$E$32)</f>
        <v>6734</v>
      </c>
      <c r="N61" s="23" t="s">
        <v>1728</v>
      </c>
    </row>
    <row r="62" spans="2:14" x14ac:dyDescent="0.2">
      <c r="B62" s="198" t="s">
        <v>1719</v>
      </c>
      <c r="C62" s="213">
        <f>C61*SUP_CONTROL!$C$26</f>
        <v>43696.52634112232</v>
      </c>
      <c r="D62" s="213">
        <f>D61*SUP_CONTROL!$C$26</f>
        <v>56805.484243459017</v>
      </c>
      <c r="E62" s="213">
        <f>E61*SUP_CONTROL!$C$26*(1+SUP_CONTROL!$C$37)</f>
        <v>91762.705316356878</v>
      </c>
    </row>
    <row r="63" spans="2:14" x14ac:dyDescent="0.2">
      <c r="B63" s="198" t="s">
        <v>1720</v>
      </c>
      <c r="C63" s="213">
        <f>C61*SUP_CONTROL!$C$27</f>
        <v>20423.700628094924</v>
      </c>
      <c r="D63" s="213">
        <f>D61*SUP_CONTROL!$C$27</f>
        <v>26550.810816523404</v>
      </c>
      <c r="E63" s="213">
        <f>E61*SUP_CONTROL!$C$27+E61*SUP_CONTROL!$C$26*SUP_CONTROL!$C$37*SUP_CONTROL!$C$38</f>
        <v>43032.227573245968</v>
      </c>
    </row>
    <row r="64" spans="2:14" x14ac:dyDescent="0.2">
      <c r="B64" s="198" t="s">
        <v>1940</v>
      </c>
      <c r="C64" s="210">
        <f>-(C62*SUP_OPEX!$C$30+C61*SUP_COSTOS!$C$6*(SUP_PRODUCCION!$C$79+SUP_PLANTA_OPEX!$C$34))</f>
        <v>-5068.7926225220426</v>
      </c>
      <c r="D64" s="210">
        <f>-(D62*SUP_OPEX!$C$30+D61*SUP_COSTOS!$C$6*(SUP_PRODUCCION!$C$79+SUP_PLANTA_OPEX!$C$34))</f>
        <v>-6589.430409278656</v>
      </c>
      <c r="E64" s="210">
        <f>-(E62*(SUP_OPEX!$C$30+SUP_OPEX!$C$31)+E61*SUP_COSTOS!$C$6*(SUP_PRODUCCION!$C$79+SUP_PLANTA_OPEX!$C$34))</f>
        <v>-13305.583404775454</v>
      </c>
      <c r="N64" s="23" t="s">
        <v>1941</v>
      </c>
    </row>
    <row r="65" spans="2:14" x14ac:dyDescent="0.2">
      <c r="B65" s="198" t="s">
        <v>1721</v>
      </c>
      <c r="C65" s="210">
        <f>-SUP_OPEX!$D$23</f>
        <v>-4145</v>
      </c>
      <c r="D65" s="210">
        <f>-SUP_OPEX!$E$23</f>
        <v>-5715</v>
      </c>
      <c r="E65" s="210">
        <f>-SUP_OPEX!$F$23</f>
        <v>-18645</v>
      </c>
    </row>
    <row r="66" spans="2:14" x14ac:dyDescent="0.2">
      <c r="B66" s="198" t="s">
        <v>1722</v>
      </c>
      <c r="C66" s="214">
        <f>C63+C64+C65</f>
        <v>11209.908005572881</v>
      </c>
      <c r="D66" s="214">
        <f>D63+D64+D65</f>
        <v>14246.380407244749</v>
      </c>
      <c r="E66" s="214">
        <f>E63+E64+E65</f>
        <v>11081.644168470513</v>
      </c>
    </row>
    <row r="67" spans="2:14" x14ac:dyDescent="0.2">
      <c r="B67" s="198" t="s">
        <v>1723</v>
      </c>
      <c r="C67" s="215">
        <f>IF(C62=0,0,C66/C62)</f>
        <v>0.25654002604374893</v>
      </c>
      <c r="D67" s="215">
        <f>IF(D62=0,0,D66/D62)</f>
        <v>0.25079234156665386</v>
      </c>
      <c r="E67" s="215">
        <f>IF(E62=0,0,E66/E62)</f>
        <v>0.12076413974790681</v>
      </c>
    </row>
    <row r="68" spans="2:14" x14ac:dyDescent="0.2">
      <c r="B68" s="198" t="s">
        <v>1724</v>
      </c>
      <c r="C68" s="216">
        <f>SUP_CAPEX_VENTANA!$H$42</f>
        <v>92556.936999999976</v>
      </c>
      <c r="D68" s="216">
        <f>SUP_CAPEX_DINEIN!$H$43</f>
        <v>138911.02225000001</v>
      </c>
      <c r="E68" s="216">
        <f>SUP_CAPEX_FLAGSHIP!$H$55</f>
        <v>485628.42074999999</v>
      </c>
    </row>
    <row r="69" spans="2:14" x14ac:dyDescent="0.2">
      <c r="B69" s="198" t="s">
        <v>1725</v>
      </c>
      <c r="C69" s="213">
        <f>SUP_CONTROL!$C$19*-C65</f>
        <v>4145</v>
      </c>
      <c r="D69" s="213">
        <f>SUP_CONTROL!$C$19*-D65</f>
        <v>5715</v>
      </c>
      <c r="E69" s="213">
        <f>SUP_CONTROL!$C$19*-E65</f>
        <v>18645</v>
      </c>
    </row>
    <row r="70" spans="2:14" x14ac:dyDescent="0.2">
      <c r="B70" s="198" t="s">
        <v>1726</v>
      </c>
      <c r="C70" s="217">
        <f>IF(C66&lt;=0,"no recupera",(C68+C69)/C66)</f>
        <v>8.6264701683480087</v>
      </c>
      <c r="D70" s="217">
        <f>IF(D66&lt;=0,"no recupera",(D68+D69)/D66)</f>
        <v>10.151773160321689</v>
      </c>
      <c r="E70" s="217">
        <f>IF(E66&lt;=0,"no recupera",(E68+E69)/E66)</f>
        <v>45.505289024236887</v>
      </c>
      <c r="N70" s="23" t="s">
        <v>1729</v>
      </c>
    </row>
    <row r="71" spans="2:14" x14ac:dyDescent="0.2">
      <c r="B71" s="206" t="s">
        <v>1727</v>
      </c>
      <c r="C71" s="218">
        <f>IF(C66&lt;=0,"n/a",(1+IFERROR(RATE(120,C66,-(C68+C69),0,0,C66/(C68+C69)),C66/(C68+C69)))^12-1)</f>
        <v>2.7291194375169421</v>
      </c>
      <c r="D71" s="218">
        <f>IF(D66&lt;=0,"n/a",(1+IFERROR(RATE(120,D66,-(D68+D69),0,0,D66/(D68+D69)),D66/(D68+D69)))^12-1)</f>
        <v>2.0875807664367678</v>
      </c>
      <c r="E71" s="218">
        <f>IF(E66&lt;=0,"n/a",(1+IFERROR(RATE(120,E66,-(E68+E69),0,0,E66/(E68+E69)),E66/(E68+E69)))^12-1)</f>
        <v>0.26694659007442167</v>
      </c>
      <c r="N71" s="23" t="s">
        <v>1733</v>
      </c>
    </row>
    <row r="74" spans="2:14" x14ac:dyDescent="0.2">
      <c r="B74" s="180" t="s">
        <v>1730</v>
      </c>
      <c r="C74" s="181"/>
      <c r="D74" s="181"/>
      <c r="E74" s="181"/>
      <c r="F74" s="181"/>
      <c r="G74" s="181"/>
      <c r="H74" s="181"/>
      <c r="I74" s="181"/>
      <c r="J74" s="181"/>
      <c r="K74" s="181"/>
      <c r="L74" s="181"/>
      <c r="N74" s="181"/>
    </row>
    <row r="75" spans="2:14" x14ac:dyDescent="0.2">
      <c r="B75" s="23" t="s">
        <v>1731</v>
      </c>
    </row>
    <row r="76" spans="2:14" x14ac:dyDescent="0.2">
      <c r="B76" s="23" t="s">
        <v>1954</v>
      </c>
    </row>
    <row r="77" spans="2:14" x14ac:dyDescent="0.2">
      <c r="B77" s="23" t="s">
        <v>1732</v>
      </c>
    </row>
    <row r="98" spans="2:14" x14ac:dyDescent="0.2">
      <c r="B98" s="152" t="s">
        <v>1748</v>
      </c>
      <c r="N98" s="23" t="s">
        <v>1749</v>
      </c>
    </row>
    <row r="100" spans="2:14" x14ac:dyDescent="0.2">
      <c r="B100" s="225" t="s">
        <v>1750</v>
      </c>
      <c r="C100" s="226" t="s">
        <v>1751</v>
      </c>
      <c r="D100" s="226" t="s">
        <v>1752</v>
      </c>
      <c r="E100" s="226" t="s">
        <v>1753</v>
      </c>
      <c r="F100" s="226" t="s">
        <v>1107</v>
      </c>
      <c r="G100" s="226" t="s">
        <v>1754</v>
      </c>
      <c r="H100" s="226" t="s">
        <v>1755</v>
      </c>
      <c r="N100" s="23" t="s">
        <v>1762</v>
      </c>
    </row>
    <row r="101" spans="2:14" x14ac:dyDescent="0.2">
      <c r="B101" s="227" t="s">
        <v>1950</v>
      </c>
      <c r="C101" s="208"/>
      <c r="D101" s="208"/>
      <c r="E101" s="208"/>
      <c r="F101" s="208"/>
      <c r="G101" s="208"/>
      <c r="H101" s="208"/>
    </row>
    <row r="102" spans="2:14" x14ac:dyDescent="0.2">
      <c r="B102" s="208" t="s">
        <v>1756</v>
      </c>
      <c r="C102" s="201">
        <v>1959622</v>
      </c>
      <c r="D102" s="201">
        <v>1959622</v>
      </c>
      <c r="E102" s="228">
        <v>191788</v>
      </c>
      <c r="F102" s="229">
        <v>0.28399999999999997</v>
      </c>
      <c r="G102" s="205" t="s">
        <v>1973</v>
      </c>
      <c r="H102" s="228">
        <v>524638</v>
      </c>
    </row>
    <row r="103" spans="2:14" x14ac:dyDescent="0.2">
      <c r="B103" s="208" t="s">
        <v>1757</v>
      </c>
      <c r="C103" s="201">
        <v>1959622</v>
      </c>
      <c r="D103" s="201">
        <v>8362025</v>
      </c>
      <c r="E103" s="228">
        <v>224378</v>
      </c>
      <c r="F103" s="229">
        <v>0.27300000000000002</v>
      </c>
      <c r="G103" s="205" t="s">
        <v>1974</v>
      </c>
      <c r="H103" s="228">
        <v>1624700</v>
      </c>
    </row>
    <row r="104" spans="2:14" x14ac:dyDescent="0.2">
      <c r="B104" s="208" t="s">
        <v>1758</v>
      </c>
      <c r="C104" s="201">
        <v>2185472</v>
      </c>
      <c r="D104" s="201">
        <v>9161589</v>
      </c>
      <c r="E104" s="228">
        <v>124794</v>
      </c>
      <c r="F104" s="229">
        <v>0.26300000000000001</v>
      </c>
      <c r="G104" s="205" t="s">
        <v>1946</v>
      </c>
      <c r="H104" s="228">
        <v>1587077</v>
      </c>
    </row>
    <row r="105" spans="2:14" x14ac:dyDescent="0.2">
      <c r="B105" s="198" t="s">
        <v>1759</v>
      </c>
      <c r="C105" s="202">
        <v>2719746</v>
      </c>
      <c r="D105" s="202">
        <v>9593160</v>
      </c>
      <c r="E105" s="230">
        <v>-345923</v>
      </c>
      <c r="F105" s="204">
        <v>0.22</v>
      </c>
      <c r="G105" s="231" t="s">
        <v>1961</v>
      </c>
      <c r="H105" s="230">
        <v>1118254</v>
      </c>
    </row>
    <row r="106" spans="2:14" x14ac:dyDescent="0.2">
      <c r="B106" s="232" t="s">
        <v>1760</v>
      </c>
      <c r="C106" s="233">
        <f>C105-C104</f>
        <v>534274</v>
      </c>
      <c r="D106" s="208"/>
      <c r="E106" s="233">
        <f>E105-E104</f>
        <v>-470717</v>
      </c>
      <c r="F106" s="234">
        <f>F105-F104</f>
        <v>-4.300000000000001E-2</v>
      </c>
      <c r="G106" s="208"/>
      <c r="H106" s="233">
        <f>H105-H104</f>
        <v>-468823</v>
      </c>
    </row>
    <row r="107" spans="2:14" x14ac:dyDescent="0.2">
      <c r="B107" s="208"/>
      <c r="C107" s="208"/>
      <c r="D107" s="208"/>
      <c r="E107" s="208"/>
      <c r="F107" s="208"/>
      <c r="G107" s="208"/>
      <c r="H107" s="208"/>
    </row>
    <row r="108" spans="2:14" x14ac:dyDescent="0.2">
      <c r="B108" s="227" t="s">
        <v>1951</v>
      </c>
      <c r="C108" s="208"/>
      <c r="D108" s="208"/>
      <c r="E108" s="208"/>
      <c r="F108" s="208"/>
      <c r="G108" s="208"/>
      <c r="H108" s="208"/>
    </row>
    <row r="109" spans="2:14" x14ac:dyDescent="0.2">
      <c r="B109" s="208" t="s">
        <v>1756</v>
      </c>
      <c r="C109" s="201">
        <v>1959622</v>
      </c>
      <c r="D109" s="201">
        <v>1959622</v>
      </c>
      <c r="E109" s="228">
        <v>698684</v>
      </c>
      <c r="F109" s="229">
        <v>0.37</v>
      </c>
      <c r="G109" s="205" t="s">
        <v>1975</v>
      </c>
      <c r="H109" s="228">
        <v>1107427</v>
      </c>
    </row>
    <row r="110" spans="2:14" x14ac:dyDescent="0.2">
      <c r="B110" s="208" t="s">
        <v>1757</v>
      </c>
      <c r="C110" s="201">
        <v>1959622</v>
      </c>
      <c r="D110" s="201">
        <v>8935739</v>
      </c>
      <c r="E110" s="228">
        <v>1227003</v>
      </c>
      <c r="F110" s="229">
        <v>0.36299999999999999</v>
      </c>
      <c r="G110" s="205" t="s">
        <v>1840</v>
      </c>
      <c r="H110" s="228">
        <v>2947499</v>
      </c>
    </row>
    <row r="111" spans="2:14" x14ac:dyDescent="0.2">
      <c r="B111" s="208" t="s">
        <v>1758</v>
      </c>
      <c r="C111" s="201">
        <v>2185472</v>
      </c>
      <c r="D111" s="201">
        <v>9161589</v>
      </c>
      <c r="E111" s="228">
        <v>1274913</v>
      </c>
      <c r="F111" s="229">
        <v>0.36099999999999999</v>
      </c>
      <c r="G111" s="205" t="s">
        <v>1976</v>
      </c>
      <c r="H111" s="228">
        <v>3082640</v>
      </c>
    </row>
    <row r="112" spans="2:14" x14ac:dyDescent="0.2">
      <c r="B112" s="198" t="s">
        <v>1759</v>
      </c>
      <c r="C112" s="202">
        <v>2719746</v>
      </c>
      <c r="D112" s="202">
        <v>9593160</v>
      </c>
      <c r="E112" s="230">
        <v>865150</v>
      </c>
      <c r="F112" s="204">
        <v>0.315</v>
      </c>
      <c r="G112" s="231" t="s">
        <v>1947</v>
      </c>
      <c r="H112" s="230">
        <v>2682945</v>
      </c>
    </row>
    <row r="113" spans="2:14" x14ac:dyDescent="0.2">
      <c r="B113" s="232" t="s">
        <v>1760</v>
      </c>
      <c r="C113" s="233">
        <f>C112-C111</f>
        <v>534274</v>
      </c>
      <c r="D113" s="208"/>
      <c r="E113" s="233">
        <f>E112-E111</f>
        <v>-409763</v>
      </c>
      <c r="F113" s="234">
        <f>F112-F111</f>
        <v>-4.5999999999999985E-2</v>
      </c>
      <c r="G113" s="208"/>
      <c r="H113" s="233">
        <f>H112-H111</f>
        <v>-399695</v>
      </c>
    </row>
    <row r="114" spans="2:14" x14ac:dyDescent="0.2">
      <c r="B114" s="208"/>
      <c r="C114" s="208"/>
      <c r="D114" s="208"/>
      <c r="E114" s="208"/>
      <c r="F114" s="208"/>
      <c r="G114" s="208"/>
      <c r="H114" s="208"/>
    </row>
    <row r="115" spans="2:14" x14ac:dyDescent="0.2">
      <c r="B115" s="227" t="s">
        <v>1761</v>
      </c>
      <c r="C115" s="208"/>
      <c r="D115" s="208"/>
      <c r="E115" s="208"/>
      <c r="F115" s="208"/>
      <c r="G115" s="208"/>
      <c r="H115" s="208"/>
    </row>
    <row r="116" spans="2:14" x14ac:dyDescent="0.2">
      <c r="B116" s="208" t="s">
        <v>1756</v>
      </c>
      <c r="C116" s="201">
        <v>1959622</v>
      </c>
      <c r="D116" s="201">
        <v>1959622</v>
      </c>
      <c r="E116" s="228">
        <v>1711248</v>
      </c>
      <c r="F116" s="229">
        <v>0.54100000000000004</v>
      </c>
      <c r="G116" s="205" t="s">
        <v>1977</v>
      </c>
      <c r="H116" s="228">
        <v>2271775</v>
      </c>
    </row>
    <row r="117" spans="2:14" x14ac:dyDescent="0.2">
      <c r="B117" s="208" t="s">
        <v>1757</v>
      </c>
      <c r="C117" s="201">
        <v>1959622</v>
      </c>
      <c r="D117" s="201">
        <v>8935739</v>
      </c>
      <c r="E117" s="228">
        <v>3741620</v>
      </c>
      <c r="F117" s="229">
        <v>0.53900000000000003</v>
      </c>
      <c r="G117" s="205" t="s">
        <v>1948</v>
      </c>
      <c r="H117" s="228">
        <v>6153004</v>
      </c>
    </row>
    <row r="118" spans="2:14" x14ac:dyDescent="0.2">
      <c r="B118" s="208" t="s">
        <v>1758</v>
      </c>
      <c r="C118" s="201">
        <v>2185472</v>
      </c>
      <c r="D118" s="201">
        <v>9161589</v>
      </c>
      <c r="E118" s="228">
        <v>3770768</v>
      </c>
      <c r="F118" s="229">
        <v>0.52800000000000002</v>
      </c>
      <c r="G118" s="205" t="s">
        <v>1949</v>
      </c>
      <c r="H118" s="228">
        <v>6269384</v>
      </c>
    </row>
    <row r="119" spans="2:14" x14ac:dyDescent="0.2">
      <c r="B119" s="198" t="s">
        <v>1759</v>
      </c>
      <c r="C119" s="202">
        <v>2719746</v>
      </c>
      <c r="D119" s="202">
        <v>9593160</v>
      </c>
      <c r="E119" s="230">
        <v>3641723</v>
      </c>
      <c r="F119" s="204">
        <v>0.48599999999999999</v>
      </c>
      <c r="G119" s="231" t="s">
        <v>1978</v>
      </c>
      <c r="H119" s="230">
        <v>6165795</v>
      </c>
    </row>
    <row r="120" spans="2:14" x14ac:dyDescent="0.2">
      <c r="B120" s="235" t="s">
        <v>1760</v>
      </c>
      <c r="C120" s="236">
        <f>C119-C118</f>
        <v>534274</v>
      </c>
      <c r="D120" s="237"/>
      <c r="E120" s="236">
        <f>E119-E118</f>
        <v>-129045</v>
      </c>
      <c r="F120" s="238">
        <f>F119-F118</f>
        <v>-4.2000000000000037E-2</v>
      </c>
      <c r="G120" s="237"/>
      <c r="H120" s="236">
        <f>H119-H118</f>
        <v>-103589</v>
      </c>
    </row>
    <row r="122" spans="2:14" x14ac:dyDescent="0.2">
      <c r="B122" s="223" t="s">
        <v>1763</v>
      </c>
    </row>
    <row r="123" spans="2:14" x14ac:dyDescent="0.2">
      <c r="B123" s="239" t="s">
        <v>1764</v>
      </c>
      <c r="C123" s="240">
        <f>E62/C62</f>
        <v>2.1</v>
      </c>
      <c r="N123" s="23" t="s">
        <v>1765</v>
      </c>
    </row>
    <row r="124" spans="2:14" x14ac:dyDescent="0.2">
      <c r="B124" s="208" t="s">
        <v>1766</v>
      </c>
      <c r="C124" s="241">
        <f>(E68+E69)/(C68+C69)</f>
        <v>5.2147189228484647</v>
      </c>
      <c r="N124" s="23" t="s">
        <v>1767</v>
      </c>
    </row>
    <row r="125" spans="2:14" x14ac:dyDescent="0.2">
      <c r="B125" s="208" t="s">
        <v>1768</v>
      </c>
      <c r="C125" s="241">
        <f>E65/C65</f>
        <v>4.4981905910735822</v>
      </c>
      <c r="N125" s="23" t="s">
        <v>1769</v>
      </c>
    </row>
    <row r="126" spans="2:14" x14ac:dyDescent="0.2">
      <c r="B126" s="208" t="s">
        <v>1770</v>
      </c>
      <c r="C126" s="242">
        <f>C66*12/(C68+C69)</f>
        <v>1.3910672344326938</v>
      </c>
    </row>
    <row r="127" spans="2:14" x14ac:dyDescent="0.2">
      <c r="B127" s="208" t="s">
        <v>1771</v>
      </c>
      <c r="C127" s="243">
        <f>E66*12/(E68+E69)</f>
        <v>0.26370560999202963</v>
      </c>
      <c r="N127" s="23" t="s">
        <v>1772</v>
      </c>
    </row>
    <row r="128" spans="2:14" x14ac:dyDescent="0.2">
      <c r="B128" s="208" t="s">
        <v>1773</v>
      </c>
      <c r="C128" s="244">
        <f>C106/(C68+C69)</f>
        <v>5.5249565476646048</v>
      </c>
      <c r="N128" s="23" t="s">
        <v>1774</v>
      </c>
    </row>
    <row r="129" spans="2:5" x14ac:dyDescent="0.2">
      <c r="B129" s="237" t="s">
        <v>1775</v>
      </c>
      <c r="C129" s="245" t="str">
        <f>TEXT(C70,"0.0")&amp;" / "&amp;TEXT(D70,"0.0")&amp;" / "&amp;TEXT(E70,"0.0")</f>
        <v>8.6 / 10.2 / 45.5</v>
      </c>
    </row>
    <row r="131" spans="2:5" x14ac:dyDescent="0.2">
      <c r="B131" s="224" t="s">
        <v>1983</v>
      </c>
    </row>
    <row r="133" spans="2:5" x14ac:dyDescent="0.2">
      <c r="B133" s="150" t="s">
        <v>1776</v>
      </c>
    </row>
    <row r="134" spans="2:5" x14ac:dyDescent="0.2">
      <c r="B134" s="225" t="s">
        <v>1750</v>
      </c>
      <c r="C134" s="225" t="s">
        <v>499</v>
      </c>
      <c r="D134" s="225" t="s">
        <v>500</v>
      </c>
      <c r="E134" s="225" t="s">
        <v>501</v>
      </c>
    </row>
    <row r="135" spans="2:5" x14ac:dyDescent="0.2">
      <c r="B135" s="208" t="s">
        <v>1777</v>
      </c>
      <c r="C135" s="246">
        <f>E102</f>
        <v>191788</v>
      </c>
      <c r="D135" s="246">
        <f>E109</f>
        <v>698684</v>
      </c>
      <c r="E135" s="246">
        <f>E116</f>
        <v>1711248</v>
      </c>
    </row>
    <row r="136" spans="2:5" x14ac:dyDescent="0.2">
      <c r="B136" s="208" t="s">
        <v>1778</v>
      </c>
      <c r="C136" s="246">
        <f>E103</f>
        <v>224378</v>
      </c>
      <c r="D136" s="246">
        <f>E110</f>
        <v>1227003</v>
      </c>
      <c r="E136" s="246">
        <f>E117</f>
        <v>3741620</v>
      </c>
    </row>
    <row r="137" spans="2:5" x14ac:dyDescent="0.2">
      <c r="B137" s="208" t="s">
        <v>1779</v>
      </c>
      <c r="C137" s="246">
        <f>E104</f>
        <v>124794</v>
      </c>
      <c r="D137" s="246">
        <f>E111</f>
        <v>1274913</v>
      </c>
      <c r="E137" s="246">
        <f>E118</f>
        <v>3770768</v>
      </c>
    </row>
    <row r="138" spans="2:5" x14ac:dyDescent="0.2">
      <c r="B138" s="237" t="s">
        <v>1780</v>
      </c>
      <c r="C138" s="247">
        <f>E105</f>
        <v>-345923</v>
      </c>
      <c r="D138" s="247">
        <f>E112</f>
        <v>865150</v>
      </c>
      <c r="E138" s="247">
        <f>E119</f>
        <v>3641723</v>
      </c>
    </row>
    <row r="160" spans="2:7" x14ac:dyDescent="0.2">
      <c r="B160" s="152" t="s">
        <v>1984</v>
      </c>
      <c r="C160" s="178"/>
      <c r="D160" s="178"/>
      <c r="E160" s="178"/>
      <c r="F160" s="178"/>
      <c r="G160" s="178"/>
    </row>
    <row r="161" spans="2:14" x14ac:dyDescent="0.2">
      <c r="B161" s="23" t="s">
        <v>1985</v>
      </c>
    </row>
    <row r="163" spans="2:14" x14ac:dyDescent="0.2">
      <c r="B163" s="289" t="s">
        <v>1986</v>
      </c>
    </row>
    <row r="164" spans="2:14" x14ac:dyDescent="0.2">
      <c r="B164" s="225" t="s">
        <v>1987</v>
      </c>
      <c r="C164" s="226" t="s">
        <v>1988</v>
      </c>
      <c r="D164" s="226" t="s">
        <v>1989</v>
      </c>
      <c r="E164" s="226" t="s">
        <v>1990</v>
      </c>
      <c r="F164" s="226" t="s">
        <v>1991</v>
      </c>
      <c r="G164" s="226" t="s">
        <v>1062</v>
      </c>
    </row>
    <row r="165" spans="2:14" x14ac:dyDescent="0.2">
      <c r="B165" s="208" t="s">
        <v>1992</v>
      </c>
      <c r="C165" s="290">
        <f>SUP_VOLUMEN!$C$43*SUP_CAPEX_VENTANA!$H$37+SUP_VOLUMEN!$C$44*SUP_CAPEX_DINEIN!$H$38</f>
        <v>573846.93249999988</v>
      </c>
      <c r="D165" s="290">
        <f>SUP_CAPEX_PLANTA!$H$27+SUP_CAPEX_PLANTA!$H$28</f>
        <v>380301.36</v>
      </c>
      <c r="E165" s="290">
        <f>SUP_CAPEX_FLAGSHIP!$H$48*SUP_CONTROL!$C$12</f>
        <v>0</v>
      </c>
      <c r="F165" s="290">
        <f>SUP_C4_RETAIL!$C$12*SUP_CONTROL!$C$14</f>
        <v>0</v>
      </c>
      <c r="G165" s="214">
        <f>SUM(C165:F165)</f>
        <v>954148.29249999986</v>
      </c>
      <c r="N165" s="23" t="s">
        <v>1993</v>
      </c>
    </row>
    <row r="166" spans="2:14" x14ac:dyDescent="0.2">
      <c r="B166" s="208" t="s">
        <v>1994</v>
      </c>
      <c r="C166" s="290">
        <f>SUP_VOLUMEN!$C$43*SUP_CAPEX_VENTANA!$H$38+SUP_VOLUMEN!$C$44*SUP_CAPEX_DINEIN!$H$39</f>
        <v>364000</v>
      </c>
      <c r="D166" s="290">
        <f>SUP_CAPEX_PLANTA!$H$32</f>
        <v>24000</v>
      </c>
      <c r="E166" s="290">
        <f>SUP_CAPEX_FLAGSHIP!$H$50*SUP_CONTROL!$C$12</f>
        <v>0</v>
      </c>
      <c r="F166" s="210">
        <v>0</v>
      </c>
      <c r="G166" s="214">
        <f>SUM(C166:F166)</f>
        <v>388000</v>
      </c>
    </row>
    <row r="167" spans="2:14" x14ac:dyDescent="0.2">
      <c r="B167" s="208" t="s">
        <v>1995</v>
      </c>
      <c r="C167" s="290">
        <f>SUP_VOLUMEN!$C$43*SUP_CAPEX_VENTANA!$H$39+SUP_VOLUMEN!$C$44*SUP_CAPEX_DINEIN!$H$40</f>
        <v>30000</v>
      </c>
      <c r="D167" s="290">
        <f>SUP_CAPEX_PLANTA!$H$33</f>
        <v>35000</v>
      </c>
      <c r="E167" s="290">
        <f>SUP_CAPEX_FLAGSHIP!$H$52*SUP_CONTROL!$C$12</f>
        <v>0</v>
      </c>
      <c r="F167" s="210">
        <v>0</v>
      </c>
      <c r="G167" s="214">
        <f>SUM(C167:F167)</f>
        <v>65000</v>
      </c>
    </row>
    <row r="168" spans="2:14" x14ac:dyDescent="0.2">
      <c r="B168" s="208" t="s">
        <v>1996</v>
      </c>
      <c r="C168" s="208"/>
      <c r="D168" s="290">
        <f>SUP_CAPEX_PLANTA!$H$30</f>
        <v>21951.11</v>
      </c>
      <c r="E168" s="208"/>
      <c r="F168" s="208"/>
      <c r="G168" s="214">
        <f>SUM(C168:F168)</f>
        <v>21951.11</v>
      </c>
    </row>
    <row r="169" spans="2:14" x14ac:dyDescent="0.2">
      <c r="B169" s="208" t="s">
        <v>1997</v>
      </c>
      <c r="C169" s="208"/>
      <c r="D169" s="290">
        <f>SUP_CAPEX_PLANTA!$H$34</f>
        <v>80193.75</v>
      </c>
      <c r="E169" s="208"/>
      <c r="F169" s="208"/>
      <c r="G169" s="214">
        <f>SUM(C169:F169)</f>
        <v>80193.75</v>
      </c>
    </row>
    <row r="170" spans="2:14" x14ac:dyDescent="0.2">
      <c r="B170" s="208" t="s">
        <v>1998</v>
      </c>
      <c r="C170" s="290">
        <f>SUP_VOLUMEN!$C$43*SUP_CAPEX_VENTANA!$H$41+SUP_VOLUMEN!$C$44*SUP_CAPEX_DINEIN!$H$42</f>
        <v>96784.693249999982</v>
      </c>
      <c r="D170" s="290">
        <f>SUP_CAPEX_PLANTA!$H$36</f>
        <v>54144.622000000003</v>
      </c>
      <c r="E170" s="290">
        <f>SUP_CAPEX_FLAGSHIP!$H$54*SUP_CONTROL!$C$12</f>
        <v>0</v>
      </c>
      <c r="F170" s="210">
        <v>0</v>
      </c>
      <c r="G170" s="214">
        <f>SUM(C170:F170)</f>
        <v>150929.31524999999</v>
      </c>
    </row>
    <row r="171" spans="2:14" x14ac:dyDescent="0.2">
      <c r="B171" s="198" t="s">
        <v>1999</v>
      </c>
      <c r="C171" s="214">
        <f>SUM(C165:C170)</f>
        <v>1064631.6257499999</v>
      </c>
      <c r="D171" s="214">
        <f>SUM(D165:D170)</f>
        <v>595590.84199999995</v>
      </c>
      <c r="E171" s="214">
        <f>SUM(E165:E170)</f>
        <v>0</v>
      </c>
      <c r="F171" s="214">
        <f>SUM(F165:F170)</f>
        <v>0</v>
      </c>
      <c r="G171" s="291">
        <f>SUM(G165:G170)</f>
        <v>1660222.4677500001</v>
      </c>
    </row>
    <row r="172" spans="2:14" x14ac:dyDescent="0.2">
      <c r="B172" s="208" t="s">
        <v>2000</v>
      </c>
      <c r="C172" s="208"/>
      <c r="D172" s="208"/>
      <c r="E172" s="208"/>
      <c r="F172" s="208"/>
      <c r="G172" s="292">
        <f>SUP_TECNOLOGIA!$C$18</f>
        <v>45000</v>
      </c>
    </row>
    <row r="173" spans="2:14" x14ac:dyDescent="0.2">
      <c r="B173" s="208" t="s">
        <v>2016</v>
      </c>
      <c r="C173" s="208"/>
      <c r="D173" s="208"/>
      <c r="E173" s="208"/>
      <c r="F173" s="208"/>
      <c r="G173" s="292">
        <f>SUP_CONTROL!$C$24*SUP_CONTROL!$C$13</f>
        <v>0</v>
      </c>
      <c r="N173" s="23" t="s">
        <v>2017</v>
      </c>
    </row>
    <row r="174" spans="2:14" x14ac:dyDescent="0.2">
      <c r="B174" s="208" t="s">
        <v>2001</v>
      </c>
      <c r="C174" s="208"/>
      <c r="D174" s="208"/>
      <c r="E174" s="208"/>
      <c r="F174" s="208"/>
      <c r="G174" s="210">
        <f>CONSOLIDADO!$C$23-G171-G172-G173</f>
        <v>254399.99999999977</v>
      </c>
      <c r="N174" s="23" t="s">
        <v>2002</v>
      </c>
    </row>
    <row r="175" spans="2:14" x14ac:dyDescent="0.2">
      <c r="B175" s="293" t="s">
        <v>2003</v>
      </c>
      <c r="C175" s="208"/>
      <c r="D175" s="208"/>
      <c r="E175" s="208"/>
      <c r="F175" s="208"/>
      <c r="G175" s="294">
        <f>CONSOLIDADO!$C$23</f>
        <v>1959622.4677499998</v>
      </c>
    </row>
    <row r="176" spans="2:14" x14ac:dyDescent="0.2">
      <c r="B176" s="295" t="s">
        <v>2004</v>
      </c>
      <c r="C176" s="237"/>
      <c r="D176" s="237"/>
      <c r="E176" s="237"/>
      <c r="F176" s="237"/>
      <c r="G176" s="295" t="str">
        <f>IF(G174&gt;=0,"✓ consistente","⚠ CAPEX identificado excede el aporte — revisar")</f>
        <v>✓ consistente</v>
      </c>
    </row>
    <row r="178" spans="2:14" x14ac:dyDescent="0.2">
      <c r="B178" s="289" t="s">
        <v>2005</v>
      </c>
    </row>
    <row r="179" spans="2:14" x14ac:dyDescent="0.2">
      <c r="B179" s="225" t="s">
        <v>2006</v>
      </c>
      <c r="C179" s="226" t="str">
        <f>C20</f>
        <v>BÁSICO</v>
      </c>
      <c r="D179" s="226" t="str">
        <f>D20</f>
        <v>MEDIO ◀ activo</v>
      </c>
      <c r="E179" s="226" t="str">
        <f>E20</f>
        <v>ALTO</v>
      </c>
    </row>
    <row r="180" spans="2:14" x14ac:dyDescent="0.2">
      <c r="B180" s="208" t="s">
        <v>2007</v>
      </c>
      <c r="C180" s="210">
        <f>C30</f>
        <v>2493896</v>
      </c>
      <c r="D180" s="210">
        <f>D30</f>
        <v>1959622.4677499998</v>
      </c>
      <c r="E180" s="210">
        <f>E30</f>
        <v>2493896</v>
      </c>
      <c r="N180" s="23" t="s">
        <v>2012</v>
      </c>
    </row>
    <row r="181" spans="2:14" x14ac:dyDescent="0.2">
      <c r="B181" s="208" t="s">
        <v>2008</v>
      </c>
      <c r="C181" s="210">
        <f>C31</f>
        <v>6299701</v>
      </c>
      <c r="D181" s="210">
        <f>D31</f>
        <v>6976116.4147499986</v>
      </c>
      <c r="E181" s="210">
        <f>E31</f>
        <v>6873414</v>
      </c>
    </row>
    <row r="182" spans="2:14" x14ac:dyDescent="0.2">
      <c r="B182" s="198" t="s">
        <v>2009</v>
      </c>
      <c r="C182" s="214">
        <f>C29</f>
        <v>8793596</v>
      </c>
      <c r="D182" s="214">
        <f>D29</f>
        <v>8935738.8824999984</v>
      </c>
      <c r="E182" s="214">
        <f>E29</f>
        <v>9367310</v>
      </c>
    </row>
    <row r="183" spans="2:14" x14ac:dyDescent="0.2">
      <c r="B183" s="237" t="s">
        <v>2010</v>
      </c>
      <c r="C183" s="218">
        <f>IF(C182=0,0,C181/C182)</f>
        <v>0.71639645487466108</v>
      </c>
      <c r="D183" s="218">
        <f>IF(D182=0,0,D181/D182)</f>
        <v>0.78069832908974324</v>
      </c>
      <c r="E183" s="218">
        <f>IF(E182=0,0,E181/E182)</f>
        <v>0.73376604382688304</v>
      </c>
    </row>
    <row r="184" spans="2:14" x14ac:dyDescent="0.2">
      <c r="B184" s="23" t="s">
        <v>2011</v>
      </c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2E7D32"/>
  </sheetPr>
  <dimension ref="A1:DS50"/>
  <sheetViews>
    <sheetView zoomScaleNormal="100" workbookViewId="0"/>
  </sheetViews>
  <sheetFormatPr baseColWidth="10" defaultColWidth="8.6640625" defaultRowHeight="15" x14ac:dyDescent="0.2"/>
  <cols>
    <col min="1" max="1" width="64.1640625" customWidth="1"/>
    <col min="2" max="2" width="56" customWidth="1"/>
    <col min="4" max="123" width="10" customWidth="1"/>
  </cols>
  <sheetData>
    <row r="1" spans="1:123" ht="15" customHeight="1" x14ac:dyDescent="0.2">
      <c r="A1" s="24" t="s">
        <v>885</v>
      </c>
      <c r="B1" s="14"/>
      <c r="C1" s="14"/>
      <c r="D1" s="14"/>
      <c r="E1" s="14"/>
      <c r="F1" s="14"/>
      <c r="G1" s="14"/>
      <c r="H1" s="14"/>
      <c r="I1" s="14"/>
    </row>
    <row r="2" spans="1:123" ht="15" customHeight="1" x14ac:dyDescent="0.2">
      <c r="A2" s="23" t="s">
        <v>886</v>
      </c>
    </row>
    <row r="3" spans="1:123" ht="15" customHeight="1" x14ac:dyDescent="0.2">
      <c r="A3" s="23" t="s">
        <v>89</v>
      </c>
    </row>
    <row r="4" spans="1:123" ht="15" customHeight="1" x14ac:dyDescent="0.2">
      <c r="B4" s="20" t="s">
        <v>632</v>
      </c>
      <c r="D4" s="87">
        <v>1</v>
      </c>
      <c r="E4" s="87">
        <v>2</v>
      </c>
      <c r="F4" s="87">
        <v>3</v>
      </c>
      <c r="G4" s="87">
        <v>4</v>
      </c>
      <c r="H4" s="87">
        <v>5</v>
      </c>
      <c r="I4" s="87">
        <v>6</v>
      </c>
      <c r="J4" s="87">
        <v>7</v>
      </c>
      <c r="K4" s="87">
        <v>8</v>
      </c>
      <c r="L4" s="87">
        <v>9</v>
      </c>
      <c r="M4" s="87">
        <v>10</v>
      </c>
      <c r="N4" s="87">
        <v>11</v>
      </c>
      <c r="O4" s="87">
        <v>12</v>
      </c>
      <c r="P4" s="87">
        <v>13</v>
      </c>
      <c r="Q4" s="87">
        <v>14</v>
      </c>
      <c r="R4" s="87">
        <v>15</v>
      </c>
      <c r="S4" s="87">
        <v>16</v>
      </c>
      <c r="T4" s="87">
        <v>17</v>
      </c>
      <c r="U4" s="87">
        <v>18</v>
      </c>
      <c r="V4" s="87">
        <v>19</v>
      </c>
      <c r="W4" s="87">
        <v>20</v>
      </c>
      <c r="X4" s="87">
        <v>21</v>
      </c>
      <c r="Y4" s="87">
        <v>22</v>
      </c>
      <c r="Z4" s="87">
        <v>23</v>
      </c>
      <c r="AA4" s="87">
        <v>24</v>
      </c>
      <c r="AB4" s="87">
        <v>25</v>
      </c>
      <c r="AC4" s="87">
        <v>26</v>
      </c>
      <c r="AD4" s="87">
        <v>27</v>
      </c>
      <c r="AE4" s="87">
        <v>28</v>
      </c>
      <c r="AF4" s="87">
        <v>29</v>
      </c>
      <c r="AG4" s="87">
        <v>30</v>
      </c>
      <c r="AH4" s="87">
        <v>31</v>
      </c>
      <c r="AI4" s="87">
        <v>32</v>
      </c>
      <c r="AJ4" s="87">
        <v>33</v>
      </c>
      <c r="AK4" s="87">
        <v>34</v>
      </c>
      <c r="AL4" s="87">
        <v>35</v>
      </c>
      <c r="AM4" s="87">
        <v>36</v>
      </c>
      <c r="AN4" s="87">
        <v>37</v>
      </c>
      <c r="AO4" s="87">
        <v>38</v>
      </c>
      <c r="AP4" s="87">
        <v>39</v>
      </c>
      <c r="AQ4" s="87">
        <v>40</v>
      </c>
      <c r="AR4" s="87">
        <v>41</v>
      </c>
      <c r="AS4" s="87">
        <v>42</v>
      </c>
      <c r="AT4" s="87">
        <v>43</v>
      </c>
      <c r="AU4" s="87">
        <v>44</v>
      </c>
      <c r="AV4" s="87">
        <v>45</v>
      </c>
      <c r="AW4" s="87">
        <v>46</v>
      </c>
      <c r="AX4" s="87">
        <v>47</v>
      </c>
      <c r="AY4" s="87">
        <v>48</v>
      </c>
      <c r="AZ4" s="87">
        <v>49</v>
      </c>
      <c r="BA4" s="87">
        <v>50</v>
      </c>
      <c r="BB4" s="87">
        <v>51</v>
      </c>
      <c r="BC4" s="87">
        <v>52</v>
      </c>
      <c r="BD4" s="87">
        <v>53</v>
      </c>
      <c r="BE4" s="87">
        <v>54</v>
      </c>
      <c r="BF4" s="87">
        <v>55</v>
      </c>
      <c r="BG4" s="87">
        <v>56</v>
      </c>
      <c r="BH4" s="87">
        <v>57</v>
      </c>
      <c r="BI4" s="87">
        <v>58</v>
      </c>
      <c r="BJ4" s="87">
        <v>59</v>
      </c>
      <c r="BK4" s="87">
        <v>60</v>
      </c>
      <c r="BL4" s="87">
        <v>61</v>
      </c>
      <c r="BM4" s="87">
        <v>62</v>
      </c>
      <c r="BN4" s="87">
        <v>63</v>
      </c>
      <c r="BO4" s="87">
        <v>64</v>
      </c>
      <c r="BP4" s="87">
        <v>65</v>
      </c>
      <c r="BQ4" s="87">
        <v>66</v>
      </c>
      <c r="BR4" s="87">
        <v>67</v>
      </c>
      <c r="BS4" s="87">
        <v>68</v>
      </c>
      <c r="BT4" s="87">
        <v>69</v>
      </c>
      <c r="BU4" s="87">
        <v>70</v>
      </c>
      <c r="BV4" s="87">
        <v>71</v>
      </c>
      <c r="BW4" s="87">
        <v>72</v>
      </c>
      <c r="BX4" s="87">
        <v>73</v>
      </c>
      <c r="BY4" s="87">
        <v>74</v>
      </c>
      <c r="BZ4" s="87">
        <v>75</v>
      </c>
      <c r="CA4" s="87">
        <v>76</v>
      </c>
      <c r="CB4" s="87">
        <v>77</v>
      </c>
      <c r="CC4" s="87">
        <v>78</v>
      </c>
      <c r="CD4" s="87">
        <v>79</v>
      </c>
      <c r="CE4" s="87">
        <v>80</v>
      </c>
      <c r="CF4" s="87">
        <v>81</v>
      </c>
      <c r="CG4" s="87">
        <v>82</v>
      </c>
      <c r="CH4" s="87">
        <v>83</v>
      </c>
      <c r="CI4" s="87">
        <v>84</v>
      </c>
      <c r="CJ4" s="87">
        <v>85</v>
      </c>
      <c r="CK4" s="87">
        <v>86</v>
      </c>
      <c r="CL4" s="87">
        <v>87</v>
      </c>
      <c r="CM4" s="87">
        <v>88</v>
      </c>
      <c r="CN4" s="87">
        <v>89</v>
      </c>
      <c r="CO4" s="87">
        <v>90</v>
      </c>
      <c r="CP4" s="87">
        <v>91</v>
      </c>
      <c r="CQ4" s="87">
        <v>92</v>
      </c>
      <c r="CR4" s="87">
        <v>93</v>
      </c>
      <c r="CS4" s="87">
        <v>94</v>
      </c>
      <c r="CT4" s="87">
        <v>95</v>
      </c>
      <c r="CU4" s="87">
        <v>96</v>
      </c>
      <c r="CV4" s="87">
        <v>97</v>
      </c>
      <c r="CW4" s="87">
        <v>98</v>
      </c>
      <c r="CX4" s="87">
        <v>99</v>
      </c>
      <c r="CY4" s="87">
        <v>100</v>
      </c>
      <c r="CZ4" s="87">
        <v>101</v>
      </c>
      <c r="DA4" s="87">
        <v>102</v>
      </c>
      <c r="DB4" s="87">
        <v>103</v>
      </c>
      <c r="DC4" s="87">
        <v>104</v>
      </c>
      <c r="DD4" s="87">
        <v>105</v>
      </c>
      <c r="DE4" s="87">
        <v>106</v>
      </c>
      <c r="DF4" s="87">
        <v>107</v>
      </c>
      <c r="DG4" s="87">
        <v>108</v>
      </c>
      <c r="DH4" s="87">
        <v>109</v>
      </c>
      <c r="DI4" s="87">
        <v>110</v>
      </c>
      <c r="DJ4" s="87">
        <v>111</v>
      </c>
      <c r="DK4" s="87">
        <v>112</v>
      </c>
      <c r="DL4" s="87">
        <v>113</v>
      </c>
      <c r="DM4" s="87">
        <v>114</v>
      </c>
      <c r="DN4" s="87">
        <v>115</v>
      </c>
      <c r="DO4" s="87">
        <v>116</v>
      </c>
      <c r="DP4" s="87">
        <v>117</v>
      </c>
      <c r="DQ4" s="87">
        <v>118</v>
      </c>
      <c r="DR4" s="87">
        <v>119</v>
      </c>
      <c r="DS4" s="87">
        <v>120</v>
      </c>
    </row>
    <row r="5" spans="1:123" ht="15" customHeight="1" x14ac:dyDescent="0.2">
      <c r="A5" s="25" t="s">
        <v>887</v>
      </c>
      <c r="B5" s="26"/>
      <c r="C5" s="26"/>
    </row>
    <row r="6" spans="1:123" ht="15" customHeight="1" x14ac:dyDescent="0.2">
      <c r="B6" s="37" t="s">
        <v>888</v>
      </c>
      <c r="D6" s="30">
        <v>0</v>
      </c>
      <c r="E6" s="30">
        <v>0</v>
      </c>
      <c r="F6" s="30">
        <v>0</v>
      </c>
      <c r="G6" s="30">
        <v>2</v>
      </c>
      <c r="H6" s="30">
        <v>2</v>
      </c>
      <c r="I6" s="30">
        <v>2</v>
      </c>
      <c r="J6" s="30">
        <v>1</v>
      </c>
      <c r="K6" s="30">
        <v>0</v>
      </c>
      <c r="L6" s="30">
        <v>0</v>
      </c>
      <c r="M6" s="30">
        <v>0</v>
      </c>
      <c r="N6" s="30">
        <v>0</v>
      </c>
      <c r="O6" s="30">
        <v>0</v>
      </c>
      <c r="P6" s="30">
        <v>0</v>
      </c>
      <c r="Q6" s="30">
        <v>0</v>
      </c>
      <c r="R6" s="30">
        <v>0</v>
      </c>
      <c r="S6" s="30">
        <v>0</v>
      </c>
      <c r="T6" s="30">
        <v>0</v>
      </c>
      <c r="U6" s="30">
        <v>0</v>
      </c>
      <c r="V6" s="30">
        <v>0</v>
      </c>
      <c r="W6" s="30">
        <v>0</v>
      </c>
      <c r="X6" s="30">
        <v>0</v>
      </c>
      <c r="Y6" s="30">
        <v>0</v>
      </c>
      <c r="Z6" s="30">
        <v>0</v>
      </c>
      <c r="AA6" s="30">
        <v>0</v>
      </c>
      <c r="AB6" s="30">
        <v>0</v>
      </c>
      <c r="AC6" s="30">
        <v>0</v>
      </c>
      <c r="AD6" s="30">
        <v>0</v>
      </c>
      <c r="AE6" s="30">
        <v>0</v>
      </c>
      <c r="AF6" s="30">
        <v>0</v>
      </c>
      <c r="AG6" s="30">
        <v>0</v>
      </c>
      <c r="AH6" s="30">
        <v>0</v>
      </c>
      <c r="AI6" s="30">
        <v>0</v>
      </c>
      <c r="AJ6" s="30">
        <v>0</v>
      </c>
      <c r="AK6" s="30">
        <v>0</v>
      </c>
      <c r="AL6" s="30">
        <v>0</v>
      </c>
      <c r="AM6" s="30">
        <v>0</v>
      </c>
      <c r="AN6" s="30">
        <v>0</v>
      </c>
      <c r="AO6" s="30">
        <v>0</v>
      </c>
      <c r="AP6" s="30">
        <v>0</v>
      </c>
      <c r="AQ6" s="30">
        <v>0</v>
      </c>
      <c r="AR6" s="30">
        <v>0</v>
      </c>
      <c r="AS6" s="30">
        <v>0</v>
      </c>
      <c r="AT6" s="30">
        <v>0</v>
      </c>
      <c r="AU6" s="30">
        <v>0</v>
      </c>
      <c r="AV6" s="30">
        <v>0</v>
      </c>
      <c r="AW6" s="30">
        <v>0</v>
      </c>
      <c r="AX6" s="30">
        <v>0</v>
      </c>
      <c r="AY6" s="30">
        <v>0</v>
      </c>
      <c r="AZ6" s="30">
        <v>0</v>
      </c>
      <c r="BA6" s="30">
        <v>0</v>
      </c>
      <c r="BB6" s="30">
        <v>0</v>
      </c>
      <c r="BC6" s="30">
        <v>0</v>
      </c>
      <c r="BD6" s="30">
        <v>0</v>
      </c>
      <c r="BE6" s="30">
        <v>0</v>
      </c>
      <c r="BF6" s="30">
        <v>0</v>
      </c>
      <c r="BG6" s="30">
        <v>0</v>
      </c>
      <c r="BH6" s="30">
        <v>0</v>
      </c>
      <c r="BI6" s="30">
        <v>0</v>
      </c>
      <c r="BJ6" s="30">
        <v>0</v>
      </c>
      <c r="BK6" s="30">
        <v>0</v>
      </c>
      <c r="BL6" s="30">
        <v>0</v>
      </c>
      <c r="BM6" s="30">
        <v>0</v>
      </c>
      <c r="BN6" s="30">
        <v>0</v>
      </c>
      <c r="BO6" s="30">
        <v>0</v>
      </c>
      <c r="BP6" s="30">
        <v>0</v>
      </c>
      <c r="BQ6" s="30">
        <v>0</v>
      </c>
      <c r="BR6" s="30">
        <v>0</v>
      </c>
      <c r="BS6" s="30">
        <v>0</v>
      </c>
      <c r="BT6" s="30">
        <v>0</v>
      </c>
      <c r="BU6" s="30">
        <v>0</v>
      </c>
      <c r="BV6" s="30">
        <v>0</v>
      </c>
      <c r="BW6" s="30">
        <v>0</v>
      </c>
      <c r="BX6" s="30">
        <v>0</v>
      </c>
      <c r="BY6" s="30">
        <v>0</v>
      </c>
      <c r="BZ6" s="30">
        <v>0</v>
      </c>
      <c r="CA6" s="30">
        <v>0</v>
      </c>
      <c r="CB6" s="30">
        <v>0</v>
      </c>
      <c r="CC6" s="30">
        <v>0</v>
      </c>
      <c r="CD6" s="30">
        <v>0</v>
      </c>
      <c r="CE6" s="30">
        <v>0</v>
      </c>
      <c r="CF6" s="30">
        <v>0</v>
      </c>
      <c r="CG6" s="30">
        <v>0</v>
      </c>
      <c r="CH6" s="30">
        <v>0</v>
      </c>
      <c r="CI6" s="30">
        <v>0</v>
      </c>
      <c r="CJ6" s="30">
        <v>0</v>
      </c>
      <c r="CK6" s="30">
        <v>0</v>
      </c>
      <c r="CL6" s="30">
        <v>0</v>
      </c>
      <c r="CM6" s="30">
        <v>0</v>
      </c>
      <c r="CN6" s="30">
        <v>0</v>
      </c>
      <c r="CO6" s="30">
        <v>0</v>
      </c>
      <c r="CP6" s="30">
        <v>0</v>
      </c>
      <c r="CQ6" s="30">
        <v>0</v>
      </c>
      <c r="CR6" s="30">
        <v>0</v>
      </c>
      <c r="CS6" s="30">
        <v>0</v>
      </c>
      <c r="CT6" s="30">
        <v>0</v>
      </c>
      <c r="CU6" s="30">
        <v>0</v>
      </c>
      <c r="CV6" s="30">
        <v>0</v>
      </c>
      <c r="CW6" s="30">
        <v>0</v>
      </c>
      <c r="CX6" s="30">
        <v>0</v>
      </c>
      <c r="CY6" s="30">
        <v>0</v>
      </c>
      <c r="CZ6" s="30">
        <v>0</v>
      </c>
      <c r="DA6" s="30">
        <v>0</v>
      </c>
      <c r="DB6" s="30">
        <v>0</v>
      </c>
      <c r="DC6" s="30">
        <v>0</v>
      </c>
      <c r="DD6" s="30">
        <v>0</v>
      </c>
      <c r="DE6" s="30">
        <v>0</v>
      </c>
      <c r="DF6" s="30">
        <v>0</v>
      </c>
      <c r="DG6" s="30">
        <v>0</v>
      </c>
      <c r="DH6" s="30">
        <v>0</v>
      </c>
      <c r="DI6" s="30">
        <v>0</v>
      </c>
      <c r="DJ6" s="30">
        <v>0</v>
      </c>
      <c r="DK6" s="30">
        <v>0</v>
      </c>
      <c r="DL6" s="30">
        <v>0</v>
      </c>
      <c r="DM6" s="30">
        <v>0</v>
      </c>
      <c r="DN6" s="30">
        <v>0</v>
      </c>
      <c r="DO6" s="30">
        <v>0</v>
      </c>
      <c r="DP6" s="30">
        <v>0</v>
      </c>
      <c r="DQ6" s="30">
        <v>0</v>
      </c>
      <c r="DR6" s="30">
        <v>0</v>
      </c>
      <c r="DS6" s="30">
        <v>0</v>
      </c>
    </row>
    <row r="7" spans="1:123" ht="15" customHeight="1" x14ac:dyDescent="0.2">
      <c r="B7" s="37" t="s">
        <v>889</v>
      </c>
      <c r="D7" s="30">
        <v>0</v>
      </c>
      <c r="E7" s="30">
        <v>0</v>
      </c>
      <c r="F7" s="30">
        <v>0</v>
      </c>
      <c r="G7" s="30">
        <v>0</v>
      </c>
      <c r="H7" s="30">
        <v>0</v>
      </c>
      <c r="I7" s="30">
        <v>0</v>
      </c>
      <c r="J7" s="30">
        <v>1</v>
      </c>
      <c r="K7" s="30">
        <v>2</v>
      </c>
      <c r="L7" s="30">
        <v>0</v>
      </c>
      <c r="M7" s="30">
        <v>0</v>
      </c>
      <c r="N7" s="30">
        <v>0</v>
      </c>
      <c r="O7" s="30">
        <v>0</v>
      </c>
      <c r="P7" s="30">
        <v>0</v>
      </c>
      <c r="Q7" s="30">
        <v>0</v>
      </c>
      <c r="R7" s="30">
        <v>0</v>
      </c>
      <c r="S7" s="30">
        <v>0</v>
      </c>
      <c r="T7" s="30">
        <v>0</v>
      </c>
      <c r="U7" s="30">
        <v>0</v>
      </c>
      <c r="V7" s="30">
        <v>0</v>
      </c>
      <c r="W7" s="30">
        <v>0</v>
      </c>
      <c r="X7" s="30">
        <v>0</v>
      </c>
      <c r="Y7" s="30">
        <v>0</v>
      </c>
      <c r="Z7" s="30">
        <v>0</v>
      </c>
      <c r="AA7" s="30">
        <v>0</v>
      </c>
      <c r="AB7" s="30">
        <v>0</v>
      </c>
      <c r="AC7" s="30">
        <v>0</v>
      </c>
      <c r="AD7" s="30">
        <v>0</v>
      </c>
      <c r="AE7" s="30">
        <v>0</v>
      </c>
      <c r="AF7" s="30">
        <v>0</v>
      </c>
      <c r="AG7" s="30">
        <v>0</v>
      </c>
      <c r="AH7" s="30">
        <v>0</v>
      </c>
      <c r="AI7" s="30">
        <v>0</v>
      </c>
      <c r="AJ7" s="30">
        <v>0</v>
      </c>
      <c r="AK7" s="30">
        <v>0</v>
      </c>
      <c r="AL7" s="30">
        <v>0</v>
      </c>
      <c r="AM7" s="30">
        <v>0</v>
      </c>
      <c r="AN7" s="30">
        <v>0</v>
      </c>
      <c r="AO7" s="30">
        <v>0</v>
      </c>
      <c r="AP7" s="30">
        <v>0</v>
      </c>
      <c r="AQ7" s="30">
        <v>0</v>
      </c>
      <c r="AR7" s="30">
        <v>0</v>
      </c>
      <c r="AS7" s="30">
        <v>0</v>
      </c>
      <c r="AT7" s="30">
        <v>0</v>
      </c>
      <c r="AU7" s="30">
        <v>0</v>
      </c>
      <c r="AV7" s="30">
        <v>0</v>
      </c>
      <c r="AW7" s="30">
        <v>0</v>
      </c>
      <c r="AX7" s="30">
        <v>0</v>
      </c>
      <c r="AY7" s="30">
        <v>0</v>
      </c>
      <c r="AZ7" s="30">
        <v>0</v>
      </c>
      <c r="BA7" s="30">
        <v>0</v>
      </c>
      <c r="BB7" s="30">
        <v>0</v>
      </c>
      <c r="BC7" s="30">
        <v>0</v>
      </c>
      <c r="BD7" s="30">
        <v>0</v>
      </c>
      <c r="BE7" s="30">
        <v>0</v>
      </c>
      <c r="BF7" s="30">
        <v>0</v>
      </c>
      <c r="BG7" s="30">
        <v>0</v>
      </c>
      <c r="BH7" s="30">
        <v>0</v>
      </c>
      <c r="BI7" s="30">
        <v>0</v>
      </c>
      <c r="BJ7" s="30">
        <v>0</v>
      </c>
      <c r="BK7" s="30">
        <v>0</v>
      </c>
      <c r="BL7" s="30">
        <v>0</v>
      </c>
      <c r="BM7" s="30">
        <v>0</v>
      </c>
      <c r="BN7" s="30">
        <v>0</v>
      </c>
      <c r="BO7" s="30">
        <v>0</v>
      </c>
      <c r="BP7" s="30">
        <v>0</v>
      </c>
      <c r="BQ7" s="30">
        <v>0</v>
      </c>
      <c r="BR7" s="30">
        <v>0</v>
      </c>
      <c r="BS7" s="30">
        <v>0</v>
      </c>
      <c r="BT7" s="30">
        <v>0</v>
      </c>
      <c r="BU7" s="30">
        <v>0</v>
      </c>
      <c r="BV7" s="30">
        <v>0</v>
      </c>
      <c r="BW7" s="30">
        <v>0</v>
      </c>
      <c r="BX7" s="30">
        <v>0</v>
      </c>
      <c r="BY7" s="30">
        <v>0</v>
      </c>
      <c r="BZ7" s="30">
        <v>0</v>
      </c>
      <c r="CA7" s="30">
        <v>0</v>
      </c>
      <c r="CB7" s="30">
        <v>0</v>
      </c>
      <c r="CC7" s="30">
        <v>0</v>
      </c>
      <c r="CD7" s="30">
        <v>0</v>
      </c>
      <c r="CE7" s="30">
        <v>0</v>
      </c>
      <c r="CF7" s="30">
        <v>0</v>
      </c>
      <c r="CG7" s="30">
        <v>0</v>
      </c>
      <c r="CH7" s="30">
        <v>0</v>
      </c>
      <c r="CI7" s="30">
        <v>0</v>
      </c>
      <c r="CJ7" s="30">
        <v>0</v>
      </c>
      <c r="CK7" s="30">
        <v>0</v>
      </c>
      <c r="CL7" s="30">
        <v>0</v>
      </c>
      <c r="CM7" s="30">
        <v>0</v>
      </c>
      <c r="CN7" s="30">
        <v>0</v>
      </c>
      <c r="CO7" s="30">
        <v>0</v>
      </c>
      <c r="CP7" s="30">
        <v>0</v>
      </c>
      <c r="CQ7" s="30">
        <v>0</v>
      </c>
      <c r="CR7" s="30">
        <v>0</v>
      </c>
      <c r="CS7" s="30">
        <v>0</v>
      </c>
      <c r="CT7" s="30">
        <v>0</v>
      </c>
      <c r="CU7" s="30">
        <v>0</v>
      </c>
      <c r="CV7" s="30">
        <v>0</v>
      </c>
      <c r="CW7" s="30">
        <v>0</v>
      </c>
      <c r="CX7" s="30">
        <v>0</v>
      </c>
      <c r="CY7" s="30">
        <v>0</v>
      </c>
      <c r="CZ7" s="30">
        <v>0</v>
      </c>
      <c r="DA7" s="30">
        <v>0</v>
      </c>
      <c r="DB7" s="30">
        <v>0</v>
      </c>
      <c r="DC7" s="30">
        <v>0</v>
      </c>
      <c r="DD7" s="30">
        <v>0</v>
      </c>
      <c r="DE7" s="30">
        <v>0</v>
      </c>
      <c r="DF7" s="30">
        <v>0</v>
      </c>
      <c r="DG7" s="30">
        <v>0</v>
      </c>
      <c r="DH7" s="30">
        <v>0</v>
      </c>
      <c r="DI7" s="30">
        <v>0</v>
      </c>
      <c r="DJ7" s="30">
        <v>0</v>
      </c>
      <c r="DK7" s="30">
        <v>0</v>
      </c>
      <c r="DL7" s="30">
        <v>0</v>
      </c>
      <c r="DM7" s="30">
        <v>0</v>
      </c>
      <c r="DN7" s="30">
        <v>0</v>
      </c>
      <c r="DO7" s="30">
        <v>0</v>
      </c>
      <c r="DP7" s="30">
        <v>0</v>
      </c>
      <c r="DQ7" s="30">
        <v>0</v>
      </c>
      <c r="DR7" s="30">
        <v>0</v>
      </c>
      <c r="DS7" s="30">
        <v>0</v>
      </c>
    </row>
    <row r="8" spans="1:123" ht="15" customHeight="1" x14ac:dyDescent="0.2">
      <c r="B8" s="37" t="s">
        <v>890</v>
      </c>
      <c r="D8" s="88">
        <f>D6</f>
        <v>0</v>
      </c>
      <c r="E8" s="88">
        <f t="shared" ref="E8:AJ8" si="0">D8+E6</f>
        <v>0</v>
      </c>
      <c r="F8" s="88">
        <f t="shared" si="0"/>
        <v>0</v>
      </c>
      <c r="G8" s="88">
        <f t="shared" si="0"/>
        <v>2</v>
      </c>
      <c r="H8" s="88">
        <f t="shared" si="0"/>
        <v>4</v>
      </c>
      <c r="I8" s="88">
        <f t="shared" si="0"/>
        <v>6</v>
      </c>
      <c r="J8" s="88">
        <f t="shared" si="0"/>
        <v>7</v>
      </c>
      <c r="K8" s="88">
        <f t="shared" si="0"/>
        <v>7</v>
      </c>
      <c r="L8" s="88">
        <f t="shared" si="0"/>
        <v>7</v>
      </c>
      <c r="M8" s="88">
        <f t="shared" si="0"/>
        <v>7</v>
      </c>
      <c r="N8" s="88">
        <f t="shared" si="0"/>
        <v>7</v>
      </c>
      <c r="O8" s="88">
        <f t="shared" si="0"/>
        <v>7</v>
      </c>
      <c r="P8" s="88">
        <f t="shared" si="0"/>
        <v>7</v>
      </c>
      <c r="Q8" s="88">
        <f t="shared" si="0"/>
        <v>7</v>
      </c>
      <c r="R8" s="88">
        <f t="shared" si="0"/>
        <v>7</v>
      </c>
      <c r="S8" s="88">
        <f t="shared" si="0"/>
        <v>7</v>
      </c>
      <c r="T8" s="88">
        <f t="shared" si="0"/>
        <v>7</v>
      </c>
      <c r="U8" s="88">
        <f t="shared" si="0"/>
        <v>7</v>
      </c>
      <c r="V8" s="88">
        <f t="shared" si="0"/>
        <v>7</v>
      </c>
      <c r="W8" s="88">
        <f t="shared" si="0"/>
        <v>7</v>
      </c>
      <c r="X8" s="88">
        <f t="shared" si="0"/>
        <v>7</v>
      </c>
      <c r="Y8" s="88">
        <f t="shared" si="0"/>
        <v>7</v>
      </c>
      <c r="Z8" s="88">
        <f t="shared" si="0"/>
        <v>7</v>
      </c>
      <c r="AA8" s="88">
        <f t="shared" si="0"/>
        <v>7</v>
      </c>
      <c r="AB8" s="88">
        <f t="shared" si="0"/>
        <v>7</v>
      </c>
      <c r="AC8" s="88">
        <f t="shared" si="0"/>
        <v>7</v>
      </c>
      <c r="AD8" s="88">
        <f t="shared" si="0"/>
        <v>7</v>
      </c>
      <c r="AE8" s="88">
        <f t="shared" si="0"/>
        <v>7</v>
      </c>
      <c r="AF8" s="88">
        <f t="shared" si="0"/>
        <v>7</v>
      </c>
      <c r="AG8" s="88">
        <f t="shared" si="0"/>
        <v>7</v>
      </c>
      <c r="AH8" s="88">
        <f t="shared" si="0"/>
        <v>7</v>
      </c>
      <c r="AI8" s="88">
        <f t="shared" si="0"/>
        <v>7</v>
      </c>
      <c r="AJ8" s="88">
        <f t="shared" si="0"/>
        <v>7</v>
      </c>
      <c r="AK8" s="88">
        <f t="shared" ref="AK8:BP8" si="1">AJ8+AK6</f>
        <v>7</v>
      </c>
      <c r="AL8" s="88">
        <f t="shared" si="1"/>
        <v>7</v>
      </c>
      <c r="AM8" s="88">
        <f t="shared" si="1"/>
        <v>7</v>
      </c>
      <c r="AN8" s="88">
        <f t="shared" si="1"/>
        <v>7</v>
      </c>
      <c r="AO8" s="88">
        <f t="shared" si="1"/>
        <v>7</v>
      </c>
      <c r="AP8" s="88">
        <f t="shared" si="1"/>
        <v>7</v>
      </c>
      <c r="AQ8" s="88">
        <f t="shared" si="1"/>
        <v>7</v>
      </c>
      <c r="AR8" s="88">
        <f t="shared" si="1"/>
        <v>7</v>
      </c>
      <c r="AS8" s="88">
        <f t="shared" si="1"/>
        <v>7</v>
      </c>
      <c r="AT8" s="88">
        <f t="shared" si="1"/>
        <v>7</v>
      </c>
      <c r="AU8" s="88">
        <f t="shared" si="1"/>
        <v>7</v>
      </c>
      <c r="AV8" s="88">
        <f t="shared" si="1"/>
        <v>7</v>
      </c>
      <c r="AW8" s="88">
        <f t="shared" si="1"/>
        <v>7</v>
      </c>
      <c r="AX8" s="88">
        <f t="shared" si="1"/>
        <v>7</v>
      </c>
      <c r="AY8" s="88">
        <f t="shared" si="1"/>
        <v>7</v>
      </c>
      <c r="AZ8" s="88">
        <f t="shared" si="1"/>
        <v>7</v>
      </c>
      <c r="BA8" s="88">
        <f t="shared" si="1"/>
        <v>7</v>
      </c>
      <c r="BB8" s="88">
        <f t="shared" si="1"/>
        <v>7</v>
      </c>
      <c r="BC8" s="88">
        <f t="shared" si="1"/>
        <v>7</v>
      </c>
      <c r="BD8" s="88">
        <f t="shared" si="1"/>
        <v>7</v>
      </c>
      <c r="BE8" s="88">
        <f t="shared" si="1"/>
        <v>7</v>
      </c>
      <c r="BF8" s="88">
        <f t="shared" si="1"/>
        <v>7</v>
      </c>
      <c r="BG8" s="88">
        <f t="shared" si="1"/>
        <v>7</v>
      </c>
      <c r="BH8" s="88">
        <f t="shared" si="1"/>
        <v>7</v>
      </c>
      <c r="BI8" s="88">
        <f t="shared" si="1"/>
        <v>7</v>
      </c>
      <c r="BJ8" s="88">
        <f t="shared" si="1"/>
        <v>7</v>
      </c>
      <c r="BK8" s="88">
        <f t="shared" si="1"/>
        <v>7</v>
      </c>
      <c r="BL8" s="88">
        <f t="shared" si="1"/>
        <v>7</v>
      </c>
      <c r="BM8" s="88">
        <f t="shared" si="1"/>
        <v>7</v>
      </c>
      <c r="BN8" s="88">
        <f t="shared" si="1"/>
        <v>7</v>
      </c>
      <c r="BO8" s="88">
        <f t="shared" si="1"/>
        <v>7</v>
      </c>
      <c r="BP8" s="88">
        <f t="shared" si="1"/>
        <v>7</v>
      </c>
      <c r="BQ8" s="88">
        <f t="shared" ref="BQ8:CV8" si="2">BP8+BQ6</f>
        <v>7</v>
      </c>
      <c r="BR8" s="88">
        <f t="shared" si="2"/>
        <v>7</v>
      </c>
      <c r="BS8" s="88">
        <f t="shared" si="2"/>
        <v>7</v>
      </c>
      <c r="BT8" s="88">
        <f t="shared" si="2"/>
        <v>7</v>
      </c>
      <c r="BU8" s="88">
        <f t="shared" si="2"/>
        <v>7</v>
      </c>
      <c r="BV8" s="88">
        <f t="shared" si="2"/>
        <v>7</v>
      </c>
      <c r="BW8" s="88">
        <f t="shared" si="2"/>
        <v>7</v>
      </c>
      <c r="BX8" s="88">
        <f t="shared" si="2"/>
        <v>7</v>
      </c>
      <c r="BY8" s="88">
        <f t="shared" si="2"/>
        <v>7</v>
      </c>
      <c r="BZ8" s="88">
        <f t="shared" si="2"/>
        <v>7</v>
      </c>
      <c r="CA8" s="88">
        <f t="shared" si="2"/>
        <v>7</v>
      </c>
      <c r="CB8" s="88">
        <f t="shared" si="2"/>
        <v>7</v>
      </c>
      <c r="CC8" s="88">
        <f t="shared" si="2"/>
        <v>7</v>
      </c>
      <c r="CD8" s="88">
        <f t="shared" si="2"/>
        <v>7</v>
      </c>
      <c r="CE8" s="88">
        <f t="shared" si="2"/>
        <v>7</v>
      </c>
      <c r="CF8" s="88">
        <f t="shared" si="2"/>
        <v>7</v>
      </c>
      <c r="CG8" s="88">
        <f t="shared" si="2"/>
        <v>7</v>
      </c>
      <c r="CH8" s="88">
        <f t="shared" si="2"/>
        <v>7</v>
      </c>
      <c r="CI8" s="88">
        <f t="shared" si="2"/>
        <v>7</v>
      </c>
      <c r="CJ8" s="88">
        <f t="shared" si="2"/>
        <v>7</v>
      </c>
      <c r="CK8" s="88">
        <f t="shared" si="2"/>
        <v>7</v>
      </c>
      <c r="CL8" s="88">
        <f t="shared" si="2"/>
        <v>7</v>
      </c>
      <c r="CM8" s="88">
        <f t="shared" si="2"/>
        <v>7</v>
      </c>
      <c r="CN8" s="88">
        <f t="shared" si="2"/>
        <v>7</v>
      </c>
      <c r="CO8" s="88">
        <f t="shared" si="2"/>
        <v>7</v>
      </c>
      <c r="CP8" s="88">
        <f t="shared" si="2"/>
        <v>7</v>
      </c>
      <c r="CQ8" s="88">
        <f t="shared" si="2"/>
        <v>7</v>
      </c>
      <c r="CR8" s="88">
        <f t="shared" si="2"/>
        <v>7</v>
      </c>
      <c r="CS8" s="88">
        <f t="shared" si="2"/>
        <v>7</v>
      </c>
      <c r="CT8" s="88">
        <f t="shared" si="2"/>
        <v>7</v>
      </c>
      <c r="CU8" s="88">
        <f t="shared" si="2"/>
        <v>7</v>
      </c>
      <c r="CV8" s="88">
        <f t="shared" si="2"/>
        <v>7</v>
      </c>
      <c r="CW8" s="88">
        <f t="shared" ref="CW8:DS8" si="3">CV8+CW6</f>
        <v>7</v>
      </c>
      <c r="CX8" s="88">
        <f t="shared" si="3"/>
        <v>7</v>
      </c>
      <c r="CY8" s="88">
        <f t="shared" si="3"/>
        <v>7</v>
      </c>
      <c r="CZ8" s="88">
        <f t="shared" si="3"/>
        <v>7</v>
      </c>
      <c r="DA8" s="88">
        <f t="shared" si="3"/>
        <v>7</v>
      </c>
      <c r="DB8" s="88">
        <f t="shared" si="3"/>
        <v>7</v>
      </c>
      <c r="DC8" s="88">
        <f t="shared" si="3"/>
        <v>7</v>
      </c>
      <c r="DD8" s="88">
        <f t="shared" si="3"/>
        <v>7</v>
      </c>
      <c r="DE8" s="88">
        <f t="shared" si="3"/>
        <v>7</v>
      </c>
      <c r="DF8" s="88">
        <f t="shared" si="3"/>
        <v>7</v>
      </c>
      <c r="DG8" s="88">
        <f t="shared" si="3"/>
        <v>7</v>
      </c>
      <c r="DH8" s="88">
        <f t="shared" si="3"/>
        <v>7</v>
      </c>
      <c r="DI8" s="88">
        <f t="shared" si="3"/>
        <v>7</v>
      </c>
      <c r="DJ8" s="88">
        <f t="shared" si="3"/>
        <v>7</v>
      </c>
      <c r="DK8" s="88">
        <f t="shared" si="3"/>
        <v>7</v>
      </c>
      <c r="DL8" s="88">
        <f t="shared" si="3"/>
        <v>7</v>
      </c>
      <c r="DM8" s="88">
        <f t="shared" si="3"/>
        <v>7</v>
      </c>
      <c r="DN8" s="88">
        <f t="shared" si="3"/>
        <v>7</v>
      </c>
      <c r="DO8" s="88">
        <f t="shared" si="3"/>
        <v>7</v>
      </c>
      <c r="DP8" s="88">
        <f t="shared" si="3"/>
        <v>7</v>
      </c>
      <c r="DQ8" s="88">
        <f t="shared" si="3"/>
        <v>7</v>
      </c>
      <c r="DR8" s="88">
        <f t="shared" si="3"/>
        <v>7</v>
      </c>
      <c r="DS8" s="88">
        <f t="shared" si="3"/>
        <v>7</v>
      </c>
    </row>
    <row r="9" spans="1:123" ht="15" customHeight="1" x14ac:dyDescent="0.2">
      <c r="B9" s="37" t="s">
        <v>891</v>
      </c>
      <c r="D9" s="88">
        <f>D7</f>
        <v>0</v>
      </c>
      <c r="E9" s="88">
        <f t="shared" ref="E9:AJ9" si="4">D9+E7</f>
        <v>0</v>
      </c>
      <c r="F9" s="88">
        <f t="shared" si="4"/>
        <v>0</v>
      </c>
      <c r="G9" s="88">
        <f t="shared" si="4"/>
        <v>0</v>
      </c>
      <c r="H9" s="88">
        <f t="shared" si="4"/>
        <v>0</v>
      </c>
      <c r="I9" s="88">
        <f t="shared" si="4"/>
        <v>0</v>
      </c>
      <c r="J9" s="88">
        <f t="shared" si="4"/>
        <v>1</v>
      </c>
      <c r="K9" s="88">
        <f t="shared" si="4"/>
        <v>3</v>
      </c>
      <c r="L9" s="88">
        <f t="shared" si="4"/>
        <v>3</v>
      </c>
      <c r="M9" s="88">
        <f t="shared" si="4"/>
        <v>3</v>
      </c>
      <c r="N9" s="88">
        <f t="shared" si="4"/>
        <v>3</v>
      </c>
      <c r="O9" s="88">
        <f t="shared" si="4"/>
        <v>3</v>
      </c>
      <c r="P9" s="88">
        <f t="shared" si="4"/>
        <v>3</v>
      </c>
      <c r="Q9" s="88">
        <f t="shared" si="4"/>
        <v>3</v>
      </c>
      <c r="R9" s="88">
        <f t="shared" si="4"/>
        <v>3</v>
      </c>
      <c r="S9" s="88">
        <f t="shared" si="4"/>
        <v>3</v>
      </c>
      <c r="T9" s="88">
        <f t="shared" si="4"/>
        <v>3</v>
      </c>
      <c r="U9" s="88">
        <f t="shared" si="4"/>
        <v>3</v>
      </c>
      <c r="V9" s="88">
        <f t="shared" si="4"/>
        <v>3</v>
      </c>
      <c r="W9" s="88">
        <f t="shared" si="4"/>
        <v>3</v>
      </c>
      <c r="X9" s="88">
        <f t="shared" si="4"/>
        <v>3</v>
      </c>
      <c r="Y9" s="88">
        <f t="shared" si="4"/>
        <v>3</v>
      </c>
      <c r="Z9" s="88">
        <f t="shared" si="4"/>
        <v>3</v>
      </c>
      <c r="AA9" s="88">
        <f t="shared" si="4"/>
        <v>3</v>
      </c>
      <c r="AB9" s="88">
        <f t="shared" si="4"/>
        <v>3</v>
      </c>
      <c r="AC9" s="88">
        <f t="shared" si="4"/>
        <v>3</v>
      </c>
      <c r="AD9" s="88">
        <f t="shared" si="4"/>
        <v>3</v>
      </c>
      <c r="AE9" s="88">
        <f t="shared" si="4"/>
        <v>3</v>
      </c>
      <c r="AF9" s="88">
        <f t="shared" si="4"/>
        <v>3</v>
      </c>
      <c r="AG9" s="88">
        <f t="shared" si="4"/>
        <v>3</v>
      </c>
      <c r="AH9" s="88">
        <f t="shared" si="4"/>
        <v>3</v>
      </c>
      <c r="AI9" s="88">
        <f t="shared" si="4"/>
        <v>3</v>
      </c>
      <c r="AJ9" s="88">
        <f t="shared" si="4"/>
        <v>3</v>
      </c>
      <c r="AK9" s="88">
        <f t="shared" ref="AK9:BP9" si="5">AJ9+AK7</f>
        <v>3</v>
      </c>
      <c r="AL9" s="88">
        <f t="shared" si="5"/>
        <v>3</v>
      </c>
      <c r="AM9" s="88">
        <f t="shared" si="5"/>
        <v>3</v>
      </c>
      <c r="AN9" s="88">
        <f t="shared" si="5"/>
        <v>3</v>
      </c>
      <c r="AO9" s="88">
        <f t="shared" si="5"/>
        <v>3</v>
      </c>
      <c r="AP9" s="88">
        <f t="shared" si="5"/>
        <v>3</v>
      </c>
      <c r="AQ9" s="88">
        <f t="shared" si="5"/>
        <v>3</v>
      </c>
      <c r="AR9" s="88">
        <f t="shared" si="5"/>
        <v>3</v>
      </c>
      <c r="AS9" s="88">
        <f t="shared" si="5"/>
        <v>3</v>
      </c>
      <c r="AT9" s="88">
        <f t="shared" si="5"/>
        <v>3</v>
      </c>
      <c r="AU9" s="88">
        <f t="shared" si="5"/>
        <v>3</v>
      </c>
      <c r="AV9" s="88">
        <f t="shared" si="5"/>
        <v>3</v>
      </c>
      <c r="AW9" s="88">
        <f t="shared" si="5"/>
        <v>3</v>
      </c>
      <c r="AX9" s="88">
        <f t="shared" si="5"/>
        <v>3</v>
      </c>
      <c r="AY9" s="88">
        <f t="shared" si="5"/>
        <v>3</v>
      </c>
      <c r="AZ9" s="88">
        <f t="shared" si="5"/>
        <v>3</v>
      </c>
      <c r="BA9" s="88">
        <f t="shared" si="5"/>
        <v>3</v>
      </c>
      <c r="BB9" s="88">
        <f t="shared" si="5"/>
        <v>3</v>
      </c>
      <c r="BC9" s="88">
        <f t="shared" si="5"/>
        <v>3</v>
      </c>
      <c r="BD9" s="88">
        <f t="shared" si="5"/>
        <v>3</v>
      </c>
      <c r="BE9" s="88">
        <f t="shared" si="5"/>
        <v>3</v>
      </c>
      <c r="BF9" s="88">
        <f t="shared" si="5"/>
        <v>3</v>
      </c>
      <c r="BG9" s="88">
        <f t="shared" si="5"/>
        <v>3</v>
      </c>
      <c r="BH9" s="88">
        <f t="shared" si="5"/>
        <v>3</v>
      </c>
      <c r="BI9" s="88">
        <f t="shared" si="5"/>
        <v>3</v>
      </c>
      <c r="BJ9" s="88">
        <f t="shared" si="5"/>
        <v>3</v>
      </c>
      <c r="BK9" s="88">
        <f t="shared" si="5"/>
        <v>3</v>
      </c>
      <c r="BL9" s="88">
        <f t="shared" si="5"/>
        <v>3</v>
      </c>
      <c r="BM9" s="88">
        <f t="shared" si="5"/>
        <v>3</v>
      </c>
      <c r="BN9" s="88">
        <f t="shared" si="5"/>
        <v>3</v>
      </c>
      <c r="BO9" s="88">
        <f t="shared" si="5"/>
        <v>3</v>
      </c>
      <c r="BP9" s="88">
        <f t="shared" si="5"/>
        <v>3</v>
      </c>
      <c r="BQ9" s="88">
        <f t="shared" ref="BQ9:CV9" si="6">BP9+BQ7</f>
        <v>3</v>
      </c>
      <c r="BR9" s="88">
        <f t="shared" si="6"/>
        <v>3</v>
      </c>
      <c r="BS9" s="88">
        <f t="shared" si="6"/>
        <v>3</v>
      </c>
      <c r="BT9" s="88">
        <f t="shared" si="6"/>
        <v>3</v>
      </c>
      <c r="BU9" s="88">
        <f t="shared" si="6"/>
        <v>3</v>
      </c>
      <c r="BV9" s="88">
        <f t="shared" si="6"/>
        <v>3</v>
      </c>
      <c r="BW9" s="88">
        <f t="shared" si="6"/>
        <v>3</v>
      </c>
      <c r="BX9" s="88">
        <f t="shared" si="6"/>
        <v>3</v>
      </c>
      <c r="BY9" s="88">
        <f t="shared" si="6"/>
        <v>3</v>
      </c>
      <c r="BZ9" s="88">
        <f t="shared" si="6"/>
        <v>3</v>
      </c>
      <c r="CA9" s="88">
        <f t="shared" si="6"/>
        <v>3</v>
      </c>
      <c r="CB9" s="88">
        <f t="shared" si="6"/>
        <v>3</v>
      </c>
      <c r="CC9" s="88">
        <f t="shared" si="6"/>
        <v>3</v>
      </c>
      <c r="CD9" s="88">
        <f t="shared" si="6"/>
        <v>3</v>
      </c>
      <c r="CE9" s="88">
        <f t="shared" si="6"/>
        <v>3</v>
      </c>
      <c r="CF9" s="88">
        <f t="shared" si="6"/>
        <v>3</v>
      </c>
      <c r="CG9" s="88">
        <f t="shared" si="6"/>
        <v>3</v>
      </c>
      <c r="CH9" s="88">
        <f t="shared" si="6"/>
        <v>3</v>
      </c>
      <c r="CI9" s="88">
        <f t="shared" si="6"/>
        <v>3</v>
      </c>
      <c r="CJ9" s="88">
        <f t="shared" si="6"/>
        <v>3</v>
      </c>
      <c r="CK9" s="88">
        <f t="shared" si="6"/>
        <v>3</v>
      </c>
      <c r="CL9" s="88">
        <f t="shared" si="6"/>
        <v>3</v>
      </c>
      <c r="CM9" s="88">
        <f t="shared" si="6"/>
        <v>3</v>
      </c>
      <c r="CN9" s="88">
        <f t="shared" si="6"/>
        <v>3</v>
      </c>
      <c r="CO9" s="88">
        <f t="shared" si="6"/>
        <v>3</v>
      </c>
      <c r="CP9" s="88">
        <f t="shared" si="6"/>
        <v>3</v>
      </c>
      <c r="CQ9" s="88">
        <f t="shared" si="6"/>
        <v>3</v>
      </c>
      <c r="CR9" s="88">
        <f t="shared" si="6"/>
        <v>3</v>
      </c>
      <c r="CS9" s="88">
        <f t="shared" si="6"/>
        <v>3</v>
      </c>
      <c r="CT9" s="88">
        <f t="shared" si="6"/>
        <v>3</v>
      </c>
      <c r="CU9" s="88">
        <f t="shared" si="6"/>
        <v>3</v>
      </c>
      <c r="CV9" s="88">
        <f t="shared" si="6"/>
        <v>3</v>
      </c>
      <c r="CW9" s="88">
        <f t="shared" ref="CW9:DS9" si="7">CV9+CW7</f>
        <v>3</v>
      </c>
      <c r="CX9" s="88">
        <f t="shared" si="7"/>
        <v>3</v>
      </c>
      <c r="CY9" s="88">
        <f t="shared" si="7"/>
        <v>3</v>
      </c>
      <c r="CZ9" s="88">
        <f t="shared" si="7"/>
        <v>3</v>
      </c>
      <c r="DA9" s="88">
        <f t="shared" si="7"/>
        <v>3</v>
      </c>
      <c r="DB9" s="88">
        <f t="shared" si="7"/>
        <v>3</v>
      </c>
      <c r="DC9" s="88">
        <f t="shared" si="7"/>
        <v>3</v>
      </c>
      <c r="DD9" s="88">
        <f t="shared" si="7"/>
        <v>3</v>
      </c>
      <c r="DE9" s="88">
        <f t="shared" si="7"/>
        <v>3</v>
      </c>
      <c r="DF9" s="88">
        <f t="shared" si="7"/>
        <v>3</v>
      </c>
      <c r="DG9" s="88">
        <f t="shared" si="7"/>
        <v>3</v>
      </c>
      <c r="DH9" s="88">
        <f t="shared" si="7"/>
        <v>3</v>
      </c>
      <c r="DI9" s="88">
        <f t="shared" si="7"/>
        <v>3</v>
      </c>
      <c r="DJ9" s="88">
        <f t="shared" si="7"/>
        <v>3</v>
      </c>
      <c r="DK9" s="88">
        <f t="shared" si="7"/>
        <v>3</v>
      </c>
      <c r="DL9" s="88">
        <f t="shared" si="7"/>
        <v>3</v>
      </c>
      <c r="DM9" s="88">
        <f t="shared" si="7"/>
        <v>3</v>
      </c>
      <c r="DN9" s="88">
        <f t="shared" si="7"/>
        <v>3</v>
      </c>
      <c r="DO9" s="88">
        <f t="shared" si="7"/>
        <v>3</v>
      </c>
      <c r="DP9" s="88">
        <f t="shared" si="7"/>
        <v>3</v>
      </c>
      <c r="DQ9" s="88">
        <f t="shared" si="7"/>
        <v>3</v>
      </c>
      <c r="DR9" s="88">
        <f t="shared" si="7"/>
        <v>3</v>
      </c>
      <c r="DS9" s="88">
        <f t="shared" si="7"/>
        <v>3</v>
      </c>
    </row>
    <row r="10" spans="1:123" ht="15" customHeight="1" x14ac:dyDescent="0.2">
      <c r="B10" t="s">
        <v>892</v>
      </c>
      <c r="C10" s="20" t="str">
        <f>IF(AND(SUM(D6:DS6)=SUP_VOLUMEN!$C$43,SUM(D7:DS7)=SUP_VOLUMEN!$C$44),"✓ mezcla OK","✗ ajustar calendario o SUP_VOLUMEN §6")</f>
        <v>✓ mezcla OK</v>
      </c>
    </row>
    <row r="11" spans="1:123" ht="15" customHeight="1" x14ac:dyDescent="0.2">
      <c r="B11" s="37" t="s">
        <v>893</v>
      </c>
      <c r="D11" s="99">
        <f>D8-(1-SUP_OPEX!$C$38)*D6-(1-SUP_OPEX!$C$39)*C6</f>
        <v>0</v>
      </c>
      <c r="E11" s="99">
        <f>E8-(1-SUP_OPEX!$C$38)*E6-(1-SUP_OPEX!$C$39)*D6</f>
        <v>0</v>
      </c>
      <c r="F11" s="99">
        <f>F8-(1-SUP_OPEX!$C$38)*F6-(1-SUP_OPEX!$C$39)*E6</f>
        <v>0</v>
      </c>
      <c r="G11" s="99">
        <f>G8-(1-SUP_OPEX!$C$38)*G6-(1-SUP_OPEX!$C$39)*F6</f>
        <v>1.4</v>
      </c>
      <c r="H11" s="99">
        <f>H8-(1-SUP_OPEX!$C$38)*H6-(1-SUP_OPEX!$C$39)*G6</f>
        <v>3.0999999999999996</v>
      </c>
      <c r="I11" s="99">
        <f>I8-(1-SUP_OPEX!$C$38)*I6-(1-SUP_OPEX!$C$39)*H6</f>
        <v>5.1000000000000005</v>
      </c>
      <c r="J11" s="99">
        <f>J8-(1-SUP_OPEX!$C$38)*J6-(1-SUP_OPEX!$C$39)*I6</f>
        <v>6.4</v>
      </c>
      <c r="K11" s="99">
        <f>K8-(1-SUP_OPEX!$C$38)*K6-(1-SUP_OPEX!$C$39)*J6</f>
        <v>6.85</v>
      </c>
      <c r="L11" s="99">
        <f>L8-(1-SUP_OPEX!$C$38)*L6-(1-SUP_OPEX!$C$39)*K6</f>
        <v>7</v>
      </c>
      <c r="M11" s="99">
        <f>M8-(1-SUP_OPEX!$C$38)*M6-(1-SUP_OPEX!$C$39)*L6</f>
        <v>7</v>
      </c>
      <c r="N11" s="99">
        <f>N8-(1-SUP_OPEX!$C$38)*N6-(1-SUP_OPEX!$C$39)*M6</f>
        <v>7</v>
      </c>
      <c r="O11" s="99">
        <f>O8-(1-SUP_OPEX!$C$38)*O6-(1-SUP_OPEX!$C$39)*N6</f>
        <v>7</v>
      </c>
      <c r="P11" s="99">
        <f>P8-(1-SUP_OPEX!$C$38)*P6-(1-SUP_OPEX!$C$39)*O6</f>
        <v>7</v>
      </c>
      <c r="Q11" s="99">
        <f>Q8-(1-SUP_OPEX!$C$38)*Q6-(1-SUP_OPEX!$C$39)*P6</f>
        <v>7</v>
      </c>
      <c r="R11" s="99">
        <f>R8-(1-SUP_OPEX!$C$38)*R6-(1-SUP_OPEX!$C$39)*Q6</f>
        <v>7</v>
      </c>
      <c r="S11" s="99">
        <f>S8-(1-SUP_OPEX!$C$38)*S6-(1-SUP_OPEX!$C$39)*R6</f>
        <v>7</v>
      </c>
      <c r="T11" s="99">
        <f>T8-(1-SUP_OPEX!$C$38)*T6-(1-SUP_OPEX!$C$39)*S6</f>
        <v>7</v>
      </c>
      <c r="U11" s="99">
        <f>U8-(1-SUP_OPEX!$C$38)*U6-(1-SUP_OPEX!$C$39)*T6</f>
        <v>7</v>
      </c>
      <c r="V11" s="99">
        <f>V8-(1-SUP_OPEX!$C$38)*V6-(1-SUP_OPEX!$C$39)*U6</f>
        <v>7</v>
      </c>
      <c r="W11" s="99">
        <f>W8-(1-SUP_OPEX!$C$38)*W6-(1-SUP_OPEX!$C$39)*V6</f>
        <v>7</v>
      </c>
      <c r="X11" s="99">
        <f>X8-(1-SUP_OPEX!$C$38)*X6-(1-SUP_OPEX!$C$39)*W6</f>
        <v>7</v>
      </c>
      <c r="Y11" s="99">
        <f>Y8-(1-SUP_OPEX!$C$38)*Y6-(1-SUP_OPEX!$C$39)*X6</f>
        <v>7</v>
      </c>
      <c r="Z11" s="99">
        <f>Z8-(1-SUP_OPEX!$C$38)*Z6-(1-SUP_OPEX!$C$39)*Y6</f>
        <v>7</v>
      </c>
      <c r="AA11" s="99">
        <f>AA8-(1-SUP_OPEX!$C$38)*AA6-(1-SUP_OPEX!$C$39)*Z6</f>
        <v>7</v>
      </c>
      <c r="AB11" s="99">
        <f>AB8-(1-SUP_OPEX!$C$38)*AB6-(1-SUP_OPEX!$C$39)*AA6</f>
        <v>7</v>
      </c>
      <c r="AC11" s="99">
        <f>AC8-(1-SUP_OPEX!$C$38)*AC6-(1-SUP_OPEX!$C$39)*AB6</f>
        <v>7</v>
      </c>
      <c r="AD11" s="99">
        <f>AD8-(1-SUP_OPEX!$C$38)*AD6-(1-SUP_OPEX!$C$39)*AC6</f>
        <v>7</v>
      </c>
      <c r="AE11" s="99">
        <f>AE8-(1-SUP_OPEX!$C$38)*AE6-(1-SUP_OPEX!$C$39)*AD6</f>
        <v>7</v>
      </c>
      <c r="AF11" s="99">
        <f>AF8-(1-SUP_OPEX!$C$38)*AF6-(1-SUP_OPEX!$C$39)*AE6</f>
        <v>7</v>
      </c>
      <c r="AG11" s="99">
        <f>AG8-(1-SUP_OPEX!$C$38)*AG6-(1-SUP_OPEX!$C$39)*AF6</f>
        <v>7</v>
      </c>
      <c r="AH11" s="99">
        <f>AH8-(1-SUP_OPEX!$C$38)*AH6-(1-SUP_OPEX!$C$39)*AG6</f>
        <v>7</v>
      </c>
      <c r="AI11" s="99">
        <f>AI8-(1-SUP_OPEX!$C$38)*AI6-(1-SUP_OPEX!$C$39)*AH6</f>
        <v>7</v>
      </c>
      <c r="AJ11" s="99">
        <f>AJ8-(1-SUP_OPEX!$C$38)*AJ6-(1-SUP_OPEX!$C$39)*AI6</f>
        <v>7</v>
      </c>
      <c r="AK11" s="99">
        <f>AK8-(1-SUP_OPEX!$C$38)*AK6-(1-SUP_OPEX!$C$39)*AJ6</f>
        <v>7</v>
      </c>
      <c r="AL11" s="99">
        <f>AL8-(1-SUP_OPEX!$C$38)*AL6-(1-SUP_OPEX!$C$39)*AK6</f>
        <v>7</v>
      </c>
      <c r="AM11" s="99">
        <f>AM8-(1-SUP_OPEX!$C$38)*AM6-(1-SUP_OPEX!$C$39)*AL6</f>
        <v>7</v>
      </c>
      <c r="AN11" s="99">
        <f>AN8-(1-SUP_OPEX!$C$38)*AN6-(1-SUP_OPEX!$C$39)*AM6</f>
        <v>7</v>
      </c>
      <c r="AO11" s="99">
        <f>AO8-(1-SUP_OPEX!$C$38)*AO6-(1-SUP_OPEX!$C$39)*AN6</f>
        <v>7</v>
      </c>
      <c r="AP11" s="99">
        <f>AP8-(1-SUP_OPEX!$C$38)*AP6-(1-SUP_OPEX!$C$39)*AO6</f>
        <v>7</v>
      </c>
      <c r="AQ11" s="99">
        <f>AQ8-(1-SUP_OPEX!$C$38)*AQ6-(1-SUP_OPEX!$C$39)*AP6</f>
        <v>7</v>
      </c>
      <c r="AR11" s="99">
        <f>AR8-(1-SUP_OPEX!$C$38)*AR6-(1-SUP_OPEX!$C$39)*AQ6</f>
        <v>7</v>
      </c>
      <c r="AS11" s="99">
        <f>AS8-(1-SUP_OPEX!$C$38)*AS6-(1-SUP_OPEX!$C$39)*AR6</f>
        <v>7</v>
      </c>
      <c r="AT11" s="99">
        <f>AT8-(1-SUP_OPEX!$C$38)*AT6-(1-SUP_OPEX!$C$39)*AS6</f>
        <v>7</v>
      </c>
      <c r="AU11" s="99">
        <f>AU8-(1-SUP_OPEX!$C$38)*AU6-(1-SUP_OPEX!$C$39)*AT6</f>
        <v>7</v>
      </c>
      <c r="AV11" s="99">
        <f>AV8-(1-SUP_OPEX!$C$38)*AV6-(1-SUP_OPEX!$C$39)*AU6</f>
        <v>7</v>
      </c>
      <c r="AW11" s="99">
        <f>AW8-(1-SUP_OPEX!$C$38)*AW6-(1-SUP_OPEX!$C$39)*AV6</f>
        <v>7</v>
      </c>
      <c r="AX11" s="99">
        <f>AX8-(1-SUP_OPEX!$C$38)*AX6-(1-SUP_OPEX!$C$39)*AW6</f>
        <v>7</v>
      </c>
      <c r="AY11" s="99">
        <f>AY8-(1-SUP_OPEX!$C$38)*AY6-(1-SUP_OPEX!$C$39)*AX6</f>
        <v>7</v>
      </c>
      <c r="AZ11" s="99">
        <f>AZ8-(1-SUP_OPEX!$C$38)*AZ6-(1-SUP_OPEX!$C$39)*AY6</f>
        <v>7</v>
      </c>
      <c r="BA11" s="99">
        <f>BA8-(1-SUP_OPEX!$C$38)*BA6-(1-SUP_OPEX!$C$39)*AZ6</f>
        <v>7</v>
      </c>
      <c r="BB11" s="99">
        <f>BB8-(1-SUP_OPEX!$C$38)*BB6-(1-SUP_OPEX!$C$39)*BA6</f>
        <v>7</v>
      </c>
      <c r="BC11" s="99">
        <f>BC8-(1-SUP_OPEX!$C$38)*BC6-(1-SUP_OPEX!$C$39)*BB6</f>
        <v>7</v>
      </c>
      <c r="BD11" s="99">
        <f>BD8-(1-SUP_OPEX!$C$38)*BD6-(1-SUP_OPEX!$C$39)*BC6</f>
        <v>7</v>
      </c>
      <c r="BE11" s="99">
        <f>BE8-(1-SUP_OPEX!$C$38)*BE6-(1-SUP_OPEX!$C$39)*BD6</f>
        <v>7</v>
      </c>
      <c r="BF11" s="99">
        <f>BF8-(1-SUP_OPEX!$C$38)*BF6-(1-SUP_OPEX!$C$39)*BE6</f>
        <v>7</v>
      </c>
      <c r="BG11" s="99">
        <f>BG8-(1-SUP_OPEX!$C$38)*BG6-(1-SUP_OPEX!$C$39)*BF6</f>
        <v>7</v>
      </c>
      <c r="BH11" s="99">
        <f>BH8-(1-SUP_OPEX!$C$38)*BH6-(1-SUP_OPEX!$C$39)*BG6</f>
        <v>7</v>
      </c>
      <c r="BI11" s="99">
        <f>BI8-(1-SUP_OPEX!$C$38)*BI6-(1-SUP_OPEX!$C$39)*BH6</f>
        <v>7</v>
      </c>
      <c r="BJ11" s="99">
        <f>BJ8-(1-SUP_OPEX!$C$38)*BJ6-(1-SUP_OPEX!$C$39)*BI6</f>
        <v>7</v>
      </c>
      <c r="BK11" s="99">
        <f>BK8-(1-SUP_OPEX!$C$38)*BK6-(1-SUP_OPEX!$C$39)*BJ6</f>
        <v>7</v>
      </c>
      <c r="BL11" s="99">
        <f>BL8-(1-SUP_OPEX!$C$38)*BL6-(1-SUP_OPEX!$C$39)*BK6</f>
        <v>7</v>
      </c>
      <c r="BM11" s="99">
        <f>BM8-(1-SUP_OPEX!$C$38)*BM6-(1-SUP_OPEX!$C$39)*BL6</f>
        <v>7</v>
      </c>
      <c r="BN11" s="99">
        <f>BN8-(1-SUP_OPEX!$C$38)*BN6-(1-SUP_OPEX!$C$39)*BM6</f>
        <v>7</v>
      </c>
      <c r="BO11" s="99">
        <f>BO8-(1-SUP_OPEX!$C$38)*BO6-(1-SUP_OPEX!$C$39)*BN6</f>
        <v>7</v>
      </c>
      <c r="BP11" s="99">
        <f>BP8-(1-SUP_OPEX!$C$38)*BP6-(1-SUP_OPEX!$C$39)*BO6</f>
        <v>7</v>
      </c>
      <c r="BQ11" s="99">
        <f>BQ8-(1-SUP_OPEX!$C$38)*BQ6-(1-SUP_OPEX!$C$39)*BP6</f>
        <v>7</v>
      </c>
      <c r="BR11" s="99">
        <f>BR8-(1-SUP_OPEX!$C$38)*BR6-(1-SUP_OPEX!$C$39)*BQ6</f>
        <v>7</v>
      </c>
      <c r="BS11" s="99">
        <f>BS8-(1-SUP_OPEX!$C$38)*BS6-(1-SUP_OPEX!$C$39)*BR6</f>
        <v>7</v>
      </c>
      <c r="BT11" s="99">
        <f>BT8-(1-SUP_OPEX!$C$38)*BT6-(1-SUP_OPEX!$C$39)*BS6</f>
        <v>7</v>
      </c>
      <c r="BU11" s="99">
        <f>BU8-(1-SUP_OPEX!$C$38)*BU6-(1-SUP_OPEX!$C$39)*BT6</f>
        <v>7</v>
      </c>
      <c r="BV11" s="99">
        <f>BV8-(1-SUP_OPEX!$C$38)*BV6-(1-SUP_OPEX!$C$39)*BU6</f>
        <v>7</v>
      </c>
      <c r="BW11" s="99">
        <f>BW8-(1-SUP_OPEX!$C$38)*BW6-(1-SUP_OPEX!$C$39)*BV6</f>
        <v>7</v>
      </c>
      <c r="BX11" s="99">
        <f>BX8-(1-SUP_OPEX!$C$38)*BX6-(1-SUP_OPEX!$C$39)*BW6</f>
        <v>7</v>
      </c>
      <c r="BY11" s="99">
        <f>BY8-(1-SUP_OPEX!$C$38)*BY6-(1-SUP_OPEX!$C$39)*BX6</f>
        <v>7</v>
      </c>
      <c r="BZ11" s="99">
        <f>BZ8-(1-SUP_OPEX!$C$38)*BZ6-(1-SUP_OPEX!$C$39)*BY6</f>
        <v>7</v>
      </c>
      <c r="CA11" s="99">
        <f>CA8-(1-SUP_OPEX!$C$38)*CA6-(1-SUP_OPEX!$C$39)*BZ6</f>
        <v>7</v>
      </c>
      <c r="CB11" s="99">
        <f>CB8-(1-SUP_OPEX!$C$38)*CB6-(1-SUP_OPEX!$C$39)*CA6</f>
        <v>7</v>
      </c>
      <c r="CC11" s="99">
        <f>CC8-(1-SUP_OPEX!$C$38)*CC6-(1-SUP_OPEX!$C$39)*CB6</f>
        <v>7</v>
      </c>
      <c r="CD11" s="99">
        <f>CD8-(1-SUP_OPEX!$C$38)*CD6-(1-SUP_OPEX!$C$39)*CC6</f>
        <v>7</v>
      </c>
      <c r="CE11" s="99">
        <f>CE8-(1-SUP_OPEX!$C$38)*CE6-(1-SUP_OPEX!$C$39)*CD6</f>
        <v>7</v>
      </c>
      <c r="CF11" s="99">
        <f>CF8-(1-SUP_OPEX!$C$38)*CF6-(1-SUP_OPEX!$C$39)*CE6</f>
        <v>7</v>
      </c>
      <c r="CG11" s="99">
        <f>CG8-(1-SUP_OPEX!$C$38)*CG6-(1-SUP_OPEX!$C$39)*CF6</f>
        <v>7</v>
      </c>
      <c r="CH11" s="99">
        <f>CH8-(1-SUP_OPEX!$C$38)*CH6-(1-SUP_OPEX!$C$39)*CG6</f>
        <v>7</v>
      </c>
      <c r="CI11" s="99">
        <f>CI8-(1-SUP_OPEX!$C$38)*CI6-(1-SUP_OPEX!$C$39)*CH6</f>
        <v>7</v>
      </c>
      <c r="CJ11" s="99">
        <f>CJ8-(1-SUP_OPEX!$C$38)*CJ6-(1-SUP_OPEX!$C$39)*CI6</f>
        <v>7</v>
      </c>
      <c r="CK11" s="99">
        <f>CK8-(1-SUP_OPEX!$C$38)*CK6-(1-SUP_OPEX!$C$39)*CJ6</f>
        <v>7</v>
      </c>
      <c r="CL11" s="99">
        <f>CL8-(1-SUP_OPEX!$C$38)*CL6-(1-SUP_OPEX!$C$39)*CK6</f>
        <v>7</v>
      </c>
      <c r="CM11" s="99">
        <f>CM8-(1-SUP_OPEX!$C$38)*CM6-(1-SUP_OPEX!$C$39)*CL6</f>
        <v>7</v>
      </c>
      <c r="CN11" s="99">
        <f>CN8-(1-SUP_OPEX!$C$38)*CN6-(1-SUP_OPEX!$C$39)*CM6</f>
        <v>7</v>
      </c>
      <c r="CO11" s="99">
        <f>CO8-(1-SUP_OPEX!$C$38)*CO6-(1-SUP_OPEX!$C$39)*CN6</f>
        <v>7</v>
      </c>
      <c r="CP11" s="99">
        <f>CP8-(1-SUP_OPEX!$C$38)*CP6-(1-SUP_OPEX!$C$39)*CO6</f>
        <v>7</v>
      </c>
      <c r="CQ11" s="99">
        <f>CQ8-(1-SUP_OPEX!$C$38)*CQ6-(1-SUP_OPEX!$C$39)*CP6</f>
        <v>7</v>
      </c>
      <c r="CR11" s="99">
        <f>CR8-(1-SUP_OPEX!$C$38)*CR6-(1-SUP_OPEX!$C$39)*CQ6</f>
        <v>7</v>
      </c>
      <c r="CS11" s="99">
        <f>CS8-(1-SUP_OPEX!$C$38)*CS6-(1-SUP_OPEX!$C$39)*CR6</f>
        <v>7</v>
      </c>
      <c r="CT11" s="99">
        <f>CT8-(1-SUP_OPEX!$C$38)*CT6-(1-SUP_OPEX!$C$39)*CS6</f>
        <v>7</v>
      </c>
      <c r="CU11" s="99">
        <f>CU8-(1-SUP_OPEX!$C$38)*CU6-(1-SUP_OPEX!$C$39)*CT6</f>
        <v>7</v>
      </c>
      <c r="CV11" s="99">
        <f>CV8-(1-SUP_OPEX!$C$38)*CV6-(1-SUP_OPEX!$C$39)*CU6</f>
        <v>7</v>
      </c>
      <c r="CW11" s="99">
        <f>CW8-(1-SUP_OPEX!$C$38)*CW6-(1-SUP_OPEX!$C$39)*CV6</f>
        <v>7</v>
      </c>
      <c r="CX11" s="99">
        <f>CX8-(1-SUP_OPEX!$C$38)*CX6-(1-SUP_OPEX!$C$39)*CW6</f>
        <v>7</v>
      </c>
      <c r="CY11" s="99">
        <f>CY8-(1-SUP_OPEX!$C$38)*CY6-(1-SUP_OPEX!$C$39)*CX6</f>
        <v>7</v>
      </c>
      <c r="CZ11" s="99">
        <f>CZ8-(1-SUP_OPEX!$C$38)*CZ6-(1-SUP_OPEX!$C$39)*CY6</f>
        <v>7</v>
      </c>
      <c r="DA11" s="99">
        <f>DA8-(1-SUP_OPEX!$C$38)*DA6-(1-SUP_OPEX!$C$39)*CZ6</f>
        <v>7</v>
      </c>
      <c r="DB11" s="99">
        <f>DB8-(1-SUP_OPEX!$C$38)*DB6-(1-SUP_OPEX!$C$39)*DA6</f>
        <v>7</v>
      </c>
      <c r="DC11" s="99">
        <f>DC8-(1-SUP_OPEX!$C$38)*DC6-(1-SUP_OPEX!$C$39)*DB6</f>
        <v>7</v>
      </c>
      <c r="DD11" s="99">
        <f>DD8-(1-SUP_OPEX!$C$38)*DD6-(1-SUP_OPEX!$C$39)*DC6</f>
        <v>7</v>
      </c>
      <c r="DE11" s="99">
        <f>DE8-(1-SUP_OPEX!$C$38)*DE6-(1-SUP_OPEX!$C$39)*DD6</f>
        <v>7</v>
      </c>
      <c r="DF11" s="99">
        <f>DF8-(1-SUP_OPEX!$C$38)*DF6-(1-SUP_OPEX!$C$39)*DE6</f>
        <v>7</v>
      </c>
      <c r="DG11" s="99">
        <f>DG8-(1-SUP_OPEX!$C$38)*DG6-(1-SUP_OPEX!$C$39)*DF6</f>
        <v>7</v>
      </c>
      <c r="DH11" s="99">
        <f>DH8-(1-SUP_OPEX!$C$38)*DH6-(1-SUP_OPEX!$C$39)*DG6</f>
        <v>7</v>
      </c>
      <c r="DI11" s="99">
        <f>DI8-(1-SUP_OPEX!$C$38)*DI6-(1-SUP_OPEX!$C$39)*DH6</f>
        <v>7</v>
      </c>
      <c r="DJ11" s="99">
        <f>DJ8-(1-SUP_OPEX!$C$38)*DJ6-(1-SUP_OPEX!$C$39)*DI6</f>
        <v>7</v>
      </c>
      <c r="DK11" s="99">
        <f>DK8-(1-SUP_OPEX!$C$38)*DK6-(1-SUP_OPEX!$C$39)*DJ6</f>
        <v>7</v>
      </c>
      <c r="DL11" s="99">
        <f>DL8-(1-SUP_OPEX!$C$38)*DL6-(1-SUP_OPEX!$C$39)*DK6</f>
        <v>7</v>
      </c>
      <c r="DM11" s="99">
        <f>DM8-(1-SUP_OPEX!$C$38)*DM6-(1-SUP_OPEX!$C$39)*DL6</f>
        <v>7</v>
      </c>
      <c r="DN11" s="99">
        <f>DN8-(1-SUP_OPEX!$C$38)*DN6-(1-SUP_OPEX!$C$39)*DM6</f>
        <v>7</v>
      </c>
      <c r="DO11" s="99">
        <f>DO8-(1-SUP_OPEX!$C$38)*DO6-(1-SUP_OPEX!$C$39)*DN6</f>
        <v>7</v>
      </c>
      <c r="DP11" s="99">
        <f>DP8-(1-SUP_OPEX!$C$38)*DP6-(1-SUP_OPEX!$C$39)*DO6</f>
        <v>7</v>
      </c>
      <c r="DQ11" s="99">
        <f>DQ8-(1-SUP_OPEX!$C$38)*DQ6-(1-SUP_OPEX!$C$39)*DP6</f>
        <v>7</v>
      </c>
      <c r="DR11" s="99">
        <f>DR8-(1-SUP_OPEX!$C$38)*DR6-(1-SUP_OPEX!$C$39)*DQ6</f>
        <v>7</v>
      </c>
      <c r="DS11" s="99">
        <f>DS8-(1-SUP_OPEX!$C$38)*DS6-(1-SUP_OPEX!$C$39)*DR6</f>
        <v>7</v>
      </c>
    </row>
    <row r="12" spans="1:123" ht="15" customHeight="1" x14ac:dyDescent="0.2">
      <c r="B12" s="37" t="s">
        <v>894</v>
      </c>
      <c r="D12" s="99">
        <f>D9-(1-SUP_OPEX!$C$38)*D7-(1-SUP_OPEX!$C$39)*C7</f>
        <v>0</v>
      </c>
      <c r="E12" s="99">
        <f>E9-(1-SUP_OPEX!$C$38)*E7-(1-SUP_OPEX!$C$39)*D7</f>
        <v>0</v>
      </c>
      <c r="F12" s="99">
        <f>F9-(1-SUP_OPEX!$C$38)*F7-(1-SUP_OPEX!$C$39)*E7</f>
        <v>0</v>
      </c>
      <c r="G12" s="99">
        <f>G9-(1-SUP_OPEX!$C$38)*G7-(1-SUP_OPEX!$C$39)*F7</f>
        <v>0</v>
      </c>
      <c r="H12" s="99">
        <f>H9-(1-SUP_OPEX!$C$38)*H7-(1-SUP_OPEX!$C$39)*G7</f>
        <v>0</v>
      </c>
      <c r="I12" s="99">
        <f>I9-(1-SUP_OPEX!$C$38)*I7-(1-SUP_OPEX!$C$39)*H7</f>
        <v>0</v>
      </c>
      <c r="J12" s="99">
        <f>J9-(1-SUP_OPEX!$C$38)*J7-(1-SUP_OPEX!$C$39)*I7</f>
        <v>0.7</v>
      </c>
      <c r="K12" s="99">
        <f>K9-(1-SUP_OPEX!$C$38)*K7-(1-SUP_OPEX!$C$39)*J7</f>
        <v>2.25</v>
      </c>
      <c r="L12" s="99">
        <f>L9-(1-SUP_OPEX!$C$38)*L7-(1-SUP_OPEX!$C$39)*K7</f>
        <v>2.7</v>
      </c>
      <c r="M12" s="99">
        <f>M9-(1-SUP_OPEX!$C$38)*M7-(1-SUP_OPEX!$C$39)*L7</f>
        <v>3</v>
      </c>
      <c r="N12" s="99">
        <f>N9-(1-SUP_OPEX!$C$38)*N7-(1-SUP_OPEX!$C$39)*M7</f>
        <v>3</v>
      </c>
      <c r="O12" s="99">
        <f>O9-(1-SUP_OPEX!$C$38)*O7-(1-SUP_OPEX!$C$39)*N7</f>
        <v>3</v>
      </c>
      <c r="P12" s="99">
        <f>P9-(1-SUP_OPEX!$C$38)*P7-(1-SUP_OPEX!$C$39)*O7</f>
        <v>3</v>
      </c>
      <c r="Q12" s="99">
        <f>Q9-(1-SUP_OPEX!$C$38)*Q7-(1-SUP_OPEX!$C$39)*P7</f>
        <v>3</v>
      </c>
      <c r="R12" s="99">
        <f>R9-(1-SUP_OPEX!$C$38)*R7-(1-SUP_OPEX!$C$39)*Q7</f>
        <v>3</v>
      </c>
      <c r="S12" s="99">
        <f>S9-(1-SUP_OPEX!$C$38)*S7-(1-SUP_OPEX!$C$39)*R7</f>
        <v>3</v>
      </c>
      <c r="T12" s="99">
        <f>T9-(1-SUP_OPEX!$C$38)*T7-(1-SUP_OPEX!$C$39)*S7</f>
        <v>3</v>
      </c>
      <c r="U12" s="99">
        <f>U9-(1-SUP_OPEX!$C$38)*U7-(1-SUP_OPEX!$C$39)*T7</f>
        <v>3</v>
      </c>
      <c r="V12" s="99">
        <f>V9-(1-SUP_OPEX!$C$38)*V7-(1-SUP_OPEX!$C$39)*U7</f>
        <v>3</v>
      </c>
      <c r="W12" s="99">
        <f>W9-(1-SUP_OPEX!$C$38)*W7-(1-SUP_OPEX!$C$39)*V7</f>
        <v>3</v>
      </c>
      <c r="X12" s="99">
        <f>X9-(1-SUP_OPEX!$C$38)*X7-(1-SUP_OPEX!$C$39)*W7</f>
        <v>3</v>
      </c>
      <c r="Y12" s="99">
        <f>Y9-(1-SUP_OPEX!$C$38)*Y7-(1-SUP_OPEX!$C$39)*X7</f>
        <v>3</v>
      </c>
      <c r="Z12" s="99">
        <f>Z9-(1-SUP_OPEX!$C$38)*Z7-(1-SUP_OPEX!$C$39)*Y7</f>
        <v>3</v>
      </c>
      <c r="AA12" s="99">
        <f>AA9-(1-SUP_OPEX!$C$38)*AA7-(1-SUP_OPEX!$C$39)*Z7</f>
        <v>3</v>
      </c>
      <c r="AB12" s="99">
        <f>AB9-(1-SUP_OPEX!$C$38)*AB7-(1-SUP_OPEX!$C$39)*AA7</f>
        <v>3</v>
      </c>
      <c r="AC12" s="99">
        <f>AC9-(1-SUP_OPEX!$C$38)*AC7-(1-SUP_OPEX!$C$39)*AB7</f>
        <v>3</v>
      </c>
      <c r="AD12" s="99">
        <f>AD9-(1-SUP_OPEX!$C$38)*AD7-(1-SUP_OPEX!$C$39)*AC7</f>
        <v>3</v>
      </c>
      <c r="AE12" s="99">
        <f>AE9-(1-SUP_OPEX!$C$38)*AE7-(1-SUP_OPEX!$C$39)*AD7</f>
        <v>3</v>
      </c>
      <c r="AF12" s="99">
        <f>AF9-(1-SUP_OPEX!$C$38)*AF7-(1-SUP_OPEX!$C$39)*AE7</f>
        <v>3</v>
      </c>
      <c r="AG12" s="99">
        <f>AG9-(1-SUP_OPEX!$C$38)*AG7-(1-SUP_OPEX!$C$39)*AF7</f>
        <v>3</v>
      </c>
      <c r="AH12" s="99">
        <f>AH9-(1-SUP_OPEX!$C$38)*AH7-(1-SUP_OPEX!$C$39)*AG7</f>
        <v>3</v>
      </c>
      <c r="AI12" s="99">
        <f>AI9-(1-SUP_OPEX!$C$38)*AI7-(1-SUP_OPEX!$C$39)*AH7</f>
        <v>3</v>
      </c>
      <c r="AJ12" s="99">
        <f>AJ9-(1-SUP_OPEX!$C$38)*AJ7-(1-SUP_OPEX!$C$39)*AI7</f>
        <v>3</v>
      </c>
      <c r="AK12" s="99">
        <f>AK9-(1-SUP_OPEX!$C$38)*AK7-(1-SUP_OPEX!$C$39)*AJ7</f>
        <v>3</v>
      </c>
      <c r="AL12" s="99">
        <f>AL9-(1-SUP_OPEX!$C$38)*AL7-(1-SUP_OPEX!$C$39)*AK7</f>
        <v>3</v>
      </c>
      <c r="AM12" s="99">
        <f>AM9-(1-SUP_OPEX!$C$38)*AM7-(1-SUP_OPEX!$C$39)*AL7</f>
        <v>3</v>
      </c>
      <c r="AN12" s="99">
        <f>AN9-(1-SUP_OPEX!$C$38)*AN7-(1-SUP_OPEX!$C$39)*AM7</f>
        <v>3</v>
      </c>
      <c r="AO12" s="99">
        <f>AO9-(1-SUP_OPEX!$C$38)*AO7-(1-SUP_OPEX!$C$39)*AN7</f>
        <v>3</v>
      </c>
      <c r="AP12" s="99">
        <f>AP9-(1-SUP_OPEX!$C$38)*AP7-(1-SUP_OPEX!$C$39)*AO7</f>
        <v>3</v>
      </c>
      <c r="AQ12" s="99">
        <f>AQ9-(1-SUP_OPEX!$C$38)*AQ7-(1-SUP_OPEX!$C$39)*AP7</f>
        <v>3</v>
      </c>
      <c r="AR12" s="99">
        <f>AR9-(1-SUP_OPEX!$C$38)*AR7-(1-SUP_OPEX!$C$39)*AQ7</f>
        <v>3</v>
      </c>
      <c r="AS12" s="99">
        <f>AS9-(1-SUP_OPEX!$C$38)*AS7-(1-SUP_OPEX!$C$39)*AR7</f>
        <v>3</v>
      </c>
      <c r="AT12" s="99">
        <f>AT9-(1-SUP_OPEX!$C$38)*AT7-(1-SUP_OPEX!$C$39)*AS7</f>
        <v>3</v>
      </c>
      <c r="AU12" s="99">
        <f>AU9-(1-SUP_OPEX!$C$38)*AU7-(1-SUP_OPEX!$C$39)*AT7</f>
        <v>3</v>
      </c>
      <c r="AV12" s="99">
        <f>AV9-(1-SUP_OPEX!$C$38)*AV7-(1-SUP_OPEX!$C$39)*AU7</f>
        <v>3</v>
      </c>
      <c r="AW12" s="99">
        <f>AW9-(1-SUP_OPEX!$C$38)*AW7-(1-SUP_OPEX!$C$39)*AV7</f>
        <v>3</v>
      </c>
      <c r="AX12" s="99">
        <f>AX9-(1-SUP_OPEX!$C$38)*AX7-(1-SUP_OPEX!$C$39)*AW7</f>
        <v>3</v>
      </c>
      <c r="AY12" s="99">
        <f>AY9-(1-SUP_OPEX!$C$38)*AY7-(1-SUP_OPEX!$C$39)*AX7</f>
        <v>3</v>
      </c>
      <c r="AZ12" s="99">
        <f>AZ9-(1-SUP_OPEX!$C$38)*AZ7-(1-SUP_OPEX!$C$39)*AY7</f>
        <v>3</v>
      </c>
      <c r="BA12" s="99">
        <f>BA9-(1-SUP_OPEX!$C$38)*BA7-(1-SUP_OPEX!$C$39)*AZ7</f>
        <v>3</v>
      </c>
      <c r="BB12" s="99">
        <f>BB9-(1-SUP_OPEX!$C$38)*BB7-(1-SUP_OPEX!$C$39)*BA7</f>
        <v>3</v>
      </c>
      <c r="BC12" s="99">
        <f>BC9-(1-SUP_OPEX!$C$38)*BC7-(1-SUP_OPEX!$C$39)*BB7</f>
        <v>3</v>
      </c>
      <c r="BD12" s="99">
        <f>BD9-(1-SUP_OPEX!$C$38)*BD7-(1-SUP_OPEX!$C$39)*BC7</f>
        <v>3</v>
      </c>
      <c r="BE12" s="99">
        <f>BE9-(1-SUP_OPEX!$C$38)*BE7-(1-SUP_OPEX!$C$39)*BD7</f>
        <v>3</v>
      </c>
      <c r="BF12" s="99">
        <f>BF9-(1-SUP_OPEX!$C$38)*BF7-(1-SUP_OPEX!$C$39)*BE7</f>
        <v>3</v>
      </c>
      <c r="BG12" s="99">
        <f>BG9-(1-SUP_OPEX!$C$38)*BG7-(1-SUP_OPEX!$C$39)*BF7</f>
        <v>3</v>
      </c>
      <c r="BH12" s="99">
        <f>BH9-(1-SUP_OPEX!$C$38)*BH7-(1-SUP_OPEX!$C$39)*BG7</f>
        <v>3</v>
      </c>
      <c r="BI12" s="99">
        <f>BI9-(1-SUP_OPEX!$C$38)*BI7-(1-SUP_OPEX!$C$39)*BH7</f>
        <v>3</v>
      </c>
      <c r="BJ12" s="99">
        <f>BJ9-(1-SUP_OPEX!$C$38)*BJ7-(1-SUP_OPEX!$C$39)*BI7</f>
        <v>3</v>
      </c>
      <c r="BK12" s="99">
        <f>BK9-(1-SUP_OPEX!$C$38)*BK7-(1-SUP_OPEX!$C$39)*BJ7</f>
        <v>3</v>
      </c>
      <c r="BL12" s="99">
        <f>BL9-(1-SUP_OPEX!$C$38)*BL7-(1-SUP_OPEX!$C$39)*BK7</f>
        <v>3</v>
      </c>
      <c r="BM12" s="99">
        <f>BM9-(1-SUP_OPEX!$C$38)*BM7-(1-SUP_OPEX!$C$39)*BL7</f>
        <v>3</v>
      </c>
      <c r="BN12" s="99">
        <f>BN9-(1-SUP_OPEX!$C$38)*BN7-(1-SUP_OPEX!$C$39)*BM7</f>
        <v>3</v>
      </c>
      <c r="BO12" s="99">
        <f>BO9-(1-SUP_OPEX!$C$38)*BO7-(1-SUP_OPEX!$C$39)*BN7</f>
        <v>3</v>
      </c>
      <c r="BP12" s="99">
        <f>BP9-(1-SUP_OPEX!$C$38)*BP7-(1-SUP_OPEX!$C$39)*BO7</f>
        <v>3</v>
      </c>
      <c r="BQ12" s="99">
        <f>BQ9-(1-SUP_OPEX!$C$38)*BQ7-(1-SUP_OPEX!$C$39)*BP7</f>
        <v>3</v>
      </c>
      <c r="BR12" s="99">
        <f>BR9-(1-SUP_OPEX!$C$38)*BR7-(1-SUP_OPEX!$C$39)*BQ7</f>
        <v>3</v>
      </c>
      <c r="BS12" s="99">
        <f>BS9-(1-SUP_OPEX!$C$38)*BS7-(1-SUP_OPEX!$C$39)*BR7</f>
        <v>3</v>
      </c>
      <c r="BT12" s="99">
        <f>BT9-(1-SUP_OPEX!$C$38)*BT7-(1-SUP_OPEX!$C$39)*BS7</f>
        <v>3</v>
      </c>
      <c r="BU12" s="99">
        <f>BU9-(1-SUP_OPEX!$C$38)*BU7-(1-SUP_OPEX!$C$39)*BT7</f>
        <v>3</v>
      </c>
      <c r="BV12" s="99">
        <f>BV9-(1-SUP_OPEX!$C$38)*BV7-(1-SUP_OPEX!$C$39)*BU7</f>
        <v>3</v>
      </c>
      <c r="BW12" s="99">
        <f>BW9-(1-SUP_OPEX!$C$38)*BW7-(1-SUP_OPEX!$C$39)*BV7</f>
        <v>3</v>
      </c>
      <c r="BX12" s="99">
        <f>BX9-(1-SUP_OPEX!$C$38)*BX7-(1-SUP_OPEX!$C$39)*BW7</f>
        <v>3</v>
      </c>
      <c r="BY12" s="99">
        <f>BY9-(1-SUP_OPEX!$C$38)*BY7-(1-SUP_OPEX!$C$39)*BX7</f>
        <v>3</v>
      </c>
      <c r="BZ12" s="99">
        <f>BZ9-(1-SUP_OPEX!$C$38)*BZ7-(1-SUP_OPEX!$C$39)*BY7</f>
        <v>3</v>
      </c>
      <c r="CA12" s="99">
        <f>CA9-(1-SUP_OPEX!$C$38)*CA7-(1-SUP_OPEX!$C$39)*BZ7</f>
        <v>3</v>
      </c>
      <c r="CB12" s="99">
        <f>CB9-(1-SUP_OPEX!$C$38)*CB7-(1-SUP_OPEX!$C$39)*CA7</f>
        <v>3</v>
      </c>
      <c r="CC12" s="99">
        <f>CC9-(1-SUP_OPEX!$C$38)*CC7-(1-SUP_OPEX!$C$39)*CB7</f>
        <v>3</v>
      </c>
      <c r="CD12" s="99">
        <f>CD9-(1-SUP_OPEX!$C$38)*CD7-(1-SUP_OPEX!$C$39)*CC7</f>
        <v>3</v>
      </c>
      <c r="CE12" s="99">
        <f>CE9-(1-SUP_OPEX!$C$38)*CE7-(1-SUP_OPEX!$C$39)*CD7</f>
        <v>3</v>
      </c>
      <c r="CF12" s="99">
        <f>CF9-(1-SUP_OPEX!$C$38)*CF7-(1-SUP_OPEX!$C$39)*CE7</f>
        <v>3</v>
      </c>
      <c r="CG12" s="99">
        <f>CG9-(1-SUP_OPEX!$C$38)*CG7-(1-SUP_OPEX!$C$39)*CF7</f>
        <v>3</v>
      </c>
      <c r="CH12" s="99">
        <f>CH9-(1-SUP_OPEX!$C$38)*CH7-(1-SUP_OPEX!$C$39)*CG7</f>
        <v>3</v>
      </c>
      <c r="CI12" s="99">
        <f>CI9-(1-SUP_OPEX!$C$38)*CI7-(1-SUP_OPEX!$C$39)*CH7</f>
        <v>3</v>
      </c>
      <c r="CJ12" s="99">
        <f>CJ9-(1-SUP_OPEX!$C$38)*CJ7-(1-SUP_OPEX!$C$39)*CI7</f>
        <v>3</v>
      </c>
      <c r="CK12" s="99">
        <f>CK9-(1-SUP_OPEX!$C$38)*CK7-(1-SUP_OPEX!$C$39)*CJ7</f>
        <v>3</v>
      </c>
      <c r="CL12" s="99">
        <f>CL9-(1-SUP_OPEX!$C$38)*CL7-(1-SUP_OPEX!$C$39)*CK7</f>
        <v>3</v>
      </c>
      <c r="CM12" s="99">
        <f>CM9-(1-SUP_OPEX!$C$38)*CM7-(1-SUP_OPEX!$C$39)*CL7</f>
        <v>3</v>
      </c>
      <c r="CN12" s="99">
        <f>CN9-(1-SUP_OPEX!$C$38)*CN7-(1-SUP_OPEX!$C$39)*CM7</f>
        <v>3</v>
      </c>
      <c r="CO12" s="99">
        <f>CO9-(1-SUP_OPEX!$C$38)*CO7-(1-SUP_OPEX!$C$39)*CN7</f>
        <v>3</v>
      </c>
      <c r="CP12" s="99">
        <f>CP9-(1-SUP_OPEX!$C$38)*CP7-(1-SUP_OPEX!$C$39)*CO7</f>
        <v>3</v>
      </c>
      <c r="CQ12" s="99">
        <f>CQ9-(1-SUP_OPEX!$C$38)*CQ7-(1-SUP_OPEX!$C$39)*CP7</f>
        <v>3</v>
      </c>
      <c r="CR12" s="99">
        <f>CR9-(1-SUP_OPEX!$C$38)*CR7-(1-SUP_OPEX!$C$39)*CQ7</f>
        <v>3</v>
      </c>
      <c r="CS12" s="99">
        <f>CS9-(1-SUP_OPEX!$C$38)*CS7-(1-SUP_OPEX!$C$39)*CR7</f>
        <v>3</v>
      </c>
      <c r="CT12" s="99">
        <f>CT9-(1-SUP_OPEX!$C$38)*CT7-(1-SUP_OPEX!$C$39)*CS7</f>
        <v>3</v>
      </c>
      <c r="CU12" s="99">
        <f>CU9-(1-SUP_OPEX!$C$38)*CU7-(1-SUP_OPEX!$C$39)*CT7</f>
        <v>3</v>
      </c>
      <c r="CV12" s="99">
        <f>CV9-(1-SUP_OPEX!$C$38)*CV7-(1-SUP_OPEX!$C$39)*CU7</f>
        <v>3</v>
      </c>
      <c r="CW12" s="99">
        <f>CW9-(1-SUP_OPEX!$C$38)*CW7-(1-SUP_OPEX!$C$39)*CV7</f>
        <v>3</v>
      </c>
      <c r="CX12" s="99">
        <f>CX9-(1-SUP_OPEX!$C$38)*CX7-(1-SUP_OPEX!$C$39)*CW7</f>
        <v>3</v>
      </c>
      <c r="CY12" s="99">
        <f>CY9-(1-SUP_OPEX!$C$38)*CY7-(1-SUP_OPEX!$C$39)*CX7</f>
        <v>3</v>
      </c>
      <c r="CZ12" s="99">
        <f>CZ9-(1-SUP_OPEX!$C$38)*CZ7-(1-SUP_OPEX!$C$39)*CY7</f>
        <v>3</v>
      </c>
      <c r="DA12" s="99">
        <f>DA9-(1-SUP_OPEX!$C$38)*DA7-(1-SUP_OPEX!$C$39)*CZ7</f>
        <v>3</v>
      </c>
      <c r="DB12" s="99">
        <f>DB9-(1-SUP_OPEX!$C$38)*DB7-(1-SUP_OPEX!$C$39)*DA7</f>
        <v>3</v>
      </c>
      <c r="DC12" s="99">
        <f>DC9-(1-SUP_OPEX!$C$38)*DC7-(1-SUP_OPEX!$C$39)*DB7</f>
        <v>3</v>
      </c>
      <c r="DD12" s="99">
        <f>DD9-(1-SUP_OPEX!$C$38)*DD7-(1-SUP_OPEX!$C$39)*DC7</f>
        <v>3</v>
      </c>
      <c r="DE12" s="99">
        <f>DE9-(1-SUP_OPEX!$C$38)*DE7-(1-SUP_OPEX!$C$39)*DD7</f>
        <v>3</v>
      </c>
      <c r="DF12" s="99">
        <f>DF9-(1-SUP_OPEX!$C$38)*DF7-(1-SUP_OPEX!$C$39)*DE7</f>
        <v>3</v>
      </c>
      <c r="DG12" s="99">
        <f>DG9-(1-SUP_OPEX!$C$38)*DG7-(1-SUP_OPEX!$C$39)*DF7</f>
        <v>3</v>
      </c>
      <c r="DH12" s="99">
        <f>DH9-(1-SUP_OPEX!$C$38)*DH7-(1-SUP_OPEX!$C$39)*DG7</f>
        <v>3</v>
      </c>
      <c r="DI12" s="99">
        <f>DI9-(1-SUP_OPEX!$C$38)*DI7-(1-SUP_OPEX!$C$39)*DH7</f>
        <v>3</v>
      </c>
      <c r="DJ12" s="99">
        <f>DJ9-(1-SUP_OPEX!$C$38)*DJ7-(1-SUP_OPEX!$C$39)*DI7</f>
        <v>3</v>
      </c>
      <c r="DK12" s="99">
        <f>DK9-(1-SUP_OPEX!$C$38)*DK7-(1-SUP_OPEX!$C$39)*DJ7</f>
        <v>3</v>
      </c>
      <c r="DL12" s="99">
        <f>DL9-(1-SUP_OPEX!$C$38)*DL7-(1-SUP_OPEX!$C$39)*DK7</f>
        <v>3</v>
      </c>
      <c r="DM12" s="99">
        <f>DM9-(1-SUP_OPEX!$C$38)*DM7-(1-SUP_OPEX!$C$39)*DL7</f>
        <v>3</v>
      </c>
      <c r="DN12" s="99">
        <f>DN9-(1-SUP_OPEX!$C$38)*DN7-(1-SUP_OPEX!$C$39)*DM7</f>
        <v>3</v>
      </c>
      <c r="DO12" s="99">
        <f>DO9-(1-SUP_OPEX!$C$38)*DO7-(1-SUP_OPEX!$C$39)*DN7</f>
        <v>3</v>
      </c>
      <c r="DP12" s="99">
        <f>DP9-(1-SUP_OPEX!$C$38)*DP7-(1-SUP_OPEX!$C$39)*DO7</f>
        <v>3</v>
      </c>
      <c r="DQ12" s="99">
        <f>DQ9-(1-SUP_OPEX!$C$38)*DQ7-(1-SUP_OPEX!$C$39)*DP7</f>
        <v>3</v>
      </c>
      <c r="DR12" s="99">
        <f>DR9-(1-SUP_OPEX!$C$38)*DR7-(1-SUP_OPEX!$C$39)*DQ7</f>
        <v>3</v>
      </c>
      <c r="DS12" s="99">
        <f>DS9-(1-SUP_OPEX!$C$38)*DS7-(1-SUP_OPEX!$C$39)*DR7</f>
        <v>3</v>
      </c>
    </row>
    <row r="13" spans="1:123" ht="15" customHeight="1" x14ac:dyDescent="0.2">
      <c r="A13" s="25" t="s">
        <v>895</v>
      </c>
      <c r="B13" s="26"/>
      <c r="C13" s="26"/>
    </row>
    <row r="14" spans="1:123" ht="15" customHeight="1" x14ac:dyDescent="0.2">
      <c r="B14" s="37" t="s">
        <v>896</v>
      </c>
      <c r="D14" s="88">
        <f>SUP_CONTROL!$C$8*(D11+D12*(1+SUP_VOLUMEN!$C$26))</f>
        <v>0</v>
      </c>
      <c r="E14" s="88">
        <f>SUP_CONTROL!$C$8*(E11+E12*(1+SUP_VOLUMEN!$C$26))</f>
        <v>0</v>
      </c>
      <c r="F14" s="88">
        <f>SUP_CONTROL!$C$8*(F11+F12*(1+SUP_VOLUMEN!$C$26))</f>
        <v>0</v>
      </c>
      <c r="G14" s="88">
        <f>SUP_CONTROL!$C$8*(G11+G12*(1+SUP_VOLUMEN!$C$26))</f>
        <v>4713.7999999999993</v>
      </c>
      <c r="H14" s="88">
        <f>SUP_CONTROL!$C$8*(H11+H12*(1+SUP_VOLUMEN!$C$26))</f>
        <v>10437.699999999999</v>
      </c>
      <c r="I14" s="88">
        <f>SUP_CONTROL!$C$8*(I11+I12*(1+SUP_VOLUMEN!$C$26))</f>
        <v>17171.7</v>
      </c>
      <c r="J14" s="88">
        <f>SUP_CONTROL!$C$8*(J11+J12*(1+SUP_VOLUMEN!$C$26))</f>
        <v>24612.77</v>
      </c>
      <c r="K14" s="88">
        <f>SUP_CONTROL!$C$8*(K11+K12*(1+SUP_VOLUMEN!$C$26))</f>
        <v>32912.425000000003</v>
      </c>
      <c r="L14" s="88">
        <f>SUP_CONTROL!$C$8*(L11+L12*(1+SUP_VOLUMEN!$C$26))</f>
        <v>35387.17</v>
      </c>
      <c r="M14" s="88">
        <f>SUP_CONTROL!$C$8*(M11+M12*(1+SUP_VOLUMEN!$C$26))</f>
        <v>36700.300000000003</v>
      </c>
      <c r="N14" s="88">
        <f>SUP_CONTROL!$C$8*(N11+N12*(1+SUP_VOLUMEN!$C$26))</f>
        <v>36700.300000000003</v>
      </c>
      <c r="O14" s="88">
        <f>SUP_CONTROL!$C$8*(O11+O12*(1+SUP_VOLUMEN!$C$26))</f>
        <v>36700.300000000003</v>
      </c>
      <c r="P14" s="88">
        <f>SUP_CONTROL!$C$8*(P11+P12*(1+SUP_VOLUMEN!$C$26))</f>
        <v>36700.300000000003</v>
      </c>
      <c r="Q14" s="88">
        <f>SUP_CONTROL!$C$8*(Q11+Q12*(1+SUP_VOLUMEN!$C$26))</f>
        <v>36700.300000000003</v>
      </c>
      <c r="R14" s="88">
        <f>SUP_CONTROL!$C$8*(R11+R12*(1+SUP_VOLUMEN!$C$26))</f>
        <v>36700.300000000003</v>
      </c>
      <c r="S14" s="88">
        <f>SUP_CONTROL!$C$8*(S11+S12*(1+SUP_VOLUMEN!$C$26))</f>
        <v>36700.300000000003</v>
      </c>
      <c r="T14" s="88">
        <f>SUP_CONTROL!$C$8*(T11+T12*(1+SUP_VOLUMEN!$C$26))</f>
        <v>36700.300000000003</v>
      </c>
      <c r="U14" s="88">
        <f>SUP_CONTROL!$C$8*(U11+U12*(1+SUP_VOLUMEN!$C$26))</f>
        <v>36700.300000000003</v>
      </c>
      <c r="V14" s="88">
        <f>SUP_CONTROL!$C$8*(V11+V12*(1+SUP_VOLUMEN!$C$26))</f>
        <v>36700.300000000003</v>
      </c>
      <c r="W14" s="88">
        <f>SUP_CONTROL!$C$8*(W11+W12*(1+SUP_VOLUMEN!$C$26))</f>
        <v>36700.300000000003</v>
      </c>
      <c r="X14" s="88">
        <f>SUP_CONTROL!$C$8*(X11+X12*(1+SUP_VOLUMEN!$C$26))</f>
        <v>36700.300000000003</v>
      </c>
      <c r="Y14" s="88">
        <f>SUP_CONTROL!$C$8*(Y11+Y12*(1+SUP_VOLUMEN!$C$26))</f>
        <v>36700.300000000003</v>
      </c>
      <c r="Z14" s="88">
        <f>SUP_CONTROL!$C$8*(Z11+Z12*(1+SUP_VOLUMEN!$C$26))</f>
        <v>36700.300000000003</v>
      </c>
      <c r="AA14" s="88">
        <f>SUP_CONTROL!$C$8*(AA11+AA12*(1+SUP_VOLUMEN!$C$26))</f>
        <v>36700.300000000003</v>
      </c>
      <c r="AB14" s="88">
        <f>SUP_CONTROL!$C$8*(AB11+AB12*(1+SUP_VOLUMEN!$C$26))</f>
        <v>36700.300000000003</v>
      </c>
      <c r="AC14" s="88">
        <f>SUP_CONTROL!$C$8*(AC11+AC12*(1+SUP_VOLUMEN!$C$26))</f>
        <v>36700.300000000003</v>
      </c>
      <c r="AD14" s="88">
        <f>SUP_CONTROL!$C$8*(AD11+AD12*(1+SUP_VOLUMEN!$C$26))</f>
        <v>36700.300000000003</v>
      </c>
      <c r="AE14" s="88">
        <f>SUP_CONTROL!$C$8*(AE11+AE12*(1+SUP_VOLUMEN!$C$26))</f>
        <v>36700.300000000003</v>
      </c>
      <c r="AF14" s="88">
        <f>SUP_CONTROL!$C$8*(AF11+AF12*(1+SUP_VOLUMEN!$C$26))</f>
        <v>36700.300000000003</v>
      </c>
      <c r="AG14" s="88">
        <f>SUP_CONTROL!$C$8*(AG11+AG12*(1+SUP_VOLUMEN!$C$26))</f>
        <v>36700.300000000003</v>
      </c>
      <c r="AH14" s="88">
        <f>SUP_CONTROL!$C$8*(AH11+AH12*(1+SUP_VOLUMEN!$C$26))</f>
        <v>36700.300000000003</v>
      </c>
      <c r="AI14" s="88">
        <f>SUP_CONTROL!$C$8*(AI11+AI12*(1+SUP_VOLUMEN!$C$26))</f>
        <v>36700.300000000003</v>
      </c>
      <c r="AJ14" s="88">
        <f>SUP_CONTROL!$C$8*(AJ11+AJ12*(1+SUP_VOLUMEN!$C$26))</f>
        <v>36700.300000000003</v>
      </c>
      <c r="AK14" s="88">
        <f>SUP_CONTROL!$C$8*(AK11+AK12*(1+SUP_VOLUMEN!$C$26))</f>
        <v>36700.300000000003</v>
      </c>
      <c r="AL14" s="88">
        <f>SUP_CONTROL!$C$8*(AL11+AL12*(1+SUP_VOLUMEN!$C$26))</f>
        <v>36700.300000000003</v>
      </c>
      <c r="AM14" s="88">
        <f>SUP_CONTROL!$C$8*(AM11+AM12*(1+SUP_VOLUMEN!$C$26))</f>
        <v>36700.300000000003</v>
      </c>
      <c r="AN14" s="88">
        <f>SUP_CONTROL!$C$8*(AN11+AN12*(1+SUP_VOLUMEN!$C$26))</f>
        <v>36700.300000000003</v>
      </c>
      <c r="AO14" s="88">
        <f>SUP_CONTROL!$C$8*(AO11+AO12*(1+SUP_VOLUMEN!$C$26))</f>
        <v>36700.300000000003</v>
      </c>
      <c r="AP14" s="88">
        <f>SUP_CONTROL!$C$8*(AP11+AP12*(1+SUP_VOLUMEN!$C$26))</f>
        <v>36700.300000000003</v>
      </c>
      <c r="AQ14" s="88">
        <f>SUP_CONTROL!$C$8*(AQ11+AQ12*(1+SUP_VOLUMEN!$C$26))</f>
        <v>36700.300000000003</v>
      </c>
      <c r="AR14" s="88">
        <f>SUP_CONTROL!$C$8*(AR11+AR12*(1+SUP_VOLUMEN!$C$26))</f>
        <v>36700.300000000003</v>
      </c>
      <c r="AS14" s="88">
        <f>SUP_CONTROL!$C$8*(AS11+AS12*(1+SUP_VOLUMEN!$C$26))</f>
        <v>36700.300000000003</v>
      </c>
      <c r="AT14" s="88">
        <f>SUP_CONTROL!$C$8*(AT11+AT12*(1+SUP_VOLUMEN!$C$26))</f>
        <v>36700.300000000003</v>
      </c>
      <c r="AU14" s="88">
        <f>SUP_CONTROL!$C$8*(AU11+AU12*(1+SUP_VOLUMEN!$C$26))</f>
        <v>36700.300000000003</v>
      </c>
      <c r="AV14" s="88">
        <f>SUP_CONTROL!$C$8*(AV11+AV12*(1+SUP_VOLUMEN!$C$26))</f>
        <v>36700.300000000003</v>
      </c>
      <c r="AW14" s="88">
        <f>SUP_CONTROL!$C$8*(AW11+AW12*(1+SUP_VOLUMEN!$C$26))</f>
        <v>36700.300000000003</v>
      </c>
      <c r="AX14" s="88">
        <f>SUP_CONTROL!$C$8*(AX11+AX12*(1+SUP_VOLUMEN!$C$26))</f>
        <v>36700.300000000003</v>
      </c>
      <c r="AY14" s="88">
        <f>SUP_CONTROL!$C$8*(AY11+AY12*(1+SUP_VOLUMEN!$C$26))</f>
        <v>36700.300000000003</v>
      </c>
      <c r="AZ14" s="88">
        <f>SUP_CONTROL!$C$8*(AZ11+AZ12*(1+SUP_VOLUMEN!$C$26))</f>
        <v>36700.300000000003</v>
      </c>
      <c r="BA14" s="88">
        <f>SUP_CONTROL!$C$8*(BA11+BA12*(1+SUP_VOLUMEN!$C$26))</f>
        <v>36700.300000000003</v>
      </c>
      <c r="BB14" s="88">
        <f>SUP_CONTROL!$C$8*(BB11+BB12*(1+SUP_VOLUMEN!$C$26))</f>
        <v>36700.300000000003</v>
      </c>
      <c r="BC14" s="88">
        <f>SUP_CONTROL!$C$8*(BC11+BC12*(1+SUP_VOLUMEN!$C$26))</f>
        <v>36700.300000000003</v>
      </c>
      <c r="BD14" s="88">
        <f>SUP_CONTROL!$C$8*(BD11+BD12*(1+SUP_VOLUMEN!$C$26))</f>
        <v>36700.300000000003</v>
      </c>
      <c r="BE14" s="88">
        <f>SUP_CONTROL!$C$8*(BE11+BE12*(1+SUP_VOLUMEN!$C$26))</f>
        <v>36700.300000000003</v>
      </c>
      <c r="BF14" s="88">
        <f>SUP_CONTROL!$C$8*(BF11+BF12*(1+SUP_VOLUMEN!$C$26))</f>
        <v>36700.300000000003</v>
      </c>
      <c r="BG14" s="88">
        <f>SUP_CONTROL!$C$8*(BG11+BG12*(1+SUP_VOLUMEN!$C$26))</f>
        <v>36700.300000000003</v>
      </c>
      <c r="BH14" s="88">
        <f>SUP_CONTROL!$C$8*(BH11+BH12*(1+SUP_VOLUMEN!$C$26))</f>
        <v>36700.300000000003</v>
      </c>
      <c r="BI14" s="88">
        <f>SUP_CONTROL!$C$8*(BI11+BI12*(1+SUP_VOLUMEN!$C$26))</f>
        <v>36700.300000000003</v>
      </c>
      <c r="BJ14" s="88">
        <f>SUP_CONTROL!$C$8*(BJ11+BJ12*(1+SUP_VOLUMEN!$C$26))</f>
        <v>36700.300000000003</v>
      </c>
      <c r="BK14" s="88">
        <f>SUP_CONTROL!$C$8*(BK11+BK12*(1+SUP_VOLUMEN!$C$26))</f>
        <v>36700.300000000003</v>
      </c>
      <c r="BL14" s="88">
        <f>SUP_CONTROL!$C$8*(BL11+BL12*(1+SUP_VOLUMEN!$C$26))</f>
        <v>36700.300000000003</v>
      </c>
      <c r="BM14" s="88">
        <f>SUP_CONTROL!$C$8*(BM11+BM12*(1+SUP_VOLUMEN!$C$26))</f>
        <v>36700.300000000003</v>
      </c>
      <c r="BN14" s="88">
        <f>SUP_CONTROL!$C$8*(BN11+BN12*(1+SUP_VOLUMEN!$C$26))</f>
        <v>36700.300000000003</v>
      </c>
      <c r="BO14" s="88">
        <f>SUP_CONTROL!$C$8*(BO11+BO12*(1+SUP_VOLUMEN!$C$26))</f>
        <v>36700.300000000003</v>
      </c>
      <c r="BP14" s="88">
        <f>SUP_CONTROL!$C$8*(BP11+BP12*(1+SUP_VOLUMEN!$C$26))</f>
        <v>36700.300000000003</v>
      </c>
      <c r="BQ14" s="88">
        <f>SUP_CONTROL!$C$8*(BQ11+BQ12*(1+SUP_VOLUMEN!$C$26))</f>
        <v>36700.300000000003</v>
      </c>
      <c r="BR14" s="88">
        <f>SUP_CONTROL!$C$8*(BR11+BR12*(1+SUP_VOLUMEN!$C$26))</f>
        <v>36700.300000000003</v>
      </c>
      <c r="BS14" s="88">
        <f>SUP_CONTROL!$C$8*(BS11+BS12*(1+SUP_VOLUMEN!$C$26))</f>
        <v>36700.300000000003</v>
      </c>
      <c r="BT14" s="88">
        <f>SUP_CONTROL!$C$8*(BT11+BT12*(1+SUP_VOLUMEN!$C$26))</f>
        <v>36700.300000000003</v>
      </c>
      <c r="BU14" s="88">
        <f>SUP_CONTROL!$C$8*(BU11+BU12*(1+SUP_VOLUMEN!$C$26))</f>
        <v>36700.300000000003</v>
      </c>
      <c r="BV14" s="88">
        <f>SUP_CONTROL!$C$8*(BV11+BV12*(1+SUP_VOLUMEN!$C$26))</f>
        <v>36700.300000000003</v>
      </c>
      <c r="BW14" s="88">
        <f>SUP_CONTROL!$C$8*(BW11+BW12*(1+SUP_VOLUMEN!$C$26))</f>
        <v>36700.300000000003</v>
      </c>
      <c r="BX14" s="88">
        <f>SUP_CONTROL!$C$8*(BX11+BX12*(1+SUP_VOLUMEN!$C$26))</f>
        <v>36700.300000000003</v>
      </c>
      <c r="BY14" s="88">
        <f>SUP_CONTROL!$C$8*(BY11+BY12*(1+SUP_VOLUMEN!$C$26))</f>
        <v>36700.300000000003</v>
      </c>
      <c r="BZ14" s="88">
        <f>SUP_CONTROL!$C$8*(BZ11+BZ12*(1+SUP_VOLUMEN!$C$26))</f>
        <v>36700.300000000003</v>
      </c>
      <c r="CA14" s="88">
        <f>SUP_CONTROL!$C$8*(CA11+CA12*(1+SUP_VOLUMEN!$C$26))</f>
        <v>36700.300000000003</v>
      </c>
      <c r="CB14" s="88">
        <f>SUP_CONTROL!$C$8*(CB11+CB12*(1+SUP_VOLUMEN!$C$26))</f>
        <v>36700.300000000003</v>
      </c>
      <c r="CC14" s="88">
        <f>SUP_CONTROL!$C$8*(CC11+CC12*(1+SUP_VOLUMEN!$C$26))</f>
        <v>36700.300000000003</v>
      </c>
      <c r="CD14" s="88">
        <f>SUP_CONTROL!$C$8*(CD11+CD12*(1+SUP_VOLUMEN!$C$26))</f>
        <v>36700.300000000003</v>
      </c>
      <c r="CE14" s="88">
        <f>SUP_CONTROL!$C$8*(CE11+CE12*(1+SUP_VOLUMEN!$C$26))</f>
        <v>36700.300000000003</v>
      </c>
      <c r="CF14" s="88">
        <f>SUP_CONTROL!$C$8*(CF11+CF12*(1+SUP_VOLUMEN!$C$26))</f>
        <v>36700.300000000003</v>
      </c>
      <c r="CG14" s="88">
        <f>SUP_CONTROL!$C$8*(CG11+CG12*(1+SUP_VOLUMEN!$C$26))</f>
        <v>36700.300000000003</v>
      </c>
      <c r="CH14" s="88">
        <f>SUP_CONTROL!$C$8*(CH11+CH12*(1+SUP_VOLUMEN!$C$26))</f>
        <v>36700.300000000003</v>
      </c>
      <c r="CI14" s="88">
        <f>SUP_CONTROL!$C$8*(CI11+CI12*(1+SUP_VOLUMEN!$C$26))</f>
        <v>36700.300000000003</v>
      </c>
      <c r="CJ14" s="88">
        <f>SUP_CONTROL!$C$8*(CJ11+CJ12*(1+SUP_VOLUMEN!$C$26))</f>
        <v>36700.300000000003</v>
      </c>
      <c r="CK14" s="88">
        <f>SUP_CONTROL!$C$8*(CK11+CK12*(1+SUP_VOLUMEN!$C$26))</f>
        <v>36700.300000000003</v>
      </c>
      <c r="CL14" s="88">
        <f>SUP_CONTROL!$C$8*(CL11+CL12*(1+SUP_VOLUMEN!$C$26))</f>
        <v>36700.300000000003</v>
      </c>
      <c r="CM14" s="88">
        <f>SUP_CONTROL!$C$8*(CM11+CM12*(1+SUP_VOLUMEN!$C$26))</f>
        <v>36700.300000000003</v>
      </c>
      <c r="CN14" s="88">
        <f>SUP_CONTROL!$C$8*(CN11+CN12*(1+SUP_VOLUMEN!$C$26))</f>
        <v>36700.300000000003</v>
      </c>
      <c r="CO14" s="88">
        <f>SUP_CONTROL!$C$8*(CO11+CO12*(1+SUP_VOLUMEN!$C$26))</f>
        <v>36700.300000000003</v>
      </c>
      <c r="CP14" s="88">
        <f>SUP_CONTROL!$C$8*(CP11+CP12*(1+SUP_VOLUMEN!$C$26))</f>
        <v>36700.300000000003</v>
      </c>
      <c r="CQ14" s="88">
        <f>SUP_CONTROL!$C$8*(CQ11+CQ12*(1+SUP_VOLUMEN!$C$26))</f>
        <v>36700.300000000003</v>
      </c>
      <c r="CR14" s="88">
        <f>SUP_CONTROL!$C$8*(CR11+CR12*(1+SUP_VOLUMEN!$C$26))</f>
        <v>36700.300000000003</v>
      </c>
      <c r="CS14" s="88">
        <f>SUP_CONTROL!$C$8*(CS11+CS12*(1+SUP_VOLUMEN!$C$26))</f>
        <v>36700.300000000003</v>
      </c>
      <c r="CT14" s="88">
        <f>SUP_CONTROL!$C$8*(CT11+CT12*(1+SUP_VOLUMEN!$C$26))</f>
        <v>36700.300000000003</v>
      </c>
      <c r="CU14" s="88">
        <f>SUP_CONTROL!$C$8*(CU11+CU12*(1+SUP_VOLUMEN!$C$26))</f>
        <v>36700.300000000003</v>
      </c>
      <c r="CV14" s="88">
        <f>SUP_CONTROL!$C$8*(CV11+CV12*(1+SUP_VOLUMEN!$C$26))</f>
        <v>36700.300000000003</v>
      </c>
      <c r="CW14" s="88">
        <f>SUP_CONTROL!$C$8*(CW11+CW12*(1+SUP_VOLUMEN!$C$26))</f>
        <v>36700.300000000003</v>
      </c>
      <c r="CX14" s="88">
        <f>SUP_CONTROL!$C$8*(CX11+CX12*(1+SUP_VOLUMEN!$C$26))</f>
        <v>36700.300000000003</v>
      </c>
      <c r="CY14" s="88">
        <f>SUP_CONTROL!$C$8*(CY11+CY12*(1+SUP_VOLUMEN!$C$26))</f>
        <v>36700.300000000003</v>
      </c>
      <c r="CZ14" s="88">
        <f>SUP_CONTROL!$C$8*(CZ11+CZ12*(1+SUP_VOLUMEN!$C$26))</f>
        <v>36700.300000000003</v>
      </c>
      <c r="DA14" s="88">
        <f>SUP_CONTROL!$C$8*(DA11+DA12*(1+SUP_VOLUMEN!$C$26))</f>
        <v>36700.300000000003</v>
      </c>
      <c r="DB14" s="88">
        <f>SUP_CONTROL!$C$8*(DB11+DB12*(1+SUP_VOLUMEN!$C$26))</f>
        <v>36700.300000000003</v>
      </c>
      <c r="DC14" s="88">
        <f>SUP_CONTROL!$C$8*(DC11+DC12*(1+SUP_VOLUMEN!$C$26))</f>
        <v>36700.300000000003</v>
      </c>
      <c r="DD14" s="88">
        <f>SUP_CONTROL!$C$8*(DD11+DD12*(1+SUP_VOLUMEN!$C$26))</f>
        <v>36700.300000000003</v>
      </c>
      <c r="DE14" s="88">
        <f>SUP_CONTROL!$C$8*(DE11+DE12*(1+SUP_VOLUMEN!$C$26))</f>
        <v>36700.300000000003</v>
      </c>
      <c r="DF14" s="88">
        <f>SUP_CONTROL!$C$8*(DF11+DF12*(1+SUP_VOLUMEN!$C$26))</f>
        <v>36700.300000000003</v>
      </c>
      <c r="DG14" s="88">
        <f>SUP_CONTROL!$C$8*(DG11+DG12*(1+SUP_VOLUMEN!$C$26))</f>
        <v>36700.300000000003</v>
      </c>
      <c r="DH14" s="88">
        <f>SUP_CONTROL!$C$8*(DH11+DH12*(1+SUP_VOLUMEN!$C$26))</f>
        <v>36700.300000000003</v>
      </c>
      <c r="DI14" s="88">
        <f>SUP_CONTROL!$C$8*(DI11+DI12*(1+SUP_VOLUMEN!$C$26))</f>
        <v>36700.300000000003</v>
      </c>
      <c r="DJ14" s="88">
        <f>SUP_CONTROL!$C$8*(DJ11+DJ12*(1+SUP_VOLUMEN!$C$26))</f>
        <v>36700.300000000003</v>
      </c>
      <c r="DK14" s="88">
        <f>SUP_CONTROL!$C$8*(DK11+DK12*(1+SUP_VOLUMEN!$C$26))</f>
        <v>36700.300000000003</v>
      </c>
      <c r="DL14" s="88">
        <f>SUP_CONTROL!$C$8*(DL11+DL12*(1+SUP_VOLUMEN!$C$26))</f>
        <v>36700.300000000003</v>
      </c>
      <c r="DM14" s="88">
        <f>SUP_CONTROL!$C$8*(DM11+DM12*(1+SUP_VOLUMEN!$C$26))</f>
        <v>36700.300000000003</v>
      </c>
      <c r="DN14" s="88">
        <f>SUP_CONTROL!$C$8*(DN11+DN12*(1+SUP_VOLUMEN!$C$26))</f>
        <v>36700.300000000003</v>
      </c>
      <c r="DO14" s="88">
        <f>SUP_CONTROL!$C$8*(DO11+DO12*(1+SUP_VOLUMEN!$C$26))</f>
        <v>36700.300000000003</v>
      </c>
      <c r="DP14" s="88">
        <f>SUP_CONTROL!$C$8*(DP11+DP12*(1+SUP_VOLUMEN!$C$26))</f>
        <v>36700.300000000003</v>
      </c>
      <c r="DQ14" s="88">
        <f>SUP_CONTROL!$C$8*(DQ11+DQ12*(1+SUP_VOLUMEN!$C$26))</f>
        <v>36700.300000000003</v>
      </c>
      <c r="DR14" s="88">
        <f>SUP_CONTROL!$C$8*(DR11+DR12*(1+SUP_VOLUMEN!$C$26))</f>
        <v>36700.300000000003</v>
      </c>
      <c r="DS14" s="88">
        <f>SUP_CONTROL!$C$8*(DS11+DS12*(1+SUP_VOLUMEN!$C$26))</f>
        <v>36700.300000000003</v>
      </c>
    </row>
    <row r="15" spans="1:123" ht="15" customHeight="1" x14ac:dyDescent="0.2">
      <c r="B15" s="37" t="s">
        <v>897</v>
      </c>
      <c r="D15" s="77">
        <f>D14*SUP_CONTROL!$C$26</f>
        <v>0</v>
      </c>
      <c r="E15" s="77">
        <f>E14*SUP_CONTROL!$C$26</f>
        <v>0</v>
      </c>
      <c r="F15" s="77">
        <f>F14*SUP_CONTROL!$C$26</f>
        <v>0</v>
      </c>
      <c r="G15" s="77">
        <f>G14*SUP_CONTROL!$C$26</f>
        <v>61175.13687757124</v>
      </c>
      <c r="H15" s="77">
        <f>H14*SUP_CONTROL!$C$26</f>
        <v>135459.23165747919</v>
      </c>
      <c r="I15" s="77">
        <f>I14*SUP_CONTROL!$C$26</f>
        <v>222852.28433972385</v>
      </c>
      <c r="J15" s="77">
        <f>J14*SUP_CONTROL!$C$26</f>
        <v>319421.60755360418</v>
      </c>
      <c r="K15" s="77">
        <f>K14*SUP_CONTROL!$C$26</f>
        <v>427133.5449844707</v>
      </c>
      <c r="L15" s="77">
        <f>L14*SUP_CONTROL!$C$26</f>
        <v>459250.49184519553</v>
      </c>
      <c r="M15" s="77">
        <f>M14*SUP_CONTROL!$C$26</f>
        <v>476292.13711823331</v>
      </c>
      <c r="N15" s="77">
        <f>N14*SUP_CONTROL!$C$26</f>
        <v>476292.13711823331</v>
      </c>
      <c r="O15" s="77">
        <f>O14*SUP_CONTROL!$C$26</f>
        <v>476292.13711823331</v>
      </c>
      <c r="P15" s="77">
        <f>P14*SUP_CONTROL!$C$26</f>
        <v>476292.13711823331</v>
      </c>
      <c r="Q15" s="77">
        <f>Q14*SUP_CONTROL!$C$26</f>
        <v>476292.13711823331</v>
      </c>
      <c r="R15" s="77">
        <f>R14*SUP_CONTROL!$C$26</f>
        <v>476292.13711823331</v>
      </c>
      <c r="S15" s="77">
        <f>S14*SUP_CONTROL!$C$26</f>
        <v>476292.13711823331</v>
      </c>
      <c r="T15" s="77">
        <f>T14*SUP_CONTROL!$C$26</f>
        <v>476292.13711823331</v>
      </c>
      <c r="U15" s="77">
        <f>U14*SUP_CONTROL!$C$26</f>
        <v>476292.13711823331</v>
      </c>
      <c r="V15" s="77">
        <f>V14*SUP_CONTROL!$C$26</f>
        <v>476292.13711823331</v>
      </c>
      <c r="W15" s="77">
        <f>W14*SUP_CONTROL!$C$26</f>
        <v>476292.13711823331</v>
      </c>
      <c r="X15" s="77">
        <f>X14*SUP_CONTROL!$C$26</f>
        <v>476292.13711823331</v>
      </c>
      <c r="Y15" s="77">
        <f>Y14*SUP_CONTROL!$C$26</f>
        <v>476292.13711823331</v>
      </c>
      <c r="Z15" s="77">
        <f>Z14*SUP_CONTROL!$C$26</f>
        <v>476292.13711823331</v>
      </c>
      <c r="AA15" s="77">
        <f>AA14*SUP_CONTROL!$C$26</f>
        <v>476292.13711823331</v>
      </c>
      <c r="AB15" s="77">
        <f>AB14*SUP_CONTROL!$C$26</f>
        <v>476292.13711823331</v>
      </c>
      <c r="AC15" s="77">
        <f>AC14*SUP_CONTROL!$C$26</f>
        <v>476292.13711823331</v>
      </c>
      <c r="AD15" s="77">
        <f>AD14*SUP_CONTROL!$C$26</f>
        <v>476292.13711823331</v>
      </c>
      <c r="AE15" s="77">
        <f>AE14*SUP_CONTROL!$C$26</f>
        <v>476292.13711823331</v>
      </c>
      <c r="AF15" s="77">
        <f>AF14*SUP_CONTROL!$C$26</f>
        <v>476292.13711823331</v>
      </c>
      <c r="AG15" s="77">
        <f>AG14*SUP_CONTROL!$C$26</f>
        <v>476292.13711823331</v>
      </c>
      <c r="AH15" s="77">
        <f>AH14*SUP_CONTROL!$C$26</f>
        <v>476292.13711823331</v>
      </c>
      <c r="AI15" s="77">
        <f>AI14*SUP_CONTROL!$C$26</f>
        <v>476292.13711823331</v>
      </c>
      <c r="AJ15" s="77">
        <f>AJ14*SUP_CONTROL!$C$26</f>
        <v>476292.13711823331</v>
      </c>
      <c r="AK15" s="77">
        <f>AK14*SUP_CONTROL!$C$26</f>
        <v>476292.13711823331</v>
      </c>
      <c r="AL15" s="77">
        <f>AL14*SUP_CONTROL!$C$26</f>
        <v>476292.13711823331</v>
      </c>
      <c r="AM15" s="77">
        <f>AM14*SUP_CONTROL!$C$26</f>
        <v>476292.13711823331</v>
      </c>
      <c r="AN15" s="77">
        <f>AN14*SUP_CONTROL!$C$26</f>
        <v>476292.13711823331</v>
      </c>
      <c r="AO15" s="77">
        <f>AO14*SUP_CONTROL!$C$26</f>
        <v>476292.13711823331</v>
      </c>
      <c r="AP15" s="77">
        <f>AP14*SUP_CONTROL!$C$26</f>
        <v>476292.13711823331</v>
      </c>
      <c r="AQ15" s="77">
        <f>AQ14*SUP_CONTROL!$C$26</f>
        <v>476292.13711823331</v>
      </c>
      <c r="AR15" s="77">
        <f>AR14*SUP_CONTROL!$C$26</f>
        <v>476292.13711823331</v>
      </c>
      <c r="AS15" s="77">
        <f>AS14*SUP_CONTROL!$C$26</f>
        <v>476292.13711823331</v>
      </c>
      <c r="AT15" s="77">
        <f>AT14*SUP_CONTROL!$C$26</f>
        <v>476292.13711823331</v>
      </c>
      <c r="AU15" s="77">
        <f>AU14*SUP_CONTROL!$C$26</f>
        <v>476292.13711823331</v>
      </c>
      <c r="AV15" s="77">
        <f>AV14*SUP_CONTROL!$C$26</f>
        <v>476292.13711823331</v>
      </c>
      <c r="AW15" s="77">
        <f>AW14*SUP_CONTROL!$C$26</f>
        <v>476292.13711823331</v>
      </c>
      <c r="AX15" s="77">
        <f>AX14*SUP_CONTROL!$C$26</f>
        <v>476292.13711823331</v>
      </c>
      <c r="AY15" s="77">
        <f>AY14*SUP_CONTROL!$C$26</f>
        <v>476292.13711823331</v>
      </c>
      <c r="AZ15" s="77">
        <f>AZ14*SUP_CONTROL!$C$26</f>
        <v>476292.13711823331</v>
      </c>
      <c r="BA15" s="77">
        <f>BA14*SUP_CONTROL!$C$26</f>
        <v>476292.13711823331</v>
      </c>
      <c r="BB15" s="77">
        <f>BB14*SUP_CONTROL!$C$26</f>
        <v>476292.13711823331</v>
      </c>
      <c r="BC15" s="77">
        <f>BC14*SUP_CONTROL!$C$26</f>
        <v>476292.13711823331</v>
      </c>
      <c r="BD15" s="77">
        <f>BD14*SUP_CONTROL!$C$26</f>
        <v>476292.13711823331</v>
      </c>
      <c r="BE15" s="77">
        <f>BE14*SUP_CONTROL!$C$26</f>
        <v>476292.13711823331</v>
      </c>
      <c r="BF15" s="77">
        <f>BF14*SUP_CONTROL!$C$26</f>
        <v>476292.13711823331</v>
      </c>
      <c r="BG15" s="77">
        <f>BG14*SUP_CONTROL!$C$26</f>
        <v>476292.13711823331</v>
      </c>
      <c r="BH15" s="77">
        <f>BH14*SUP_CONTROL!$C$26</f>
        <v>476292.13711823331</v>
      </c>
      <c r="BI15" s="77">
        <f>BI14*SUP_CONTROL!$C$26</f>
        <v>476292.13711823331</v>
      </c>
      <c r="BJ15" s="77">
        <f>BJ14*SUP_CONTROL!$C$26</f>
        <v>476292.13711823331</v>
      </c>
      <c r="BK15" s="77">
        <f>BK14*SUP_CONTROL!$C$26</f>
        <v>476292.13711823331</v>
      </c>
      <c r="BL15" s="77">
        <f>BL14*SUP_CONTROL!$C$26</f>
        <v>476292.13711823331</v>
      </c>
      <c r="BM15" s="77">
        <f>BM14*SUP_CONTROL!$C$26</f>
        <v>476292.13711823331</v>
      </c>
      <c r="BN15" s="77">
        <f>BN14*SUP_CONTROL!$C$26</f>
        <v>476292.13711823331</v>
      </c>
      <c r="BO15" s="77">
        <f>BO14*SUP_CONTROL!$C$26</f>
        <v>476292.13711823331</v>
      </c>
      <c r="BP15" s="77">
        <f>BP14*SUP_CONTROL!$C$26</f>
        <v>476292.13711823331</v>
      </c>
      <c r="BQ15" s="77">
        <f>BQ14*SUP_CONTROL!$C$26</f>
        <v>476292.13711823331</v>
      </c>
      <c r="BR15" s="77">
        <f>BR14*SUP_CONTROL!$C$26</f>
        <v>476292.13711823331</v>
      </c>
      <c r="BS15" s="77">
        <f>BS14*SUP_CONTROL!$C$26</f>
        <v>476292.13711823331</v>
      </c>
      <c r="BT15" s="77">
        <f>BT14*SUP_CONTROL!$C$26</f>
        <v>476292.13711823331</v>
      </c>
      <c r="BU15" s="77">
        <f>BU14*SUP_CONTROL!$C$26</f>
        <v>476292.13711823331</v>
      </c>
      <c r="BV15" s="77">
        <f>BV14*SUP_CONTROL!$C$26</f>
        <v>476292.13711823331</v>
      </c>
      <c r="BW15" s="77">
        <f>BW14*SUP_CONTROL!$C$26</f>
        <v>476292.13711823331</v>
      </c>
      <c r="BX15" s="77">
        <f>BX14*SUP_CONTROL!$C$26</f>
        <v>476292.13711823331</v>
      </c>
      <c r="BY15" s="77">
        <f>BY14*SUP_CONTROL!$C$26</f>
        <v>476292.13711823331</v>
      </c>
      <c r="BZ15" s="77">
        <f>BZ14*SUP_CONTROL!$C$26</f>
        <v>476292.13711823331</v>
      </c>
      <c r="CA15" s="77">
        <f>CA14*SUP_CONTROL!$C$26</f>
        <v>476292.13711823331</v>
      </c>
      <c r="CB15" s="77">
        <f>CB14*SUP_CONTROL!$C$26</f>
        <v>476292.13711823331</v>
      </c>
      <c r="CC15" s="77">
        <f>CC14*SUP_CONTROL!$C$26</f>
        <v>476292.13711823331</v>
      </c>
      <c r="CD15" s="77">
        <f>CD14*SUP_CONTROL!$C$26</f>
        <v>476292.13711823331</v>
      </c>
      <c r="CE15" s="77">
        <f>CE14*SUP_CONTROL!$C$26</f>
        <v>476292.13711823331</v>
      </c>
      <c r="CF15" s="77">
        <f>CF14*SUP_CONTROL!$C$26</f>
        <v>476292.13711823331</v>
      </c>
      <c r="CG15" s="77">
        <f>CG14*SUP_CONTROL!$C$26</f>
        <v>476292.13711823331</v>
      </c>
      <c r="CH15" s="77">
        <f>CH14*SUP_CONTROL!$C$26</f>
        <v>476292.13711823331</v>
      </c>
      <c r="CI15" s="77">
        <f>CI14*SUP_CONTROL!$C$26</f>
        <v>476292.13711823331</v>
      </c>
      <c r="CJ15" s="77">
        <f>CJ14*SUP_CONTROL!$C$26</f>
        <v>476292.13711823331</v>
      </c>
      <c r="CK15" s="77">
        <f>CK14*SUP_CONTROL!$C$26</f>
        <v>476292.13711823331</v>
      </c>
      <c r="CL15" s="77">
        <f>CL14*SUP_CONTROL!$C$26</f>
        <v>476292.13711823331</v>
      </c>
      <c r="CM15" s="77">
        <f>CM14*SUP_CONTROL!$C$26</f>
        <v>476292.13711823331</v>
      </c>
      <c r="CN15" s="77">
        <f>CN14*SUP_CONTROL!$C$26</f>
        <v>476292.13711823331</v>
      </c>
      <c r="CO15" s="77">
        <f>CO14*SUP_CONTROL!$C$26</f>
        <v>476292.13711823331</v>
      </c>
      <c r="CP15" s="77">
        <f>CP14*SUP_CONTROL!$C$26</f>
        <v>476292.13711823331</v>
      </c>
      <c r="CQ15" s="77">
        <f>CQ14*SUP_CONTROL!$C$26</f>
        <v>476292.13711823331</v>
      </c>
      <c r="CR15" s="77">
        <f>CR14*SUP_CONTROL!$C$26</f>
        <v>476292.13711823331</v>
      </c>
      <c r="CS15" s="77">
        <f>CS14*SUP_CONTROL!$C$26</f>
        <v>476292.13711823331</v>
      </c>
      <c r="CT15" s="77">
        <f>CT14*SUP_CONTROL!$C$26</f>
        <v>476292.13711823331</v>
      </c>
      <c r="CU15" s="77">
        <f>CU14*SUP_CONTROL!$C$26</f>
        <v>476292.13711823331</v>
      </c>
      <c r="CV15" s="77">
        <f>CV14*SUP_CONTROL!$C$26</f>
        <v>476292.13711823331</v>
      </c>
      <c r="CW15" s="77">
        <f>CW14*SUP_CONTROL!$C$26</f>
        <v>476292.13711823331</v>
      </c>
      <c r="CX15" s="77">
        <f>CX14*SUP_CONTROL!$C$26</f>
        <v>476292.13711823331</v>
      </c>
      <c r="CY15" s="77">
        <f>CY14*SUP_CONTROL!$C$26</f>
        <v>476292.13711823331</v>
      </c>
      <c r="CZ15" s="77">
        <f>CZ14*SUP_CONTROL!$C$26</f>
        <v>476292.13711823331</v>
      </c>
      <c r="DA15" s="77">
        <f>DA14*SUP_CONTROL!$C$26</f>
        <v>476292.13711823331</v>
      </c>
      <c r="DB15" s="77">
        <f>DB14*SUP_CONTROL!$C$26</f>
        <v>476292.13711823331</v>
      </c>
      <c r="DC15" s="77">
        <f>DC14*SUP_CONTROL!$C$26</f>
        <v>476292.13711823331</v>
      </c>
      <c r="DD15" s="77">
        <f>DD14*SUP_CONTROL!$C$26</f>
        <v>476292.13711823331</v>
      </c>
      <c r="DE15" s="77">
        <f>DE14*SUP_CONTROL!$C$26</f>
        <v>476292.13711823331</v>
      </c>
      <c r="DF15" s="77">
        <f>DF14*SUP_CONTROL!$C$26</f>
        <v>476292.13711823331</v>
      </c>
      <c r="DG15" s="77">
        <f>DG14*SUP_CONTROL!$C$26</f>
        <v>476292.13711823331</v>
      </c>
      <c r="DH15" s="77">
        <f>DH14*SUP_CONTROL!$C$26</f>
        <v>476292.13711823331</v>
      </c>
      <c r="DI15" s="77">
        <f>DI14*SUP_CONTROL!$C$26</f>
        <v>476292.13711823331</v>
      </c>
      <c r="DJ15" s="77">
        <f>DJ14*SUP_CONTROL!$C$26</f>
        <v>476292.13711823331</v>
      </c>
      <c r="DK15" s="77">
        <f>DK14*SUP_CONTROL!$C$26</f>
        <v>476292.13711823331</v>
      </c>
      <c r="DL15" s="77">
        <f>DL14*SUP_CONTROL!$C$26</f>
        <v>476292.13711823331</v>
      </c>
      <c r="DM15" s="77">
        <f>DM14*SUP_CONTROL!$C$26</f>
        <v>476292.13711823331</v>
      </c>
      <c r="DN15" s="77">
        <f>DN14*SUP_CONTROL!$C$26</f>
        <v>476292.13711823331</v>
      </c>
      <c r="DO15" s="77">
        <f>DO14*SUP_CONTROL!$C$26</f>
        <v>476292.13711823331</v>
      </c>
      <c r="DP15" s="77">
        <f>DP14*SUP_CONTROL!$C$26</f>
        <v>476292.13711823331</v>
      </c>
      <c r="DQ15" s="77">
        <f>DQ14*SUP_CONTROL!$C$26</f>
        <v>476292.13711823331</v>
      </c>
      <c r="DR15" s="77">
        <f>DR14*SUP_CONTROL!$C$26</f>
        <v>476292.13711823331</v>
      </c>
      <c r="DS15" s="77">
        <f>DS14*SUP_CONTROL!$C$26</f>
        <v>476292.13711823331</v>
      </c>
    </row>
    <row r="16" spans="1:123" ht="15" customHeight="1" x14ac:dyDescent="0.2">
      <c r="B16" s="37" t="s">
        <v>898</v>
      </c>
      <c r="D16" s="88">
        <f>D14*SUP_CONTROL!$C$28</f>
        <v>0</v>
      </c>
      <c r="E16" s="88">
        <f>E14*SUP_CONTROL!$C$28</f>
        <v>0</v>
      </c>
      <c r="F16" s="88">
        <f>F14*SUP_CONTROL!$C$28</f>
        <v>0</v>
      </c>
      <c r="G16" s="88">
        <f>G14*SUP_CONTROL!$C$28</f>
        <v>9427.5999999999985</v>
      </c>
      <c r="H16" s="88">
        <f>H14*SUP_CONTROL!$C$28</f>
        <v>20875.399999999998</v>
      </c>
      <c r="I16" s="88">
        <f>I14*SUP_CONTROL!$C$28</f>
        <v>34343.4</v>
      </c>
      <c r="J16" s="88">
        <f>J14*SUP_CONTROL!$C$28</f>
        <v>49225.54</v>
      </c>
      <c r="K16" s="88">
        <f>K14*SUP_CONTROL!$C$28</f>
        <v>65824.850000000006</v>
      </c>
      <c r="L16" s="88">
        <f>L14*SUP_CONTROL!$C$28</f>
        <v>70774.34</v>
      </c>
      <c r="M16" s="88">
        <f>M14*SUP_CONTROL!$C$28</f>
        <v>73400.600000000006</v>
      </c>
      <c r="N16" s="88">
        <f>N14*SUP_CONTROL!$C$28</f>
        <v>73400.600000000006</v>
      </c>
      <c r="O16" s="88">
        <f>O14*SUP_CONTROL!$C$28</f>
        <v>73400.600000000006</v>
      </c>
      <c r="P16" s="88">
        <f>P14*SUP_CONTROL!$C$28</f>
        <v>73400.600000000006</v>
      </c>
      <c r="Q16" s="88">
        <f>Q14*SUP_CONTROL!$C$28</f>
        <v>73400.600000000006</v>
      </c>
      <c r="R16" s="88">
        <f>R14*SUP_CONTROL!$C$28</f>
        <v>73400.600000000006</v>
      </c>
      <c r="S16" s="88">
        <f>S14*SUP_CONTROL!$C$28</f>
        <v>73400.600000000006</v>
      </c>
      <c r="T16" s="88">
        <f>T14*SUP_CONTROL!$C$28</f>
        <v>73400.600000000006</v>
      </c>
      <c r="U16" s="88">
        <f>U14*SUP_CONTROL!$C$28</f>
        <v>73400.600000000006</v>
      </c>
      <c r="V16" s="88">
        <f>V14*SUP_CONTROL!$C$28</f>
        <v>73400.600000000006</v>
      </c>
      <c r="W16" s="88">
        <f>W14*SUP_CONTROL!$C$28</f>
        <v>73400.600000000006</v>
      </c>
      <c r="X16" s="88">
        <f>X14*SUP_CONTROL!$C$28</f>
        <v>73400.600000000006</v>
      </c>
      <c r="Y16" s="88">
        <f>Y14*SUP_CONTROL!$C$28</f>
        <v>73400.600000000006</v>
      </c>
      <c r="Z16" s="88">
        <f>Z14*SUP_CONTROL!$C$28</f>
        <v>73400.600000000006</v>
      </c>
      <c r="AA16" s="88">
        <f>AA14*SUP_CONTROL!$C$28</f>
        <v>73400.600000000006</v>
      </c>
      <c r="AB16" s="88">
        <f>AB14*SUP_CONTROL!$C$28</f>
        <v>73400.600000000006</v>
      </c>
      <c r="AC16" s="88">
        <f>AC14*SUP_CONTROL!$C$28</f>
        <v>73400.600000000006</v>
      </c>
      <c r="AD16" s="88">
        <f>AD14*SUP_CONTROL!$C$28</f>
        <v>73400.600000000006</v>
      </c>
      <c r="AE16" s="88">
        <f>AE14*SUP_CONTROL!$C$28</f>
        <v>73400.600000000006</v>
      </c>
      <c r="AF16" s="88">
        <f>AF14*SUP_CONTROL!$C$28</f>
        <v>73400.600000000006</v>
      </c>
      <c r="AG16" s="88">
        <f>AG14*SUP_CONTROL!$C$28</f>
        <v>73400.600000000006</v>
      </c>
      <c r="AH16" s="88">
        <f>AH14*SUP_CONTROL!$C$28</f>
        <v>73400.600000000006</v>
      </c>
      <c r="AI16" s="88">
        <f>AI14*SUP_CONTROL!$C$28</f>
        <v>73400.600000000006</v>
      </c>
      <c r="AJ16" s="88">
        <f>AJ14*SUP_CONTROL!$C$28</f>
        <v>73400.600000000006</v>
      </c>
      <c r="AK16" s="88">
        <f>AK14*SUP_CONTROL!$C$28</f>
        <v>73400.600000000006</v>
      </c>
      <c r="AL16" s="88">
        <f>AL14*SUP_CONTROL!$C$28</f>
        <v>73400.600000000006</v>
      </c>
      <c r="AM16" s="88">
        <f>AM14*SUP_CONTROL!$C$28</f>
        <v>73400.600000000006</v>
      </c>
      <c r="AN16" s="88">
        <f>AN14*SUP_CONTROL!$C$28</f>
        <v>73400.600000000006</v>
      </c>
      <c r="AO16" s="88">
        <f>AO14*SUP_CONTROL!$C$28</f>
        <v>73400.600000000006</v>
      </c>
      <c r="AP16" s="88">
        <f>AP14*SUP_CONTROL!$C$28</f>
        <v>73400.600000000006</v>
      </c>
      <c r="AQ16" s="88">
        <f>AQ14*SUP_CONTROL!$C$28</f>
        <v>73400.600000000006</v>
      </c>
      <c r="AR16" s="88">
        <f>AR14*SUP_CONTROL!$C$28</f>
        <v>73400.600000000006</v>
      </c>
      <c r="AS16" s="88">
        <f>AS14*SUP_CONTROL!$C$28</f>
        <v>73400.600000000006</v>
      </c>
      <c r="AT16" s="88">
        <f>AT14*SUP_CONTROL!$C$28</f>
        <v>73400.600000000006</v>
      </c>
      <c r="AU16" s="88">
        <f>AU14*SUP_CONTROL!$C$28</f>
        <v>73400.600000000006</v>
      </c>
      <c r="AV16" s="88">
        <f>AV14*SUP_CONTROL!$C$28</f>
        <v>73400.600000000006</v>
      </c>
      <c r="AW16" s="88">
        <f>AW14*SUP_CONTROL!$C$28</f>
        <v>73400.600000000006</v>
      </c>
      <c r="AX16" s="88">
        <f>AX14*SUP_CONTROL!$C$28</f>
        <v>73400.600000000006</v>
      </c>
      <c r="AY16" s="88">
        <f>AY14*SUP_CONTROL!$C$28</f>
        <v>73400.600000000006</v>
      </c>
      <c r="AZ16" s="88">
        <f>AZ14*SUP_CONTROL!$C$28</f>
        <v>73400.600000000006</v>
      </c>
      <c r="BA16" s="88">
        <f>BA14*SUP_CONTROL!$C$28</f>
        <v>73400.600000000006</v>
      </c>
      <c r="BB16" s="88">
        <f>BB14*SUP_CONTROL!$C$28</f>
        <v>73400.600000000006</v>
      </c>
      <c r="BC16" s="88">
        <f>BC14*SUP_CONTROL!$C$28</f>
        <v>73400.600000000006</v>
      </c>
      <c r="BD16" s="88">
        <f>BD14*SUP_CONTROL!$C$28</f>
        <v>73400.600000000006</v>
      </c>
      <c r="BE16" s="88">
        <f>BE14*SUP_CONTROL!$C$28</f>
        <v>73400.600000000006</v>
      </c>
      <c r="BF16" s="88">
        <f>BF14*SUP_CONTROL!$C$28</f>
        <v>73400.600000000006</v>
      </c>
      <c r="BG16" s="88">
        <f>BG14*SUP_CONTROL!$C$28</f>
        <v>73400.600000000006</v>
      </c>
      <c r="BH16" s="88">
        <f>BH14*SUP_CONTROL!$C$28</f>
        <v>73400.600000000006</v>
      </c>
      <c r="BI16" s="88">
        <f>BI14*SUP_CONTROL!$C$28</f>
        <v>73400.600000000006</v>
      </c>
      <c r="BJ16" s="88">
        <f>BJ14*SUP_CONTROL!$C$28</f>
        <v>73400.600000000006</v>
      </c>
      <c r="BK16" s="88">
        <f>BK14*SUP_CONTROL!$C$28</f>
        <v>73400.600000000006</v>
      </c>
      <c r="BL16" s="88">
        <f>BL14*SUP_CONTROL!$C$28</f>
        <v>73400.600000000006</v>
      </c>
      <c r="BM16" s="88">
        <f>BM14*SUP_CONTROL!$C$28</f>
        <v>73400.600000000006</v>
      </c>
      <c r="BN16" s="88">
        <f>BN14*SUP_CONTROL!$C$28</f>
        <v>73400.600000000006</v>
      </c>
      <c r="BO16" s="88">
        <f>BO14*SUP_CONTROL!$C$28</f>
        <v>73400.600000000006</v>
      </c>
      <c r="BP16" s="88">
        <f>BP14*SUP_CONTROL!$C$28</f>
        <v>73400.600000000006</v>
      </c>
      <c r="BQ16" s="88">
        <f>BQ14*SUP_CONTROL!$C$28</f>
        <v>73400.600000000006</v>
      </c>
      <c r="BR16" s="88">
        <f>BR14*SUP_CONTROL!$C$28</f>
        <v>73400.600000000006</v>
      </c>
      <c r="BS16" s="88">
        <f>BS14*SUP_CONTROL!$C$28</f>
        <v>73400.600000000006</v>
      </c>
      <c r="BT16" s="88">
        <f>BT14*SUP_CONTROL!$C$28</f>
        <v>73400.600000000006</v>
      </c>
      <c r="BU16" s="88">
        <f>BU14*SUP_CONTROL!$C$28</f>
        <v>73400.600000000006</v>
      </c>
      <c r="BV16" s="88">
        <f>BV14*SUP_CONTROL!$C$28</f>
        <v>73400.600000000006</v>
      </c>
      <c r="BW16" s="88">
        <f>BW14*SUP_CONTROL!$C$28</f>
        <v>73400.600000000006</v>
      </c>
      <c r="BX16" s="88">
        <f>BX14*SUP_CONTROL!$C$28</f>
        <v>73400.600000000006</v>
      </c>
      <c r="BY16" s="88">
        <f>BY14*SUP_CONTROL!$C$28</f>
        <v>73400.600000000006</v>
      </c>
      <c r="BZ16" s="88">
        <f>BZ14*SUP_CONTROL!$C$28</f>
        <v>73400.600000000006</v>
      </c>
      <c r="CA16" s="88">
        <f>CA14*SUP_CONTROL!$C$28</f>
        <v>73400.600000000006</v>
      </c>
      <c r="CB16" s="88">
        <f>CB14*SUP_CONTROL!$C$28</f>
        <v>73400.600000000006</v>
      </c>
      <c r="CC16" s="88">
        <f>CC14*SUP_CONTROL!$C$28</f>
        <v>73400.600000000006</v>
      </c>
      <c r="CD16" s="88">
        <f>CD14*SUP_CONTROL!$C$28</f>
        <v>73400.600000000006</v>
      </c>
      <c r="CE16" s="88">
        <f>CE14*SUP_CONTROL!$C$28</f>
        <v>73400.600000000006</v>
      </c>
      <c r="CF16" s="88">
        <f>CF14*SUP_CONTROL!$C$28</f>
        <v>73400.600000000006</v>
      </c>
      <c r="CG16" s="88">
        <f>CG14*SUP_CONTROL!$C$28</f>
        <v>73400.600000000006</v>
      </c>
      <c r="CH16" s="88">
        <f>CH14*SUP_CONTROL!$C$28</f>
        <v>73400.600000000006</v>
      </c>
      <c r="CI16" s="88">
        <f>CI14*SUP_CONTROL!$C$28</f>
        <v>73400.600000000006</v>
      </c>
      <c r="CJ16" s="88">
        <f>CJ14*SUP_CONTROL!$C$28</f>
        <v>73400.600000000006</v>
      </c>
      <c r="CK16" s="88">
        <f>CK14*SUP_CONTROL!$C$28</f>
        <v>73400.600000000006</v>
      </c>
      <c r="CL16" s="88">
        <f>CL14*SUP_CONTROL!$C$28</f>
        <v>73400.600000000006</v>
      </c>
      <c r="CM16" s="88">
        <f>CM14*SUP_CONTROL!$C$28</f>
        <v>73400.600000000006</v>
      </c>
      <c r="CN16" s="88">
        <f>CN14*SUP_CONTROL!$C$28</f>
        <v>73400.600000000006</v>
      </c>
      <c r="CO16" s="88">
        <f>CO14*SUP_CONTROL!$C$28</f>
        <v>73400.600000000006</v>
      </c>
      <c r="CP16" s="88">
        <f>CP14*SUP_CONTROL!$C$28</f>
        <v>73400.600000000006</v>
      </c>
      <c r="CQ16" s="88">
        <f>CQ14*SUP_CONTROL!$C$28</f>
        <v>73400.600000000006</v>
      </c>
      <c r="CR16" s="88">
        <f>CR14*SUP_CONTROL!$C$28</f>
        <v>73400.600000000006</v>
      </c>
      <c r="CS16" s="88">
        <f>CS14*SUP_CONTROL!$C$28</f>
        <v>73400.600000000006</v>
      </c>
      <c r="CT16" s="88">
        <f>CT14*SUP_CONTROL!$C$28</f>
        <v>73400.600000000006</v>
      </c>
      <c r="CU16" s="88">
        <f>CU14*SUP_CONTROL!$C$28</f>
        <v>73400.600000000006</v>
      </c>
      <c r="CV16" s="88">
        <f>CV14*SUP_CONTROL!$C$28</f>
        <v>73400.600000000006</v>
      </c>
      <c r="CW16" s="88">
        <f>CW14*SUP_CONTROL!$C$28</f>
        <v>73400.600000000006</v>
      </c>
      <c r="CX16" s="88">
        <f>CX14*SUP_CONTROL!$C$28</f>
        <v>73400.600000000006</v>
      </c>
      <c r="CY16" s="88">
        <f>CY14*SUP_CONTROL!$C$28</f>
        <v>73400.600000000006</v>
      </c>
      <c r="CZ16" s="88">
        <f>CZ14*SUP_CONTROL!$C$28</f>
        <v>73400.600000000006</v>
      </c>
      <c r="DA16" s="88">
        <f>DA14*SUP_CONTROL!$C$28</f>
        <v>73400.600000000006</v>
      </c>
      <c r="DB16" s="88">
        <f>DB14*SUP_CONTROL!$C$28</f>
        <v>73400.600000000006</v>
      </c>
      <c r="DC16" s="88">
        <f>DC14*SUP_CONTROL!$C$28</f>
        <v>73400.600000000006</v>
      </c>
      <c r="DD16" s="88">
        <f>DD14*SUP_CONTROL!$C$28</f>
        <v>73400.600000000006</v>
      </c>
      <c r="DE16" s="88">
        <f>DE14*SUP_CONTROL!$C$28</f>
        <v>73400.600000000006</v>
      </c>
      <c r="DF16" s="88">
        <f>DF14*SUP_CONTROL!$C$28</f>
        <v>73400.600000000006</v>
      </c>
      <c r="DG16" s="88">
        <f>DG14*SUP_CONTROL!$C$28</f>
        <v>73400.600000000006</v>
      </c>
      <c r="DH16" s="88">
        <f>DH14*SUP_CONTROL!$C$28</f>
        <v>73400.600000000006</v>
      </c>
      <c r="DI16" s="88">
        <f>DI14*SUP_CONTROL!$C$28</f>
        <v>73400.600000000006</v>
      </c>
      <c r="DJ16" s="88">
        <f>DJ14*SUP_CONTROL!$C$28</f>
        <v>73400.600000000006</v>
      </c>
      <c r="DK16" s="88">
        <f>DK14*SUP_CONTROL!$C$28</f>
        <v>73400.600000000006</v>
      </c>
      <c r="DL16" s="88">
        <f>DL14*SUP_CONTROL!$C$28</f>
        <v>73400.600000000006</v>
      </c>
      <c r="DM16" s="88">
        <f>DM14*SUP_CONTROL!$C$28</f>
        <v>73400.600000000006</v>
      </c>
      <c r="DN16" s="88">
        <f>DN14*SUP_CONTROL!$C$28</f>
        <v>73400.600000000006</v>
      </c>
      <c r="DO16" s="88">
        <f>DO14*SUP_CONTROL!$C$28</f>
        <v>73400.600000000006</v>
      </c>
      <c r="DP16" s="88">
        <f>DP14*SUP_CONTROL!$C$28</f>
        <v>73400.600000000006</v>
      </c>
      <c r="DQ16" s="88">
        <f>DQ14*SUP_CONTROL!$C$28</f>
        <v>73400.600000000006</v>
      </c>
      <c r="DR16" s="88">
        <f>DR14*SUP_CONTROL!$C$28</f>
        <v>73400.600000000006</v>
      </c>
      <c r="DS16" s="88">
        <f>DS14*SUP_CONTROL!$C$28</f>
        <v>73400.600000000006</v>
      </c>
    </row>
    <row r="17" spans="1:123" ht="15" customHeight="1" x14ac:dyDescent="0.2">
      <c r="B17" s="37" t="s">
        <v>899</v>
      </c>
      <c r="D17" s="77">
        <f>D14*SUP_CONTROL!$C$27</f>
        <v>0</v>
      </c>
      <c r="E17" s="77">
        <f>E14*SUP_CONTROL!$C$27</f>
        <v>0</v>
      </c>
      <c r="F17" s="77">
        <f>F14*SUP_CONTROL!$C$27</f>
        <v>0</v>
      </c>
      <c r="G17" s="77">
        <f>G14*SUP_CONTROL!$C$27</f>
        <v>28593.180879332889</v>
      </c>
      <c r="H17" s="77">
        <f>H14*SUP_CONTROL!$C$27</f>
        <v>63313.471947094258</v>
      </c>
      <c r="I17" s="77">
        <f>I14*SUP_CONTROL!$C$27</f>
        <v>104160.87320328412</v>
      </c>
      <c r="J17" s="77">
        <f>J14*SUP_CONTROL!$C$27</f>
        <v>149297.2515913739</v>
      </c>
      <c r="K17" s="77">
        <f>K14*SUP_CONTROL!$C$27</f>
        <v>199641.6736396279</v>
      </c>
      <c r="L17" s="77">
        <f>L14*SUP_CONTROL!$C$27</f>
        <v>214653.09360127765</v>
      </c>
      <c r="M17" s="77">
        <f>M14*SUP_CONTROL!$C$27</f>
        <v>222618.33684623468</v>
      </c>
      <c r="N17" s="77">
        <f>N14*SUP_CONTROL!$C$27</f>
        <v>222618.33684623468</v>
      </c>
      <c r="O17" s="77">
        <f>O14*SUP_CONTROL!$C$27</f>
        <v>222618.33684623468</v>
      </c>
      <c r="P17" s="77">
        <f>P14*SUP_CONTROL!$C$27</f>
        <v>222618.33684623468</v>
      </c>
      <c r="Q17" s="77">
        <f>Q14*SUP_CONTROL!$C$27</f>
        <v>222618.33684623468</v>
      </c>
      <c r="R17" s="77">
        <f>R14*SUP_CONTROL!$C$27</f>
        <v>222618.33684623468</v>
      </c>
      <c r="S17" s="77">
        <f>S14*SUP_CONTROL!$C$27</f>
        <v>222618.33684623468</v>
      </c>
      <c r="T17" s="77">
        <f>T14*SUP_CONTROL!$C$27</f>
        <v>222618.33684623468</v>
      </c>
      <c r="U17" s="77">
        <f>U14*SUP_CONTROL!$C$27</f>
        <v>222618.33684623468</v>
      </c>
      <c r="V17" s="77">
        <f>V14*SUP_CONTROL!$C$27</f>
        <v>222618.33684623468</v>
      </c>
      <c r="W17" s="77">
        <f>W14*SUP_CONTROL!$C$27</f>
        <v>222618.33684623468</v>
      </c>
      <c r="X17" s="77">
        <f>X14*SUP_CONTROL!$C$27</f>
        <v>222618.33684623468</v>
      </c>
      <c r="Y17" s="77">
        <f>Y14*SUP_CONTROL!$C$27</f>
        <v>222618.33684623468</v>
      </c>
      <c r="Z17" s="77">
        <f>Z14*SUP_CONTROL!$C$27</f>
        <v>222618.33684623468</v>
      </c>
      <c r="AA17" s="77">
        <f>AA14*SUP_CONTROL!$C$27</f>
        <v>222618.33684623468</v>
      </c>
      <c r="AB17" s="77">
        <f>AB14*SUP_CONTROL!$C$27</f>
        <v>222618.33684623468</v>
      </c>
      <c r="AC17" s="77">
        <f>AC14*SUP_CONTROL!$C$27</f>
        <v>222618.33684623468</v>
      </c>
      <c r="AD17" s="77">
        <f>AD14*SUP_CONTROL!$C$27</f>
        <v>222618.33684623468</v>
      </c>
      <c r="AE17" s="77">
        <f>AE14*SUP_CONTROL!$C$27</f>
        <v>222618.33684623468</v>
      </c>
      <c r="AF17" s="77">
        <f>AF14*SUP_CONTROL!$C$27</f>
        <v>222618.33684623468</v>
      </c>
      <c r="AG17" s="77">
        <f>AG14*SUP_CONTROL!$C$27</f>
        <v>222618.33684623468</v>
      </c>
      <c r="AH17" s="77">
        <f>AH14*SUP_CONTROL!$C$27</f>
        <v>222618.33684623468</v>
      </c>
      <c r="AI17" s="77">
        <f>AI14*SUP_CONTROL!$C$27</f>
        <v>222618.33684623468</v>
      </c>
      <c r="AJ17" s="77">
        <f>AJ14*SUP_CONTROL!$C$27</f>
        <v>222618.33684623468</v>
      </c>
      <c r="AK17" s="77">
        <f>AK14*SUP_CONTROL!$C$27</f>
        <v>222618.33684623468</v>
      </c>
      <c r="AL17" s="77">
        <f>AL14*SUP_CONTROL!$C$27</f>
        <v>222618.33684623468</v>
      </c>
      <c r="AM17" s="77">
        <f>AM14*SUP_CONTROL!$C$27</f>
        <v>222618.33684623468</v>
      </c>
      <c r="AN17" s="77">
        <f>AN14*SUP_CONTROL!$C$27</f>
        <v>222618.33684623468</v>
      </c>
      <c r="AO17" s="77">
        <f>AO14*SUP_CONTROL!$C$27</f>
        <v>222618.33684623468</v>
      </c>
      <c r="AP17" s="77">
        <f>AP14*SUP_CONTROL!$C$27</f>
        <v>222618.33684623468</v>
      </c>
      <c r="AQ17" s="77">
        <f>AQ14*SUP_CONTROL!$C$27</f>
        <v>222618.33684623468</v>
      </c>
      <c r="AR17" s="77">
        <f>AR14*SUP_CONTROL!$C$27</f>
        <v>222618.33684623468</v>
      </c>
      <c r="AS17" s="77">
        <f>AS14*SUP_CONTROL!$C$27</f>
        <v>222618.33684623468</v>
      </c>
      <c r="AT17" s="77">
        <f>AT14*SUP_CONTROL!$C$27</f>
        <v>222618.33684623468</v>
      </c>
      <c r="AU17" s="77">
        <f>AU14*SUP_CONTROL!$C$27</f>
        <v>222618.33684623468</v>
      </c>
      <c r="AV17" s="77">
        <f>AV14*SUP_CONTROL!$C$27</f>
        <v>222618.33684623468</v>
      </c>
      <c r="AW17" s="77">
        <f>AW14*SUP_CONTROL!$C$27</f>
        <v>222618.33684623468</v>
      </c>
      <c r="AX17" s="77">
        <f>AX14*SUP_CONTROL!$C$27</f>
        <v>222618.33684623468</v>
      </c>
      <c r="AY17" s="77">
        <f>AY14*SUP_CONTROL!$C$27</f>
        <v>222618.33684623468</v>
      </c>
      <c r="AZ17" s="77">
        <f>AZ14*SUP_CONTROL!$C$27</f>
        <v>222618.33684623468</v>
      </c>
      <c r="BA17" s="77">
        <f>BA14*SUP_CONTROL!$C$27</f>
        <v>222618.33684623468</v>
      </c>
      <c r="BB17" s="77">
        <f>BB14*SUP_CONTROL!$C$27</f>
        <v>222618.33684623468</v>
      </c>
      <c r="BC17" s="77">
        <f>BC14*SUP_CONTROL!$C$27</f>
        <v>222618.33684623468</v>
      </c>
      <c r="BD17" s="77">
        <f>BD14*SUP_CONTROL!$C$27</f>
        <v>222618.33684623468</v>
      </c>
      <c r="BE17" s="77">
        <f>BE14*SUP_CONTROL!$C$27</f>
        <v>222618.33684623468</v>
      </c>
      <c r="BF17" s="77">
        <f>BF14*SUP_CONTROL!$C$27</f>
        <v>222618.33684623468</v>
      </c>
      <c r="BG17" s="77">
        <f>BG14*SUP_CONTROL!$C$27</f>
        <v>222618.33684623468</v>
      </c>
      <c r="BH17" s="77">
        <f>BH14*SUP_CONTROL!$C$27</f>
        <v>222618.33684623468</v>
      </c>
      <c r="BI17" s="77">
        <f>BI14*SUP_CONTROL!$C$27</f>
        <v>222618.33684623468</v>
      </c>
      <c r="BJ17" s="77">
        <f>BJ14*SUP_CONTROL!$C$27</f>
        <v>222618.33684623468</v>
      </c>
      <c r="BK17" s="77">
        <f>BK14*SUP_CONTROL!$C$27</f>
        <v>222618.33684623468</v>
      </c>
      <c r="BL17" s="77">
        <f>BL14*SUP_CONTROL!$C$27</f>
        <v>222618.33684623468</v>
      </c>
      <c r="BM17" s="77">
        <f>BM14*SUP_CONTROL!$C$27</f>
        <v>222618.33684623468</v>
      </c>
      <c r="BN17" s="77">
        <f>BN14*SUP_CONTROL!$C$27</f>
        <v>222618.33684623468</v>
      </c>
      <c r="BO17" s="77">
        <f>BO14*SUP_CONTROL!$C$27</f>
        <v>222618.33684623468</v>
      </c>
      <c r="BP17" s="77">
        <f>BP14*SUP_CONTROL!$C$27</f>
        <v>222618.33684623468</v>
      </c>
      <c r="BQ17" s="77">
        <f>BQ14*SUP_CONTROL!$C$27</f>
        <v>222618.33684623468</v>
      </c>
      <c r="BR17" s="77">
        <f>BR14*SUP_CONTROL!$C$27</f>
        <v>222618.33684623468</v>
      </c>
      <c r="BS17" s="77">
        <f>BS14*SUP_CONTROL!$C$27</f>
        <v>222618.33684623468</v>
      </c>
      <c r="BT17" s="77">
        <f>BT14*SUP_CONTROL!$C$27</f>
        <v>222618.33684623468</v>
      </c>
      <c r="BU17" s="77">
        <f>BU14*SUP_CONTROL!$C$27</f>
        <v>222618.33684623468</v>
      </c>
      <c r="BV17" s="77">
        <f>BV14*SUP_CONTROL!$C$27</f>
        <v>222618.33684623468</v>
      </c>
      <c r="BW17" s="77">
        <f>BW14*SUP_CONTROL!$C$27</f>
        <v>222618.33684623468</v>
      </c>
      <c r="BX17" s="77">
        <f>BX14*SUP_CONTROL!$C$27</f>
        <v>222618.33684623468</v>
      </c>
      <c r="BY17" s="77">
        <f>BY14*SUP_CONTROL!$C$27</f>
        <v>222618.33684623468</v>
      </c>
      <c r="BZ17" s="77">
        <f>BZ14*SUP_CONTROL!$C$27</f>
        <v>222618.33684623468</v>
      </c>
      <c r="CA17" s="77">
        <f>CA14*SUP_CONTROL!$C$27</f>
        <v>222618.33684623468</v>
      </c>
      <c r="CB17" s="77">
        <f>CB14*SUP_CONTROL!$C$27</f>
        <v>222618.33684623468</v>
      </c>
      <c r="CC17" s="77">
        <f>CC14*SUP_CONTROL!$C$27</f>
        <v>222618.33684623468</v>
      </c>
      <c r="CD17" s="77">
        <f>CD14*SUP_CONTROL!$C$27</f>
        <v>222618.33684623468</v>
      </c>
      <c r="CE17" s="77">
        <f>CE14*SUP_CONTROL!$C$27</f>
        <v>222618.33684623468</v>
      </c>
      <c r="CF17" s="77">
        <f>CF14*SUP_CONTROL!$C$27</f>
        <v>222618.33684623468</v>
      </c>
      <c r="CG17" s="77">
        <f>CG14*SUP_CONTROL!$C$27</f>
        <v>222618.33684623468</v>
      </c>
      <c r="CH17" s="77">
        <f>CH14*SUP_CONTROL!$C$27</f>
        <v>222618.33684623468</v>
      </c>
      <c r="CI17" s="77">
        <f>CI14*SUP_CONTROL!$C$27</f>
        <v>222618.33684623468</v>
      </c>
      <c r="CJ17" s="77">
        <f>CJ14*SUP_CONTROL!$C$27</f>
        <v>222618.33684623468</v>
      </c>
      <c r="CK17" s="77">
        <f>CK14*SUP_CONTROL!$C$27</f>
        <v>222618.33684623468</v>
      </c>
      <c r="CL17" s="77">
        <f>CL14*SUP_CONTROL!$C$27</f>
        <v>222618.33684623468</v>
      </c>
      <c r="CM17" s="77">
        <f>CM14*SUP_CONTROL!$C$27</f>
        <v>222618.33684623468</v>
      </c>
      <c r="CN17" s="77">
        <f>CN14*SUP_CONTROL!$C$27</f>
        <v>222618.33684623468</v>
      </c>
      <c r="CO17" s="77">
        <f>CO14*SUP_CONTROL!$C$27</f>
        <v>222618.33684623468</v>
      </c>
      <c r="CP17" s="77">
        <f>CP14*SUP_CONTROL!$C$27</f>
        <v>222618.33684623468</v>
      </c>
      <c r="CQ17" s="77">
        <f>CQ14*SUP_CONTROL!$C$27</f>
        <v>222618.33684623468</v>
      </c>
      <c r="CR17" s="77">
        <f>CR14*SUP_CONTROL!$C$27</f>
        <v>222618.33684623468</v>
      </c>
      <c r="CS17" s="77">
        <f>CS14*SUP_CONTROL!$C$27</f>
        <v>222618.33684623468</v>
      </c>
      <c r="CT17" s="77">
        <f>CT14*SUP_CONTROL!$C$27</f>
        <v>222618.33684623468</v>
      </c>
      <c r="CU17" s="77">
        <f>CU14*SUP_CONTROL!$C$27</f>
        <v>222618.33684623468</v>
      </c>
      <c r="CV17" s="77">
        <f>CV14*SUP_CONTROL!$C$27</f>
        <v>222618.33684623468</v>
      </c>
      <c r="CW17" s="77">
        <f>CW14*SUP_CONTROL!$C$27</f>
        <v>222618.33684623468</v>
      </c>
      <c r="CX17" s="77">
        <f>CX14*SUP_CONTROL!$C$27</f>
        <v>222618.33684623468</v>
      </c>
      <c r="CY17" s="77">
        <f>CY14*SUP_CONTROL!$C$27</f>
        <v>222618.33684623468</v>
      </c>
      <c r="CZ17" s="77">
        <f>CZ14*SUP_CONTROL!$C$27</f>
        <v>222618.33684623468</v>
      </c>
      <c r="DA17" s="77">
        <f>DA14*SUP_CONTROL!$C$27</f>
        <v>222618.33684623468</v>
      </c>
      <c r="DB17" s="77">
        <f>DB14*SUP_CONTROL!$C$27</f>
        <v>222618.33684623468</v>
      </c>
      <c r="DC17" s="77">
        <f>DC14*SUP_CONTROL!$C$27</f>
        <v>222618.33684623468</v>
      </c>
      <c r="DD17" s="77">
        <f>DD14*SUP_CONTROL!$C$27</f>
        <v>222618.33684623468</v>
      </c>
      <c r="DE17" s="77">
        <f>DE14*SUP_CONTROL!$C$27</f>
        <v>222618.33684623468</v>
      </c>
      <c r="DF17" s="77">
        <f>DF14*SUP_CONTROL!$C$27</f>
        <v>222618.33684623468</v>
      </c>
      <c r="DG17" s="77">
        <f>DG14*SUP_CONTROL!$C$27</f>
        <v>222618.33684623468</v>
      </c>
      <c r="DH17" s="77">
        <f>DH14*SUP_CONTROL!$C$27</f>
        <v>222618.33684623468</v>
      </c>
      <c r="DI17" s="77">
        <f>DI14*SUP_CONTROL!$C$27</f>
        <v>222618.33684623468</v>
      </c>
      <c r="DJ17" s="77">
        <f>DJ14*SUP_CONTROL!$C$27</f>
        <v>222618.33684623468</v>
      </c>
      <c r="DK17" s="77">
        <f>DK14*SUP_CONTROL!$C$27</f>
        <v>222618.33684623468</v>
      </c>
      <c r="DL17" s="77">
        <f>DL14*SUP_CONTROL!$C$27</f>
        <v>222618.33684623468</v>
      </c>
      <c r="DM17" s="77">
        <f>DM14*SUP_CONTROL!$C$27</f>
        <v>222618.33684623468</v>
      </c>
      <c r="DN17" s="77">
        <f>DN14*SUP_CONTROL!$C$27</f>
        <v>222618.33684623468</v>
      </c>
      <c r="DO17" s="77">
        <f>DO14*SUP_CONTROL!$C$27</f>
        <v>222618.33684623468</v>
      </c>
      <c r="DP17" s="77">
        <f>DP14*SUP_CONTROL!$C$27</f>
        <v>222618.33684623468</v>
      </c>
      <c r="DQ17" s="77">
        <f>DQ14*SUP_CONTROL!$C$27</f>
        <v>222618.33684623468</v>
      </c>
      <c r="DR17" s="77">
        <f>DR14*SUP_CONTROL!$C$27</f>
        <v>222618.33684623468</v>
      </c>
      <c r="DS17" s="77">
        <f>DS14*SUP_CONTROL!$C$27</f>
        <v>222618.33684623468</v>
      </c>
    </row>
    <row r="18" spans="1:123" ht="15" customHeight="1" x14ac:dyDescent="0.2">
      <c r="B18" s="37" t="s">
        <v>900</v>
      </c>
      <c r="D18" s="77">
        <f>D15*SUP_OPEX!$C$30</f>
        <v>0</v>
      </c>
      <c r="E18" s="77">
        <f>E15*SUP_OPEX!$C$30</f>
        <v>0</v>
      </c>
      <c r="F18" s="77">
        <f>F15*SUP_OPEX!$C$30</f>
        <v>0</v>
      </c>
      <c r="G18" s="77">
        <f>G15*SUP_OPEX!$C$30</f>
        <v>5811.6380033692676</v>
      </c>
      <c r="H18" s="77">
        <f>H15*SUP_OPEX!$C$30</f>
        <v>12868.627007460524</v>
      </c>
      <c r="I18" s="77">
        <f>I15*SUP_OPEX!$C$30</f>
        <v>21170.967012273766</v>
      </c>
      <c r="J18" s="77">
        <f>J15*SUP_OPEX!$C$30</f>
        <v>30345.052717592396</v>
      </c>
      <c r="K18" s="77">
        <f>K15*SUP_OPEX!$C$30</f>
        <v>40577.686773524714</v>
      </c>
      <c r="L18" s="77">
        <f>L15*SUP_OPEX!$C$30</f>
        <v>43628.796725293578</v>
      </c>
      <c r="M18" s="77">
        <f>M15*SUP_OPEX!$C$30</f>
        <v>45247.753026232167</v>
      </c>
      <c r="N18" s="77">
        <f>N15*SUP_OPEX!$C$30</f>
        <v>45247.753026232167</v>
      </c>
      <c r="O18" s="77">
        <f>O15*SUP_OPEX!$C$30</f>
        <v>45247.753026232167</v>
      </c>
      <c r="P18" s="77">
        <f>P15*SUP_OPEX!$C$30</f>
        <v>45247.753026232167</v>
      </c>
      <c r="Q18" s="77">
        <f>Q15*SUP_OPEX!$C$30</f>
        <v>45247.753026232167</v>
      </c>
      <c r="R18" s="77">
        <f>R15*SUP_OPEX!$C$30</f>
        <v>45247.753026232167</v>
      </c>
      <c r="S18" s="77">
        <f>S15*SUP_OPEX!$C$30</f>
        <v>45247.753026232167</v>
      </c>
      <c r="T18" s="77">
        <f>T15*SUP_OPEX!$C$30</f>
        <v>45247.753026232167</v>
      </c>
      <c r="U18" s="77">
        <f>U15*SUP_OPEX!$C$30</f>
        <v>45247.753026232167</v>
      </c>
      <c r="V18" s="77">
        <f>V15*SUP_OPEX!$C$30</f>
        <v>45247.753026232167</v>
      </c>
      <c r="W18" s="77">
        <f>W15*SUP_OPEX!$C$30</f>
        <v>45247.753026232167</v>
      </c>
      <c r="X18" s="77">
        <f>X15*SUP_OPEX!$C$30</f>
        <v>45247.753026232167</v>
      </c>
      <c r="Y18" s="77">
        <f>Y15*SUP_OPEX!$C$30</f>
        <v>45247.753026232167</v>
      </c>
      <c r="Z18" s="77">
        <f>Z15*SUP_OPEX!$C$30</f>
        <v>45247.753026232167</v>
      </c>
      <c r="AA18" s="77">
        <f>AA15*SUP_OPEX!$C$30</f>
        <v>45247.753026232167</v>
      </c>
      <c r="AB18" s="77">
        <f>AB15*SUP_OPEX!$C$30</f>
        <v>45247.753026232167</v>
      </c>
      <c r="AC18" s="77">
        <f>AC15*SUP_OPEX!$C$30</f>
        <v>45247.753026232167</v>
      </c>
      <c r="AD18" s="77">
        <f>AD15*SUP_OPEX!$C$30</f>
        <v>45247.753026232167</v>
      </c>
      <c r="AE18" s="77">
        <f>AE15*SUP_OPEX!$C$30</f>
        <v>45247.753026232167</v>
      </c>
      <c r="AF18" s="77">
        <f>AF15*SUP_OPEX!$C$30</f>
        <v>45247.753026232167</v>
      </c>
      <c r="AG18" s="77">
        <f>AG15*SUP_OPEX!$C$30</f>
        <v>45247.753026232167</v>
      </c>
      <c r="AH18" s="77">
        <f>AH15*SUP_OPEX!$C$30</f>
        <v>45247.753026232167</v>
      </c>
      <c r="AI18" s="77">
        <f>AI15*SUP_OPEX!$C$30</f>
        <v>45247.753026232167</v>
      </c>
      <c r="AJ18" s="77">
        <f>AJ15*SUP_OPEX!$C$30</f>
        <v>45247.753026232167</v>
      </c>
      <c r="AK18" s="77">
        <f>AK15*SUP_OPEX!$C$30</f>
        <v>45247.753026232167</v>
      </c>
      <c r="AL18" s="77">
        <f>AL15*SUP_OPEX!$C$30</f>
        <v>45247.753026232167</v>
      </c>
      <c r="AM18" s="77">
        <f>AM15*SUP_OPEX!$C$30</f>
        <v>45247.753026232167</v>
      </c>
      <c r="AN18" s="77">
        <f>AN15*SUP_OPEX!$C$30</f>
        <v>45247.753026232167</v>
      </c>
      <c r="AO18" s="77">
        <f>AO15*SUP_OPEX!$C$30</f>
        <v>45247.753026232167</v>
      </c>
      <c r="AP18" s="77">
        <f>AP15*SUP_OPEX!$C$30</f>
        <v>45247.753026232167</v>
      </c>
      <c r="AQ18" s="77">
        <f>AQ15*SUP_OPEX!$C$30</f>
        <v>45247.753026232167</v>
      </c>
      <c r="AR18" s="77">
        <f>AR15*SUP_OPEX!$C$30</f>
        <v>45247.753026232167</v>
      </c>
      <c r="AS18" s="77">
        <f>AS15*SUP_OPEX!$C$30</f>
        <v>45247.753026232167</v>
      </c>
      <c r="AT18" s="77">
        <f>AT15*SUP_OPEX!$C$30</f>
        <v>45247.753026232167</v>
      </c>
      <c r="AU18" s="77">
        <f>AU15*SUP_OPEX!$C$30</f>
        <v>45247.753026232167</v>
      </c>
      <c r="AV18" s="77">
        <f>AV15*SUP_OPEX!$C$30</f>
        <v>45247.753026232167</v>
      </c>
      <c r="AW18" s="77">
        <f>AW15*SUP_OPEX!$C$30</f>
        <v>45247.753026232167</v>
      </c>
      <c r="AX18" s="77">
        <f>AX15*SUP_OPEX!$C$30</f>
        <v>45247.753026232167</v>
      </c>
      <c r="AY18" s="77">
        <f>AY15*SUP_OPEX!$C$30</f>
        <v>45247.753026232167</v>
      </c>
      <c r="AZ18" s="77">
        <f>AZ15*SUP_OPEX!$C$30</f>
        <v>45247.753026232167</v>
      </c>
      <c r="BA18" s="77">
        <f>BA15*SUP_OPEX!$C$30</f>
        <v>45247.753026232167</v>
      </c>
      <c r="BB18" s="77">
        <f>BB15*SUP_OPEX!$C$30</f>
        <v>45247.753026232167</v>
      </c>
      <c r="BC18" s="77">
        <f>BC15*SUP_OPEX!$C$30</f>
        <v>45247.753026232167</v>
      </c>
      <c r="BD18" s="77">
        <f>BD15*SUP_OPEX!$C$30</f>
        <v>45247.753026232167</v>
      </c>
      <c r="BE18" s="77">
        <f>BE15*SUP_OPEX!$C$30</f>
        <v>45247.753026232167</v>
      </c>
      <c r="BF18" s="77">
        <f>BF15*SUP_OPEX!$C$30</f>
        <v>45247.753026232167</v>
      </c>
      <c r="BG18" s="77">
        <f>BG15*SUP_OPEX!$C$30</f>
        <v>45247.753026232167</v>
      </c>
      <c r="BH18" s="77">
        <f>BH15*SUP_OPEX!$C$30</f>
        <v>45247.753026232167</v>
      </c>
      <c r="BI18" s="77">
        <f>BI15*SUP_OPEX!$C$30</f>
        <v>45247.753026232167</v>
      </c>
      <c r="BJ18" s="77">
        <f>BJ15*SUP_OPEX!$C$30</f>
        <v>45247.753026232167</v>
      </c>
      <c r="BK18" s="77">
        <f>BK15*SUP_OPEX!$C$30</f>
        <v>45247.753026232167</v>
      </c>
      <c r="BL18" s="77">
        <f>BL15*SUP_OPEX!$C$30</f>
        <v>45247.753026232167</v>
      </c>
      <c r="BM18" s="77">
        <f>BM15*SUP_OPEX!$C$30</f>
        <v>45247.753026232167</v>
      </c>
      <c r="BN18" s="77">
        <f>BN15*SUP_OPEX!$C$30</f>
        <v>45247.753026232167</v>
      </c>
      <c r="BO18" s="77">
        <f>BO15*SUP_OPEX!$C$30</f>
        <v>45247.753026232167</v>
      </c>
      <c r="BP18" s="77">
        <f>BP15*SUP_OPEX!$C$30</f>
        <v>45247.753026232167</v>
      </c>
      <c r="BQ18" s="77">
        <f>BQ15*SUP_OPEX!$C$30</f>
        <v>45247.753026232167</v>
      </c>
      <c r="BR18" s="77">
        <f>BR15*SUP_OPEX!$C$30</f>
        <v>45247.753026232167</v>
      </c>
      <c r="BS18" s="77">
        <f>BS15*SUP_OPEX!$C$30</f>
        <v>45247.753026232167</v>
      </c>
      <c r="BT18" s="77">
        <f>BT15*SUP_OPEX!$C$30</f>
        <v>45247.753026232167</v>
      </c>
      <c r="BU18" s="77">
        <f>BU15*SUP_OPEX!$C$30</f>
        <v>45247.753026232167</v>
      </c>
      <c r="BV18" s="77">
        <f>BV15*SUP_OPEX!$C$30</f>
        <v>45247.753026232167</v>
      </c>
      <c r="BW18" s="77">
        <f>BW15*SUP_OPEX!$C$30</f>
        <v>45247.753026232167</v>
      </c>
      <c r="BX18" s="77">
        <f>BX15*SUP_OPEX!$C$30</f>
        <v>45247.753026232167</v>
      </c>
      <c r="BY18" s="77">
        <f>BY15*SUP_OPEX!$C$30</f>
        <v>45247.753026232167</v>
      </c>
      <c r="BZ18" s="77">
        <f>BZ15*SUP_OPEX!$C$30</f>
        <v>45247.753026232167</v>
      </c>
      <c r="CA18" s="77">
        <f>CA15*SUP_OPEX!$C$30</f>
        <v>45247.753026232167</v>
      </c>
      <c r="CB18" s="77">
        <f>CB15*SUP_OPEX!$C$30</f>
        <v>45247.753026232167</v>
      </c>
      <c r="CC18" s="77">
        <f>CC15*SUP_OPEX!$C$30</f>
        <v>45247.753026232167</v>
      </c>
      <c r="CD18" s="77">
        <f>CD15*SUP_OPEX!$C$30</f>
        <v>45247.753026232167</v>
      </c>
      <c r="CE18" s="77">
        <f>CE15*SUP_OPEX!$C$30</f>
        <v>45247.753026232167</v>
      </c>
      <c r="CF18" s="77">
        <f>CF15*SUP_OPEX!$C$30</f>
        <v>45247.753026232167</v>
      </c>
      <c r="CG18" s="77">
        <f>CG15*SUP_OPEX!$C$30</f>
        <v>45247.753026232167</v>
      </c>
      <c r="CH18" s="77">
        <f>CH15*SUP_OPEX!$C$30</f>
        <v>45247.753026232167</v>
      </c>
      <c r="CI18" s="77">
        <f>CI15*SUP_OPEX!$C$30</f>
        <v>45247.753026232167</v>
      </c>
      <c r="CJ18" s="77">
        <f>CJ15*SUP_OPEX!$C$30</f>
        <v>45247.753026232167</v>
      </c>
      <c r="CK18" s="77">
        <f>CK15*SUP_OPEX!$C$30</f>
        <v>45247.753026232167</v>
      </c>
      <c r="CL18" s="77">
        <f>CL15*SUP_OPEX!$C$30</f>
        <v>45247.753026232167</v>
      </c>
      <c r="CM18" s="77">
        <f>CM15*SUP_OPEX!$C$30</f>
        <v>45247.753026232167</v>
      </c>
      <c r="CN18" s="77">
        <f>CN15*SUP_OPEX!$C$30</f>
        <v>45247.753026232167</v>
      </c>
      <c r="CO18" s="77">
        <f>CO15*SUP_OPEX!$C$30</f>
        <v>45247.753026232167</v>
      </c>
      <c r="CP18" s="77">
        <f>CP15*SUP_OPEX!$C$30</f>
        <v>45247.753026232167</v>
      </c>
      <c r="CQ18" s="77">
        <f>CQ15*SUP_OPEX!$C$30</f>
        <v>45247.753026232167</v>
      </c>
      <c r="CR18" s="77">
        <f>CR15*SUP_OPEX!$C$30</f>
        <v>45247.753026232167</v>
      </c>
      <c r="CS18" s="77">
        <f>CS15*SUP_OPEX!$C$30</f>
        <v>45247.753026232167</v>
      </c>
      <c r="CT18" s="77">
        <f>CT15*SUP_OPEX!$C$30</f>
        <v>45247.753026232167</v>
      </c>
      <c r="CU18" s="77">
        <f>CU15*SUP_OPEX!$C$30</f>
        <v>45247.753026232167</v>
      </c>
      <c r="CV18" s="77">
        <f>CV15*SUP_OPEX!$C$30</f>
        <v>45247.753026232167</v>
      </c>
      <c r="CW18" s="77">
        <f>CW15*SUP_OPEX!$C$30</f>
        <v>45247.753026232167</v>
      </c>
      <c r="CX18" s="77">
        <f>CX15*SUP_OPEX!$C$30</f>
        <v>45247.753026232167</v>
      </c>
      <c r="CY18" s="77">
        <f>CY15*SUP_OPEX!$C$30</f>
        <v>45247.753026232167</v>
      </c>
      <c r="CZ18" s="77">
        <f>CZ15*SUP_OPEX!$C$30</f>
        <v>45247.753026232167</v>
      </c>
      <c r="DA18" s="77">
        <f>DA15*SUP_OPEX!$C$30</f>
        <v>45247.753026232167</v>
      </c>
      <c r="DB18" s="77">
        <f>DB15*SUP_OPEX!$C$30</f>
        <v>45247.753026232167</v>
      </c>
      <c r="DC18" s="77">
        <f>DC15*SUP_OPEX!$C$30</f>
        <v>45247.753026232167</v>
      </c>
      <c r="DD18" s="77">
        <f>DD15*SUP_OPEX!$C$30</f>
        <v>45247.753026232167</v>
      </c>
      <c r="DE18" s="77">
        <f>DE15*SUP_OPEX!$C$30</f>
        <v>45247.753026232167</v>
      </c>
      <c r="DF18" s="77">
        <f>DF15*SUP_OPEX!$C$30</f>
        <v>45247.753026232167</v>
      </c>
      <c r="DG18" s="77">
        <f>DG15*SUP_OPEX!$C$30</f>
        <v>45247.753026232167</v>
      </c>
      <c r="DH18" s="77">
        <f>DH15*SUP_OPEX!$C$30</f>
        <v>45247.753026232167</v>
      </c>
      <c r="DI18" s="77">
        <f>DI15*SUP_OPEX!$C$30</f>
        <v>45247.753026232167</v>
      </c>
      <c r="DJ18" s="77">
        <f>DJ15*SUP_OPEX!$C$30</f>
        <v>45247.753026232167</v>
      </c>
      <c r="DK18" s="77">
        <f>DK15*SUP_OPEX!$C$30</f>
        <v>45247.753026232167</v>
      </c>
      <c r="DL18" s="77">
        <f>DL15*SUP_OPEX!$C$30</f>
        <v>45247.753026232167</v>
      </c>
      <c r="DM18" s="77">
        <f>DM15*SUP_OPEX!$C$30</f>
        <v>45247.753026232167</v>
      </c>
      <c r="DN18" s="77">
        <f>DN15*SUP_OPEX!$C$30</f>
        <v>45247.753026232167</v>
      </c>
      <c r="DO18" s="77">
        <f>DO15*SUP_OPEX!$C$30</f>
        <v>45247.753026232167</v>
      </c>
      <c r="DP18" s="77">
        <f>DP15*SUP_OPEX!$C$30</f>
        <v>45247.753026232167</v>
      </c>
      <c r="DQ18" s="77">
        <f>DQ15*SUP_OPEX!$C$30</f>
        <v>45247.753026232167</v>
      </c>
      <c r="DR18" s="77">
        <f>DR15*SUP_OPEX!$C$30</f>
        <v>45247.753026232167</v>
      </c>
      <c r="DS18" s="77">
        <f>DS15*SUP_OPEX!$C$30</f>
        <v>45247.753026232167</v>
      </c>
    </row>
    <row r="19" spans="1:123" ht="15" customHeight="1" x14ac:dyDescent="0.2">
      <c r="B19" s="37" t="s">
        <v>901</v>
      </c>
      <c r="D19" s="77">
        <f>D8*SUP_OPEX!$D$23+D9*SUP_OPEX!$E$23</f>
        <v>0</v>
      </c>
      <c r="E19" s="77">
        <f>E8*SUP_OPEX!$D$23+E9*SUP_OPEX!$E$23</f>
        <v>0</v>
      </c>
      <c r="F19" s="77">
        <f>F8*SUP_OPEX!$D$23+F9*SUP_OPEX!$E$23</f>
        <v>0</v>
      </c>
      <c r="G19" s="77">
        <f>G8*SUP_OPEX!$D$23+G9*SUP_OPEX!$E$23</f>
        <v>8290</v>
      </c>
      <c r="H19" s="77">
        <f>H8*SUP_OPEX!$D$23+H9*SUP_OPEX!$E$23</f>
        <v>16580</v>
      </c>
      <c r="I19" s="77">
        <f>I8*SUP_OPEX!$D$23+I9*SUP_OPEX!$E$23</f>
        <v>24870</v>
      </c>
      <c r="J19" s="77">
        <f>J8*SUP_OPEX!$D$23+J9*SUP_OPEX!$E$23</f>
        <v>34730</v>
      </c>
      <c r="K19" s="77">
        <f>K8*SUP_OPEX!$D$23+K9*SUP_OPEX!$E$23</f>
        <v>46160</v>
      </c>
      <c r="L19" s="77">
        <f>L8*SUP_OPEX!$D$23+L9*SUP_OPEX!$E$23</f>
        <v>46160</v>
      </c>
      <c r="M19" s="77">
        <f>M8*SUP_OPEX!$D$23+M9*SUP_OPEX!$E$23</f>
        <v>46160</v>
      </c>
      <c r="N19" s="77">
        <f>N8*SUP_OPEX!$D$23+N9*SUP_OPEX!$E$23</f>
        <v>46160</v>
      </c>
      <c r="O19" s="77">
        <f>O8*SUP_OPEX!$D$23+O9*SUP_OPEX!$E$23</f>
        <v>46160</v>
      </c>
      <c r="P19" s="77">
        <f>P8*SUP_OPEX!$D$23+P9*SUP_OPEX!$E$23</f>
        <v>46160</v>
      </c>
      <c r="Q19" s="77">
        <f>Q8*SUP_OPEX!$D$23+Q9*SUP_OPEX!$E$23</f>
        <v>46160</v>
      </c>
      <c r="R19" s="77">
        <f>R8*SUP_OPEX!$D$23+R9*SUP_OPEX!$E$23</f>
        <v>46160</v>
      </c>
      <c r="S19" s="77">
        <f>S8*SUP_OPEX!$D$23+S9*SUP_OPEX!$E$23</f>
        <v>46160</v>
      </c>
      <c r="T19" s="77">
        <f>T8*SUP_OPEX!$D$23+T9*SUP_OPEX!$E$23</f>
        <v>46160</v>
      </c>
      <c r="U19" s="77">
        <f>U8*SUP_OPEX!$D$23+U9*SUP_OPEX!$E$23</f>
        <v>46160</v>
      </c>
      <c r="V19" s="77">
        <f>V8*SUP_OPEX!$D$23+V9*SUP_OPEX!$E$23</f>
        <v>46160</v>
      </c>
      <c r="W19" s="77">
        <f>W8*SUP_OPEX!$D$23+W9*SUP_OPEX!$E$23</f>
        <v>46160</v>
      </c>
      <c r="X19" s="77">
        <f>X8*SUP_OPEX!$D$23+X9*SUP_OPEX!$E$23</f>
        <v>46160</v>
      </c>
      <c r="Y19" s="77">
        <f>Y8*SUP_OPEX!$D$23+Y9*SUP_OPEX!$E$23</f>
        <v>46160</v>
      </c>
      <c r="Z19" s="77">
        <f>Z8*SUP_OPEX!$D$23+Z9*SUP_OPEX!$E$23</f>
        <v>46160</v>
      </c>
      <c r="AA19" s="77">
        <f>AA8*SUP_OPEX!$D$23+AA9*SUP_OPEX!$E$23</f>
        <v>46160</v>
      </c>
      <c r="AB19" s="77">
        <f>AB8*SUP_OPEX!$D$23+AB9*SUP_OPEX!$E$23</f>
        <v>46160</v>
      </c>
      <c r="AC19" s="77">
        <f>AC8*SUP_OPEX!$D$23+AC9*SUP_OPEX!$E$23</f>
        <v>46160</v>
      </c>
      <c r="AD19" s="77">
        <f>AD8*SUP_OPEX!$D$23+AD9*SUP_OPEX!$E$23</f>
        <v>46160</v>
      </c>
      <c r="AE19" s="77">
        <f>AE8*SUP_OPEX!$D$23+AE9*SUP_OPEX!$E$23</f>
        <v>46160</v>
      </c>
      <c r="AF19" s="77">
        <f>AF8*SUP_OPEX!$D$23+AF9*SUP_OPEX!$E$23</f>
        <v>46160</v>
      </c>
      <c r="AG19" s="77">
        <f>AG8*SUP_OPEX!$D$23+AG9*SUP_OPEX!$E$23</f>
        <v>46160</v>
      </c>
      <c r="AH19" s="77">
        <f>AH8*SUP_OPEX!$D$23+AH9*SUP_OPEX!$E$23</f>
        <v>46160</v>
      </c>
      <c r="AI19" s="77">
        <f>AI8*SUP_OPEX!$D$23+AI9*SUP_OPEX!$E$23</f>
        <v>46160</v>
      </c>
      <c r="AJ19" s="77">
        <f>AJ8*SUP_OPEX!$D$23+AJ9*SUP_OPEX!$E$23</f>
        <v>46160</v>
      </c>
      <c r="AK19" s="77">
        <f>AK8*SUP_OPEX!$D$23+AK9*SUP_OPEX!$E$23</f>
        <v>46160</v>
      </c>
      <c r="AL19" s="77">
        <f>AL8*SUP_OPEX!$D$23+AL9*SUP_OPEX!$E$23</f>
        <v>46160</v>
      </c>
      <c r="AM19" s="77">
        <f>AM8*SUP_OPEX!$D$23+AM9*SUP_OPEX!$E$23</f>
        <v>46160</v>
      </c>
      <c r="AN19" s="77">
        <f>AN8*SUP_OPEX!$D$23+AN9*SUP_OPEX!$E$23</f>
        <v>46160</v>
      </c>
      <c r="AO19" s="77">
        <f>AO8*SUP_OPEX!$D$23+AO9*SUP_OPEX!$E$23</f>
        <v>46160</v>
      </c>
      <c r="AP19" s="77">
        <f>AP8*SUP_OPEX!$D$23+AP9*SUP_OPEX!$E$23</f>
        <v>46160</v>
      </c>
      <c r="AQ19" s="77">
        <f>AQ8*SUP_OPEX!$D$23+AQ9*SUP_OPEX!$E$23</f>
        <v>46160</v>
      </c>
      <c r="AR19" s="77">
        <f>AR8*SUP_OPEX!$D$23+AR9*SUP_OPEX!$E$23</f>
        <v>46160</v>
      </c>
      <c r="AS19" s="77">
        <f>AS8*SUP_OPEX!$D$23+AS9*SUP_OPEX!$E$23</f>
        <v>46160</v>
      </c>
      <c r="AT19" s="77">
        <f>AT8*SUP_OPEX!$D$23+AT9*SUP_OPEX!$E$23</f>
        <v>46160</v>
      </c>
      <c r="AU19" s="77">
        <f>AU8*SUP_OPEX!$D$23+AU9*SUP_OPEX!$E$23</f>
        <v>46160</v>
      </c>
      <c r="AV19" s="77">
        <f>AV8*SUP_OPEX!$D$23+AV9*SUP_OPEX!$E$23</f>
        <v>46160</v>
      </c>
      <c r="AW19" s="77">
        <f>AW8*SUP_OPEX!$D$23+AW9*SUP_OPEX!$E$23</f>
        <v>46160</v>
      </c>
      <c r="AX19" s="77">
        <f>AX8*SUP_OPEX!$D$23+AX9*SUP_OPEX!$E$23</f>
        <v>46160</v>
      </c>
      <c r="AY19" s="77">
        <f>AY8*SUP_OPEX!$D$23+AY9*SUP_OPEX!$E$23</f>
        <v>46160</v>
      </c>
      <c r="AZ19" s="77">
        <f>AZ8*SUP_OPEX!$D$23+AZ9*SUP_OPEX!$E$23</f>
        <v>46160</v>
      </c>
      <c r="BA19" s="77">
        <f>BA8*SUP_OPEX!$D$23+BA9*SUP_OPEX!$E$23</f>
        <v>46160</v>
      </c>
      <c r="BB19" s="77">
        <f>BB8*SUP_OPEX!$D$23+BB9*SUP_OPEX!$E$23</f>
        <v>46160</v>
      </c>
      <c r="BC19" s="77">
        <f>BC8*SUP_OPEX!$D$23+BC9*SUP_OPEX!$E$23</f>
        <v>46160</v>
      </c>
      <c r="BD19" s="77">
        <f>BD8*SUP_OPEX!$D$23+BD9*SUP_OPEX!$E$23</f>
        <v>46160</v>
      </c>
      <c r="BE19" s="77">
        <f>BE8*SUP_OPEX!$D$23+BE9*SUP_OPEX!$E$23</f>
        <v>46160</v>
      </c>
      <c r="BF19" s="77">
        <f>BF8*SUP_OPEX!$D$23+BF9*SUP_OPEX!$E$23</f>
        <v>46160</v>
      </c>
      <c r="BG19" s="77">
        <f>BG8*SUP_OPEX!$D$23+BG9*SUP_OPEX!$E$23</f>
        <v>46160</v>
      </c>
      <c r="BH19" s="77">
        <f>BH8*SUP_OPEX!$D$23+BH9*SUP_OPEX!$E$23</f>
        <v>46160</v>
      </c>
      <c r="BI19" s="77">
        <f>BI8*SUP_OPEX!$D$23+BI9*SUP_OPEX!$E$23</f>
        <v>46160</v>
      </c>
      <c r="BJ19" s="77">
        <f>BJ8*SUP_OPEX!$D$23+BJ9*SUP_OPEX!$E$23</f>
        <v>46160</v>
      </c>
      <c r="BK19" s="77">
        <f>BK8*SUP_OPEX!$D$23+BK9*SUP_OPEX!$E$23</f>
        <v>46160</v>
      </c>
      <c r="BL19" s="77">
        <f>BL8*SUP_OPEX!$D$23+BL9*SUP_OPEX!$E$23</f>
        <v>46160</v>
      </c>
      <c r="BM19" s="77">
        <f>BM8*SUP_OPEX!$D$23+BM9*SUP_OPEX!$E$23</f>
        <v>46160</v>
      </c>
      <c r="BN19" s="77">
        <f>BN8*SUP_OPEX!$D$23+BN9*SUP_OPEX!$E$23</f>
        <v>46160</v>
      </c>
      <c r="BO19" s="77">
        <f>BO8*SUP_OPEX!$D$23+BO9*SUP_OPEX!$E$23</f>
        <v>46160</v>
      </c>
      <c r="BP19" s="77">
        <f>BP8*SUP_OPEX!$D$23+BP9*SUP_OPEX!$E$23</f>
        <v>46160</v>
      </c>
      <c r="BQ19" s="77">
        <f>BQ8*SUP_OPEX!$D$23+BQ9*SUP_OPEX!$E$23</f>
        <v>46160</v>
      </c>
      <c r="BR19" s="77">
        <f>BR8*SUP_OPEX!$D$23+BR9*SUP_OPEX!$E$23</f>
        <v>46160</v>
      </c>
      <c r="BS19" s="77">
        <f>BS8*SUP_OPEX!$D$23+BS9*SUP_OPEX!$E$23</f>
        <v>46160</v>
      </c>
      <c r="BT19" s="77">
        <f>BT8*SUP_OPEX!$D$23+BT9*SUP_OPEX!$E$23</f>
        <v>46160</v>
      </c>
      <c r="BU19" s="77">
        <f>BU8*SUP_OPEX!$D$23+BU9*SUP_OPEX!$E$23</f>
        <v>46160</v>
      </c>
      <c r="BV19" s="77">
        <f>BV8*SUP_OPEX!$D$23+BV9*SUP_OPEX!$E$23</f>
        <v>46160</v>
      </c>
      <c r="BW19" s="77">
        <f>BW8*SUP_OPEX!$D$23+BW9*SUP_OPEX!$E$23</f>
        <v>46160</v>
      </c>
      <c r="BX19" s="77">
        <f>BX8*SUP_OPEX!$D$23+BX9*SUP_OPEX!$E$23</f>
        <v>46160</v>
      </c>
      <c r="BY19" s="77">
        <f>BY8*SUP_OPEX!$D$23+BY9*SUP_OPEX!$E$23</f>
        <v>46160</v>
      </c>
      <c r="BZ19" s="77">
        <f>BZ8*SUP_OPEX!$D$23+BZ9*SUP_OPEX!$E$23</f>
        <v>46160</v>
      </c>
      <c r="CA19" s="77">
        <f>CA8*SUP_OPEX!$D$23+CA9*SUP_OPEX!$E$23</f>
        <v>46160</v>
      </c>
      <c r="CB19" s="77">
        <f>CB8*SUP_OPEX!$D$23+CB9*SUP_OPEX!$E$23</f>
        <v>46160</v>
      </c>
      <c r="CC19" s="77">
        <f>CC8*SUP_OPEX!$D$23+CC9*SUP_OPEX!$E$23</f>
        <v>46160</v>
      </c>
      <c r="CD19" s="77">
        <f>CD8*SUP_OPEX!$D$23+CD9*SUP_OPEX!$E$23</f>
        <v>46160</v>
      </c>
      <c r="CE19" s="77">
        <f>CE8*SUP_OPEX!$D$23+CE9*SUP_OPEX!$E$23</f>
        <v>46160</v>
      </c>
      <c r="CF19" s="77">
        <f>CF8*SUP_OPEX!$D$23+CF9*SUP_OPEX!$E$23</f>
        <v>46160</v>
      </c>
      <c r="CG19" s="77">
        <f>CG8*SUP_OPEX!$D$23+CG9*SUP_OPEX!$E$23</f>
        <v>46160</v>
      </c>
      <c r="CH19" s="77">
        <f>CH8*SUP_OPEX!$D$23+CH9*SUP_OPEX!$E$23</f>
        <v>46160</v>
      </c>
      <c r="CI19" s="77">
        <f>CI8*SUP_OPEX!$D$23+CI9*SUP_OPEX!$E$23</f>
        <v>46160</v>
      </c>
      <c r="CJ19" s="77">
        <f>CJ8*SUP_OPEX!$D$23+CJ9*SUP_OPEX!$E$23</f>
        <v>46160</v>
      </c>
      <c r="CK19" s="77">
        <f>CK8*SUP_OPEX!$D$23+CK9*SUP_OPEX!$E$23</f>
        <v>46160</v>
      </c>
      <c r="CL19" s="77">
        <f>CL8*SUP_OPEX!$D$23+CL9*SUP_OPEX!$E$23</f>
        <v>46160</v>
      </c>
      <c r="CM19" s="77">
        <f>CM8*SUP_OPEX!$D$23+CM9*SUP_OPEX!$E$23</f>
        <v>46160</v>
      </c>
      <c r="CN19" s="77">
        <f>CN8*SUP_OPEX!$D$23+CN9*SUP_OPEX!$E$23</f>
        <v>46160</v>
      </c>
      <c r="CO19" s="77">
        <f>CO8*SUP_OPEX!$D$23+CO9*SUP_OPEX!$E$23</f>
        <v>46160</v>
      </c>
      <c r="CP19" s="77">
        <f>CP8*SUP_OPEX!$D$23+CP9*SUP_OPEX!$E$23</f>
        <v>46160</v>
      </c>
      <c r="CQ19" s="77">
        <f>CQ8*SUP_OPEX!$D$23+CQ9*SUP_OPEX!$E$23</f>
        <v>46160</v>
      </c>
      <c r="CR19" s="77">
        <f>CR8*SUP_OPEX!$D$23+CR9*SUP_OPEX!$E$23</f>
        <v>46160</v>
      </c>
      <c r="CS19" s="77">
        <f>CS8*SUP_OPEX!$D$23+CS9*SUP_OPEX!$E$23</f>
        <v>46160</v>
      </c>
      <c r="CT19" s="77">
        <f>CT8*SUP_OPEX!$D$23+CT9*SUP_OPEX!$E$23</f>
        <v>46160</v>
      </c>
      <c r="CU19" s="77">
        <f>CU8*SUP_OPEX!$D$23+CU9*SUP_OPEX!$E$23</f>
        <v>46160</v>
      </c>
      <c r="CV19" s="77">
        <f>CV8*SUP_OPEX!$D$23+CV9*SUP_OPEX!$E$23</f>
        <v>46160</v>
      </c>
      <c r="CW19" s="77">
        <f>CW8*SUP_OPEX!$D$23+CW9*SUP_OPEX!$E$23</f>
        <v>46160</v>
      </c>
      <c r="CX19" s="77">
        <f>CX8*SUP_OPEX!$D$23+CX9*SUP_OPEX!$E$23</f>
        <v>46160</v>
      </c>
      <c r="CY19" s="77">
        <f>CY8*SUP_OPEX!$D$23+CY9*SUP_OPEX!$E$23</f>
        <v>46160</v>
      </c>
      <c r="CZ19" s="77">
        <f>CZ8*SUP_OPEX!$D$23+CZ9*SUP_OPEX!$E$23</f>
        <v>46160</v>
      </c>
      <c r="DA19" s="77">
        <f>DA8*SUP_OPEX!$D$23+DA9*SUP_OPEX!$E$23</f>
        <v>46160</v>
      </c>
      <c r="DB19" s="77">
        <f>DB8*SUP_OPEX!$D$23+DB9*SUP_OPEX!$E$23</f>
        <v>46160</v>
      </c>
      <c r="DC19" s="77">
        <f>DC8*SUP_OPEX!$D$23+DC9*SUP_OPEX!$E$23</f>
        <v>46160</v>
      </c>
      <c r="DD19" s="77">
        <f>DD8*SUP_OPEX!$D$23+DD9*SUP_OPEX!$E$23</f>
        <v>46160</v>
      </c>
      <c r="DE19" s="77">
        <f>DE8*SUP_OPEX!$D$23+DE9*SUP_OPEX!$E$23</f>
        <v>46160</v>
      </c>
      <c r="DF19" s="77">
        <f>DF8*SUP_OPEX!$D$23+DF9*SUP_OPEX!$E$23</f>
        <v>46160</v>
      </c>
      <c r="DG19" s="77">
        <f>DG8*SUP_OPEX!$D$23+DG9*SUP_OPEX!$E$23</f>
        <v>46160</v>
      </c>
      <c r="DH19" s="77">
        <f>DH8*SUP_OPEX!$D$23+DH9*SUP_OPEX!$E$23</f>
        <v>46160</v>
      </c>
      <c r="DI19" s="77">
        <f>DI8*SUP_OPEX!$D$23+DI9*SUP_OPEX!$E$23</f>
        <v>46160</v>
      </c>
      <c r="DJ19" s="77">
        <f>DJ8*SUP_OPEX!$D$23+DJ9*SUP_OPEX!$E$23</f>
        <v>46160</v>
      </c>
      <c r="DK19" s="77">
        <f>DK8*SUP_OPEX!$D$23+DK9*SUP_OPEX!$E$23</f>
        <v>46160</v>
      </c>
      <c r="DL19" s="77">
        <f>DL8*SUP_OPEX!$D$23+DL9*SUP_OPEX!$E$23</f>
        <v>46160</v>
      </c>
      <c r="DM19" s="77">
        <f>DM8*SUP_OPEX!$D$23+DM9*SUP_OPEX!$E$23</f>
        <v>46160</v>
      </c>
      <c r="DN19" s="77">
        <f>DN8*SUP_OPEX!$D$23+DN9*SUP_OPEX!$E$23</f>
        <v>46160</v>
      </c>
      <c r="DO19" s="77">
        <f>DO8*SUP_OPEX!$D$23+DO9*SUP_OPEX!$E$23</f>
        <v>46160</v>
      </c>
      <c r="DP19" s="77">
        <f>DP8*SUP_OPEX!$D$23+DP9*SUP_OPEX!$E$23</f>
        <v>46160</v>
      </c>
      <c r="DQ19" s="77">
        <f>DQ8*SUP_OPEX!$D$23+DQ9*SUP_OPEX!$E$23</f>
        <v>46160</v>
      </c>
      <c r="DR19" s="77">
        <f>DR8*SUP_OPEX!$D$23+DR9*SUP_OPEX!$E$23</f>
        <v>46160</v>
      </c>
      <c r="DS19" s="77">
        <f>DS8*SUP_OPEX!$D$23+DS9*SUP_OPEX!$E$23</f>
        <v>46160</v>
      </c>
    </row>
    <row r="20" spans="1:123" ht="15" customHeight="1" x14ac:dyDescent="0.2">
      <c r="B20" s="37" t="s">
        <v>902</v>
      </c>
      <c r="D20" s="77">
        <f>SUP_OVERHEAD!D38</f>
        <v>0</v>
      </c>
      <c r="E20" s="77">
        <f>SUP_OVERHEAD!E38</f>
        <v>15714.999999999998</v>
      </c>
      <c r="F20" s="77">
        <f>SUP_OVERHEAD!F38</f>
        <v>15714.999999999998</v>
      </c>
      <c r="G20" s="77">
        <f>SUP_OVERHEAD!G38</f>
        <v>15714.999999999998</v>
      </c>
      <c r="H20" s="77">
        <f>SUP_OVERHEAD!H38</f>
        <v>15714.999999999998</v>
      </c>
      <c r="I20" s="77">
        <f>SUP_OVERHEAD!I38</f>
        <v>17828.182747177907</v>
      </c>
      <c r="J20" s="77">
        <f>SUP_OVERHEAD!J38</f>
        <v>25553.728604288335</v>
      </c>
      <c r="K20" s="77">
        <f>SUP_OVERHEAD!K38</f>
        <v>34170.683598757656</v>
      </c>
      <c r="L20" s="77">
        <f>SUP_OVERHEAD!L38</f>
        <v>36740.039347615646</v>
      </c>
      <c r="M20" s="77">
        <f>SUP_OVERHEAD!M38</f>
        <v>38103.370969458665</v>
      </c>
      <c r="N20" s="77">
        <f>SUP_OVERHEAD!N38</f>
        <v>38103.370969458665</v>
      </c>
      <c r="O20" s="77">
        <f>SUP_OVERHEAD!O38</f>
        <v>38103.370969458665</v>
      </c>
      <c r="P20" s="77">
        <f>SUP_OVERHEAD!P38</f>
        <v>33340.449598276333</v>
      </c>
      <c r="Q20" s="77">
        <f>SUP_OVERHEAD!Q38</f>
        <v>33340.449598276333</v>
      </c>
      <c r="R20" s="77">
        <f>SUP_OVERHEAD!R38</f>
        <v>33340.449598276333</v>
      </c>
      <c r="S20" s="77">
        <f>SUP_OVERHEAD!S38</f>
        <v>33340.449598276333</v>
      </c>
      <c r="T20" s="77">
        <f>SUP_OVERHEAD!T38</f>
        <v>33340.449598276333</v>
      </c>
      <c r="U20" s="77">
        <f>SUP_OVERHEAD!U38</f>
        <v>33340.449598276333</v>
      </c>
      <c r="V20" s="77">
        <f>SUP_OVERHEAD!V38</f>
        <v>33340.449598276333</v>
      </c>
      <c r="W20" s="77">
        <f>SUP_OVERHEAD!W38</f>
        <v>33340.44959827634</v>
      </c>
      <c r="X20" s="77">
        <f>SUP_OVERHEAD!X38</f>
        <v>33340.449598276333</v>
      </c>
      <c r="Y20" s="77">
        <f>SUP_OVERHEAD!Y38</f>
        <v>33340.449598276333</v>
      </c>
      <c r="Z20" s="77">
        <f>SUP_OVERHEAD!Z38</f>
        <v>33340.449598276333</v>
      </c>
      <c r="AA20" s="77">
        <f>SUP_OVERHEAD!AA38</f>
        <v>33340.449598276333</v>
      </c>
      <c r="AB20" s="77">
        <f>SUP_OVERHEAD!AB38</f>
        <v>28577.528227094004</v>
      </c>
      <c r="AC20" s="77">
        <f>SUP_OVERHEAD!AC38</f>
        <v>28577.528227094004</v>
      </c>
      <c r="AD20" s="77">
        <f>SUP_OVERHEAD!AD38</f>
        <v>28577.528227093997</v>
      </c>
      <c r="AE20" s="77">
        <f>SUP_OVERHEAD!AE38</f>
        <v>28577.528227093997</v>
      </c>
      <c r="AF20" s="77">
        <f>SUP_OVERHEAD!AF38</f>
        <v>28577.528227094001</v>
      </c>
      <c r="AG20" s="77">
        <f>SUP_OVERHEAD!AG38</f>
        <v>28577.528227093997</v>
      </c>
      <c r="AH20" s="77">
        <f>SUP_OVERHEAD!AH38</f>
        <v>28577.528227093997</v>
      </c>
      <c r="AI20" s="77">
        <f>SUP_OVERHEAD!AI38</f>
        <v>28577.528227093993</v>
      </c>
      <c r="AJ20" s="77">
        <f>SUP_OVERHEAD!AJ38</f>
        <v>28577.528227093997</v>
      </c>
      <c r="AK20" s="77">
        <f>SUP_OVERHEAD!AK38</f>
        <v>28577.528227093997</v>
      </c>
      <c r="AL20" s="77">
        <f>SUP_OVERHEAD!AL38</f>
        <v>28577.528227093997</v>
      </c>
      <c r="AM20" s="77">
        <f>SUP_OVERHEAD!AM38</f>
        <v>28577.528227093997</v>
      </c>
      <c r="AN20" s="77">
        <f>SUP_OVERHEAD!AN38</f>
        <v>26196.067541502835</v>
      </c>
      <c r="AO20" s="77">
        <f>SUP_OVERHEAD!AO38</f>
        <v>26196.067541502831</v>
      </c>
      <c r="AP20" s="77">
        <f>SUP_OVERHEAD!AP38</f>
        <v>26196.067541502835</v>
      </c>
      <c r="AQ20" s="77">
        <f>SUP_OVERHEAD!AQ38</f>
        <v>26196.067541502835</v>
      </c>
      <c r="AR20" s="77">
        <f>SUP_OVERHEAD!AR38</f>
        <v>26196.067541502831</v>
      </c>
      <c r="AS20" s="77">
        <f>SUP_OVERHEAD!AS38</f>
        <v>26196.067541502835</v>
      </c>
      <c r="AT20" s="77">
        <f>SUP_OVERHEAD!AT38</f>
        <v>26196.067541502831</v>
      </c>
      <c r="AU20" s="77">
        <f>SUP_OVERHEAD!AU38</f>
        <v>26196.067541502831</v>
      </c>
      <c r="AV20" s="77">
        <f>SUP_OVERHEAD!AV38</f>
        <v>26196.067541502831</v>
      </c>
      <c r="AW20" s="77">
        <f>SUP_OVERHEAD!AW38</f>
        <v>26196.067541502831</v>
      </c>
      <c r="AX20" s="77">
        <f>SUP_OVERHEAD!AX38</f>
        <v>26196.067541502831</v>
      </c>
      <c r="AY20" s="77">
        <f>SUP_OVERHEAD!AY38</f>
        <v>26196.067541502831</v>
      </c>
      <c r="AZ20" s="77">
        <f>SUP_OVERHEAD!AZ38</f>
        <v>23814.606855911668</v>
      </c>
      <c r="BA20" s="77">
        <f>SUP_OVERHEAD!BA38</f>
        <v>23814.606855911665</v>
      </c>
      <c r="BB20" s="77">
        <f>SUP_OVERHEAD!BB38</f>
        <v>23814.606855911665</v>
      </c>
      <c r="BC20" s="77">
        <f>SUP_OVERHEAD!BC38</f>
        <v>23814.606855911665</v>
      </c>
      <c r="BD20" s="77">
        <f>SUP_OVERHEAD!BD38</f>
        <v>23814.606855911668</v>
      </c>
      <c r="BE20" s="77">
        <f>SUP_OVERHEAD!BE38</f>
        <v>23814.606855911668</v>
      </c>
      <c r="BF20" s="77">
        <f>SUP_OVERHEAD!BF38</f>
        <v>23814.606855911665</v>
      </c>
      <c r="BG20" s="77">
        <f>SUP_OVERHEAD!BG38</f>
        <v>23814.606855911665</v>
      </c>
      <c r="BH20" s="77">
        <f>SUP_OVERHEAD!BH38</f>
        <v>23814.606855911665</v>
      </c>
      <c r="BI20" s="77">
        <f>SUP_OVERHEAD!BI38</f>
        <v>23814.606855911665</v>
      </c>
      <c r="BJ20" s="77">
        <f>SUP_OVERHEAD!BJ38</f>
        <v>23814.606855911665</v>
      </c>
      <c r="BK20" s="77">
        <f>SUP_OVERHEAD!BK38</f>
        <v>23814.606855911668</v>
      </c>
      <c r="BL20" s="77">
        <f>SUP_OVERHEAD!BL38</f>
        <v>21433.146170320495</v>
      </c>
      <c r="BM20" s="77">
        <f>SUP_OVERHEAD!BM38</f>
        <v>21433.146170320495</v>
      </c>
      <c r="BN20" s="77">
        <f>SUP_OVERHEAD!BN38</f>
        <v>21433.146170320499</v>
      </c>
      <c r="BO20" s="77">
        <f>SUP_OVERHEAD!BO38</f>
        <v>21433.146170320499</v>
      </c>
      <c r="BP20" s="77">
        <f>SUP_OVERHEAD!BP38</f>
        <v>21433.146170320499</v>
      </c>
      <c r="BQ20" s="77">
        <f>SUP_OVERHEAD!BQ38</f>
        <v>21433.146170320499</v>
      </c>
      <c r="BR20" s="77">
        <f>SUP_OVERHEAD!BR38</f>
        <v>21433.146170320502</v>
      </c>
      <c r="BS20" s="77">
        <f>SUP_OVERHEAD!BS38</f>
        <v>21433.146170320499</v>
      </c>
      <c r="BT20" s="77">
        <f>SUP_OVERHEAD!BT38</f>
        <v>21433.146170320495</v>
      </c>
      <c r="BU20" s="77">
        <f>SUP_OVERHEAD!BU38</f>
        <v>21433.146170320499</v>
      </c>
      <c r="BV20" s="77">
        <f>SUP_OVERHEAD!BV38</f>
        <v>21433.146170320499</v>
      </c>
      <c r="BW20" s="77">
        <f>SUP_OVERHEAD!BW38</f>
        <v>21433.146170320499</v>
      </c>
      <c r="BX20" s="77">
        <f>SUP_OVERHEAD!BX38</f>
        <v>19051.685484729333</v>
      </c>
      <c r="BY20" s="77">
        <f>SUP_OVERHEAD!BY38</f>
        <v>19051.685484729333</v>
      </c>
      <c r="BZ20" s="77">
        <f>SUP_OVERHEAD!BZ38</f>
        <v>19051.685484729333</v>
      </c>
      <c r="CA20" s="77">
        <f>SUP_OVERHEAD!CA38</f>
        <v>19051.685484729333</v>
      </c>
      <c r="CB20" s="77">
        <f>SUP_OVERHEAD!CB38</f>
        <v>19051.685484729333</v>
      </c>
      <c r="CC20" s="77">
        <f>SUP_OVERHEAD!CC38</f>
        <v>19051.685484729333</v>
      </c>
      <c r="CD20" s="77">
        <f>SUP_OVERHEAD!CD38</f>
        <v>19051.685484729333</v>
      </c>
      <c r="CE20" s="77">
        <f>SUP_OVERHEAD!CE38</f>
        <v>19051.685484729333</v>
      </c>
      <c r="CF20" s="77">
        <f>SUP_OVERHEAD!CF38</f>
        <v>19051.685484729333</v>
      </c>
      <c r="CG20" s="77">
        <f>SUP_OVERHEAD!CG38</f>
        <v>19051.685484729333</v>
      </c>
      <c r="CH20" s="77">
        <f>SUP_OVERHEAD!CH38</f>
        <v>19051.685484729333</v>
      </c>
      <c r="CI20" s="77">
        <f>SUP_OVERHEAD!CI38</f>
        <v>19051.685484729333</v>
      </c>
      <c r="CJ20" s="77">
        <f>SUP_OVERHEAD!CJ38</f>
        <v>19051.685484729333</v>
      </c>
      <c r="CK20" s="77">
        <f>SUP_OVERHEAD!CK38</f>
        <v>19051.685484729333</v>
      </c>
      <c r="CL20" s="77">
        <f>SUP_OVERHEAD!CL38</f>
        <v>19051.685484729333</v>
      </c>
      <c r="CM20" s="77">
        <f>SUP_OVERHEAD!CM38</f>
        <v>19051.685484729333</v>
      </c>
      <c r="CN20" s="77">
        <f>SUP_OVERHEAD!CN38</f>
        <v>19051.685484729333</v>
      </c>
      <c r="CO20" s="77">
        <f>SUP_OVERHEAD!CO38</f>
        <v>19051.685484729333</v>
      </c>
      <c r="CP20" s="77">
        <f>SUP_OVERHEAD!CP38</f>
        <v>19051.685484729333</v>
      </c>
      <c r="CQ20" s="77">
        <f>SUP_OVERHEAD!CQ38</f>
        <v>19051.685484729333</v>
      </c>
      <c r="CR20" s="77">
        <f>SUP_OVERHEAD!CR38</f>
        <v>19051.685484729333</v>
      </c>
      <c r="CS20" s="77">
        <f>SUP_OVERHEAD!CS38</f>
        <v>19051.685484729333</v>
      </c>
      <c r="CT20" s="77">
        <f>SUP_OVERHEAD!CT38</f>
        <v>19051.685484729333</v>
      </c>
      <c r="CU20" s="77">
        <f>SUP_OVERHEAD!CU38</f>
        <v>19051.685484729333</v>
      </c>
      <c r="CV20" s="77">
        <f>SUP_OVERHEAD!CV38</f>
        <v>19051.685484729333</v>
      </c>
      <c r="CW20" s="77">
        <f>SUP_OVERHEAD!CW38</f>
        <v>19051.685484729333</v>
      </c>
      <c r="CX20" s="77">
        <f>SUP_OVERHEAD!CX38</f>
        <v>19051.685484729333</v>
      </c>
      <c r="CY20" s="77">
        <f>SUP_OVERHEAD!CY38</f>
        <v>19051.685484729333</v>
      </c>
      <c r="CZ20" s="77">
        <f>SUP_OVERHEAD!CZ38</f>
        <v>19051.685484729333</v>
      </c>
      <c r="DA20" s="77">
        <f>SUP_OVERHEAD!DA38</f>
        <v>19051.685484729333</v>
      </c>
      <c r="DB20" s="77">
        <f>SUP_OVERHEAD!DB38</f>
        <v>19051.685484729333</v>
      </c>
      <c r="DC20" s="77">
        <f>SUP_OVERHEAD!DC38</f>
        <v>19051.685484729333</v>
      </c>
      <c r="DD20" s="77">
        <f>SUP_OVERHEAD!DD38</f>
        <v>19051.685484729333</v>
      </c>
      <c r="DE20" s="77">
        <f>SUP_OVERHEAD!DE38</f>
        <v>19051.685484729333</v>
      </c>
      <c r="DF20" s="77">
        <f>SUP_OVERHEAD!DF38</f>
        <v>19051.685484729333</v>
      </c>
      <c r="DG20" s="77">
        <f>SUP_OVERHEAD!DG38</f>
        <v>19051.685484729333</v>
      </c>
      <c r="DH20" s="77">
        <f>SUP_OVERHEAD!DH38</f>
        <v>19051.685484729333</v>
      </c>
      <c r="DI20" s="77">
        <f>SUP_OVERHEAD!DI38</f>
        <v>19051.685484729333</v>
      </c>
      <c r="DJ20" s="77">
        <f>SUP_OVERHEAD!DJ38</f>
        <v>19051.685484729333</v>
      </c>
      <c r="DK20" s="77">
        <f>SUP_OVERHEAD!DK38</f>
        <v>19051.685484729333</v>
      </c>
      <c r="DL20" s="77">
        <f>SUP_OVERHEAD!DL38</f>
        <v>19051.685484729333</v>
      </c>
      <c r="DM20" s="77">
        <f>SUP_OVERHEAD!DM38</f>
        <v>19051.685484729333</v>
      </c>
      <c r="DN20" s="77">
        <f>SUP_OVERHEAD!DN38</f>
        <v>19051.685484729333</v>
      </c>
      <c r="DO20" s="77">
        <f>SUP_OVERHEAD!DO38</f>
        <v>19051.685484729333</v>
      </c>
      <c r="DP20" s="77">
        <f>SUP_OVERHEAD!DP38</f>
        <v>19051.685484729333</v>
      </c>
      <c r="DQ20" s="77">
        <f>SUP_OVERHEAD!DQ38</f>
        <v>19051.685484729333</v>
      </c>
      <c r="DR20" s="77">
        <f>SUP_OVERHEAD!DR38</f>
        <v>19051.685484729333</v>
      </c>
      <c r="DS20" s="77">
        <f>SUP_OVERHEAD!DS38</f>
        <v>19051.685484729333</v>
      </c>
    </row>
    <row r="21" spans="1:123" ht="15" customHeight="1" x14ac:dyDescent="0.2">
      <c r="B21" s="37" t="s">
        <v>1838</v>
      </c>
      <c r="D21" s="77">
        <f>D16*PROD_DEMANDA!D16</f>
        <v>0</v>
      </c>
      <c r="E21" s="77">
        <f>E16*PROD_DEMANDA!E16</f>
        <v>0</v>
      </c>
      <c r="F21" s="77">
        <f>F16*PROD_DEMANDA!F16</f>
        <v>0</v>
      </c>
      <c r="G21" s="77">
        <f>G16*PROD_DEMANDA!G16</f>
        <v>565.65599999999984</v>
      </c>
      <c r="H21" s="77">
        <f>H16*PROD_DEMANDA!H16</f>
        <v>1252.5239999999999</v>
      </c>
      <c r="I21" s="77">
        <f>I16*PROD_DEMANDA!I16</f>
        <v>2060.6039999999998</v>
      </c>
      <c r="J21" s="77">
        <f>J16*PROD_DEMANDA!J16</f>
        <v>2953.5324000000001</v>
      </c>
      <c r="K21" s="77">
        <f>K16*PROD_DEMANDA!K16</f>
        <v>3949.491</v>
      </c>
      <c r="L21" s="77">
        <f>L16*PROD_DEMANDA!L16</f>
        <v>4246.4603999999999</v>
      </c>
      <c r="M21" s="77">
        <f>M16*PROD_DEMANDA!M16</f>
        <v>4404.0360000000001</v>
      </c>
      <c r="N21" s="77">
        <f>N16*PROD_DEMANDA!N16</f>
        <v>4404.0360000000001</v>
      </c>
      <c r="O21" s="77">
        <f>O16*PROD_DEMANDA!O16</f>
        <v>4404.0360000000001</v>
      </c>
      <c r="P21" s="77">
        <f>P16*PROD_DEMANDA!P16</f>
        <v>4404.0360000000001</v>
      </c>
      <c r="Q21" s="77">
        <f>Q16*PROD_DEMANDA!Q16</f>
        <v>4404.0360000000001</v>
      </c>
      <c r="R21" s="77">
        <f>R16*PROD_DEMANDA!R16</f>
        <v>4404.0360000000001</v>
      </c>
      <c r="S21" s="77">
        <f>S16*PROD_DEMANDA!S16</f>
        <v>4404.0360000000001</v>
      </c>
      <c r="T21" s="77">
        <f>T16*PROD_DEMANDA!T16</f>
        <v>4404.0360000000001</v>
      </c>
      <c r="U21" s="77">
        <f>U16*PROD_DEMANDA!U16</f>
        <v>4404.0360000000001</v>
      </c>
      <c r="V21" s="77">
        <f>V16*PROD_DEMANDA!V16</f>
        <v>4404.0360000000001</v>
      </c>
      <c r="W21" s="77">
        <f>W16*PROD_DEMANDA!W16</f>
        <v>4404.0360000000001</v>
      </c>
      <c r="X21" s="77">
        <f>X16*PROD_DEMANDA!X16</f>
        <v>4404.0360000000001</v>
      </c>
      <c r="Y21" s="77">
        <f>Y16*PROD_DEMANDA!Y16</f>
        <v>4404.0360000000001</v>
      </c>
      <c r="Z21" s="77">
        <f>Z16*PROD_DEMANDA!Z16</f>
        <v>4404.0360000000001</v>
      </c>
      <c r="AA21" s="77">
        <f>AA16*PROD_DEMANDA!AA16</f>
        <v>5909.5455683453238</v>
      </c>
      <c r="AB21" s="77">
        <f>AB16*PROD_DEMANDA!AB16</f>
        <v>5909.5455683453238</v>
      </c>
      <c r="AC21" s="77">
        <f>AC16*PROD_DEMANDA!AC16</f>
        <v>5909.5455683453238</v>
      </c>
      <c r="AD21" s="77">
        <f>AD16*PROD_DEMANDA!AD16</f>
        <v>5943.2746459087621</v>
      </c>
      <c r="AE21" s="77">
        <f>AE16*PROD_DEMANDA!AE16</f>
        <v>5943.2746459087621</v>
      </c>
      <c r="AF21" s="77">
        <f>AF16*PROD_DEMANDA!AF16</f>
        <v>5651.4168744911876</v>
      </c>
      <c r="AG21" s="77">
        <f>AG16*PROD_DEMANDA!AG16</f>
        <v>5390.5276547028025</v>
      </c>
      <c r="AH21" s="77">
        <f>AH16*PROD_DEMANDA!AH16</f>
        <v>5310.0798888994905</v>
      </c>
      <c r="AI21" s="77">
        <f>AI16*PROD_DEMANDA!AI16</f>
        <v>5074.4084254125319</v>
      </c>
      <c r="AJ21" s="77">
        <f>AJ16*PROD_DEMANDA!AJ16</f>
        <v>4857.2328233271237</v>
      </c>
      <c r="AK21" s="77">
        <f>AK16*PROD_DEMANDA!AK16</f>
        <v>4800.7103527416621</v>
      </c>
      <c r="AL21" s="77">
        <f>AL16*PROD_DEMANDA!AL16</f>
        <v>4797.4944771802984</v>
      </c>
      <c r="AM21" s="77">
        <f>AM16*PROD_DEMANDA!AM16</f>
        <v>4602.3666652139254</v>
      </c>
      <c r="AN21" s="77">
        <f>AN16*PROD_DEMANDA!AN16</f>
        <v>4443.1042209836796</v>
      </c>
      <c r="AO21" s="77">
        <f>AO16*PROD_DEMANDA!AO16</f>
        <v>4282.3230895316265</v>
      </c>
      <c r="AP21" s="77">
        <f>AP16*PROD_DEMANDA!AP16</f>
        <v>4119.7762580273202</v>
      </c>
      <c r="AQ21" s="77">
        <f>AQ16*PROD_DEMANDA!AQ16</f>
        <v>4067.8799949486761</v>
      </c>
      <c r="AR21" s="77">
        <f>AR16*PROD_DEMANDA!AR16</f>
        <v>3921.9843878640568</v>
      </c>
      <c r="AS21" s="77">
        <f>AS16*PROD_DEMANDA!AS16</f>
        <v>3883.0815007704168</v>
      </c>
      <c r="AT21" s="77">
        <f>AT16*PROD_DEMANDA!AT16</f>
        <v>3784.6507741700207</v>
      </c>
      <c r="AU21" s="77">
        <f>AU16*PROD_DEMANDA!AU16</f>
        <v>3675.0441938411545</v>
      </c>
      <c r="AV21" s="77">
        <f>AV16*PROD_DEMANDA!AV16</f>
        <v>3646.9104013442934</v>
      </c>
      <c r="AW21" s="77">
        <f>AW16*PROD_DEMANDA!AW16</f>
        <v>5551.9759429398055</v>
      </c>
      <c r="AX21" s="77">
        <f>AX16*PROD_DEMANDA!AX16</f>
        <v>5533.7498001641279</v>
      </c>
      <c r="AY21" s="77">
        <f>AY16*PROD_DEMANDA!AY16</f>
        <v>5533.7498001641279</v>
      </c>
      <c r="AZ21" s="77">
        <f>AZ16*PROD_DEMANDA!AZ16</f>
        <v>5533.7498001641279</v>
      </c>
      <c r="BA21" s="77">
        <f>BA16*PROD_DEMANDA!BA16</f>
        <v>5606.4052197659303</v>
      </c>
      <c r="BB21" s="77">
        <f>BB16*PROD_DEMANDA!BB16</f>
        <v>5606.4052197659303</v>
      </c>
      <c r="BC21" s="77">
        <f>BC16*PROD_DEMANDA!BC16</f>
        <v>5606.4052197659303</v>
      </c>
      <c r="BD21" s="77">
        <f>BD16*PROD_DEMANDA!BD16</f>
        <v>5380.5724238102621</v>
      </c>
      <c r="BE21" s="77">
        <f>BE16*PROD_DEMANDA!BE16</f>
        <v>5228.3459055401454</v>
      </c>
      <c r="BF21" s="77">
        <f>BF16*PROD_DEMANDA!BF16</f>
        <v>5108.2421503803289</v>
      </c>
      <c r="BG21" s="77">
        <f>BG16*PROD_DEMANDA!BG16</f>
        <v>4949.7508753560005</v>
      </c>
      <c r="BH21" s="77">
        <f>BH16*PROD_DEMANDA!BH16</f>
        <v>4816.6810204304002</v>
      </c>
      <c r="BI21" s="77">
        <f>BI16*PROD_DEMANDA!BI16</f>
        <v>4691.7548034329102</v>
      </c>
      <c r="BJ21" s="77">
        <f>BJ16*PROD_DEMANDA!BJ16</f>
        <v>4556.0681284327638</v>
      </c>
      <c r="BK21" s="77">
        <f>BK16*PROD_DEMANDA!BK16</f>
        <v>4500.2772971804807</v>
      </c>
      <c r="BL21" s="77">
        <f>BL16*PROD_DEMANDA!BL16</f>
        <v>4396.0139654018139</v>
      </c>
      <c r="BM21" s="77">
        <f>BM16*PROD_DEMANDA!BM16</f>
        <v>4297.3678640038042</v>
      </c>
      <c r="BN21" s="77">
        <f>BN16*PROD_DEMANDA!BN16</f>
        <v>4189.377243472547</v>
      </c>
      <c r="BO21" s="77">
        <f>BO16*PROD_DEMANDA!BO16</f>
        <v>4100.1680698948885</v>
      </c>
      <c r="BP21" s="77">
        <f>BP16*PROD_DEMANDA!BP16</f>
        <v>4056.3663999024625</v>
      </c>
      <c r="BQ21" s="77">
        <f>BQ16*PROD_DEMANDA!BQ16</f>
        <v>3976.3210508048319</v>
      </c>
      <c r="BR21" s="77">
        <f>BR16*PROD_DEMANDA!BR16</f>
        <v>3888.1548303145528</v>
      </c>
      <c r="BS21" s="77">
        <f>BS16*PROD_DEMANDA!BS16</f>
        <v>3771.0175198735546</v>
      </c>
      <c r="BT21" s="77">
        <f>BT16*PROD_DEMANDA!BT16</f>
        <v>3694.4778977390292</v>
      </c>
      <c r="BU21" s="77">
        <f>BU16*PROD_DEMANDA!BU16</f>
        <v>3662.1456910678312</v>
      </c>
      <c r="BV21" s="77">
        <f>BV16*PROD_DEMANDA!BV16</f>
        <v>3596.7768470124756</v>
      </c>
      <c r="BW21" s="77">
        <f>BW16*PROD_DEMANDA!BW16</f>
        <v>3528.991809444442</v>
      </c>
      <c r="BX21" s="77">
        <f>BX16*PROD_DEMANDA!BX16</f>
        <v>3472.2929149166989</v>
      </c>
      <c r="BY21" s="77">
        <f>BY16*PROD_DEMANDA!BY16</f>
        <v>3418.6148397295246</v>
      </c>
      <c r="BZ21" s="77">
        <f>BZ16*PROD_DEMANDA!BZ16</f>
        <v>3359.0169466678358</v>
      </c>
      <c r="CA21" s="77">
        <f>CA16*PROD_DEMANDA!CA16</f>
        <v>3295.6543427267575</v>
      </c>
      <c r="CB21" s="77">
        <f>CB16*PROD_DEMANDA!CB16</f>
        <v>3746.0895042999869</v>
      </c>
      <c r="CC21" s="77">
        <f>CC16*PROD_DEMANDA!CC16</f>
        <v>3720.8777148147851</v>
      </c>
      <c r="CD21" s="77">
        <f>CD16*PROD_DEMANDA!CD16</f>
        <v>3708.9460380448277</v>
      </c>
      <c r="CE21" s="77">
        <f>CE16*PROD_DEMANDA!CE16</f>
        <v>3703.7880343461038</v>
      </c>
      <c r="CF21" s="77">
        <f>CF16*PROD_DEMANDA!CF16</f>
        <v>3703.7880343461038</v>
      </c>
      <c r="CG21" s="77">
        <f>CG16*PROD_DEMANDA!CG16</f>
        <v>3703.7880343461038</v>
      </c>
      <c r="CH21" s="77">
        <f>CH16*PROD_DEMANDA!CH16</f>
        <v>3703.7880343461038</v>
      </c>
      <c r="CI21" s="77">
        <f>CI16*PROD_DEMANDA!CI16</f>
        <v>3703.7880343461038</v>
      </c>
      <c r="CJ21" s="77">
        <f>CJ16*PROD_DEMANDA!CJ16</f>
        <v>3703.7880343461038</v>
      </c>
      <c r="CK21" s="77">
        <f>CK16*PROD_DEMANDA!CK16</f>
        <v>3703.7880343461038</v>
      </c>
      <c r="CL21" s="77">
        <f>CL16*PROD_DEMANDA!CL16</f>
        <v>3703.7880343461038</v>
      </c>
      <c r="CM21" s="77">
        <f>CM16*PROD_DEMANDA!CM16</f>
        <v>3703.7880343461038</v>
      </c>
      <c r="CN21" s="77">
        <f>CN16*PROD_DEMANDA!CN16</f>
        <v>3703.7880343461038</v>
      </c>
      <c r="CO21" s="77">
        <f>CO16*PROD_DEMANDA!CO16</f>
        <v>3703.7880343461038</v>
      </c>
      <c r="CP21" s="77">
        <f>CP16*PROD_DEMANDA!CP16</f>
        <v>3703.7880343461038</v>
      </c>
      <c r="CQ21" s="77">
        <f>CQ16*PROD_DEMANDA!CQ16</f>
        <v>3703.7880343461038</v>
      </c>
      <c r="CR21" s="77">
        <f>CR16*PROD_DEMANDA!CR16</f>
        <v>3703.7880343461038</v>
      </c>
      <c r="CS21" s="77">
        <f>CS16*PROD_DEMANDA!CS16</f>
        <v>3703.7880343461038</v>
      </c>
      <c r="CT21" s="77">
        <f>CT16*PROD_DEMANDA!CT16</f>
        <v>3703.7880343461038</v>
      </c>
      <c r="CU21" s="77">
        <f>CU16*PROD_DEMANDA!CU16</f>
        <v>3703.7880343461038</v>
      </c>
      <c r="CV21" s="77">
        <f>CV16*PROD_DEMANDA!CV16</f>
        <v>3703.7880343461038</v>
      </c>
      <c r="CW21" s="77">
        <f>CW16*PROD_DEMANDA!CW16</f>
        <v>3703.7880343461038</v>
      </c>
      <c r="CX21" s="77">
        <f>CX16*PROD_DEMANDA!CX16</f>
        <v>3703.7880343461038</v>
      </c>
      <c r="CY21" s="77">
        <f>CY16*PROD_DEMANDA!CY16</f>
        <v>3703.7880343461038</v>
      </c>
      <c r="CZ21" s="77">
        <f>CZ16*PROD_DEMANDA!CZ16</f>
        <v>3703.7880343461038</v>
      </c>
      <c r="DA21" s="77">
        <f>DA16*PROD_DEMANDA!DA16</f>
        <v>3703.7880343461038</v>
      </c>
      <c r="DB21" s="77">
        <f>DB16*PROD_DEMANDA!DB16</f>
        <v>3703.7880343461038</v>
      </c>
      <c r="DC21" s="77">
        <f>DC16*PROD_DEMANDA!DC16</f>
        <v>3703.7880343461038</v>
      </c>
      <c r="DD21" s="77">
        <f>DD16*PROD_DEMANDA!DD16</f>
        <v>3703.7880343461038</v>
      </c>
      <c r="DE21" s="77">
        <f>DE16*PROD_DEMANDA!DE16</f>
        <v>3703.7880343461038</v>
      </c>
      <c r="DF21" s="77">
        <f>DF16*PROD_DEMANDA!DF16</f>
        <v>3703.7880343461038</v>
      </c>
      <c r="DG21" s="77">
        <f>DG16*PROD_DEMANDA!DG16</f>
        <v>3703.7880343461038</v>
      </c>
      <c r="DH21" s="77">
        <f>DH16*PROD_DEMANDA!DH16</f>
        <v>3703.7880343461038</v>
      </c>
      <c r="DI21" s="77">
        <f>DI16*PROD_DEMANDA!DI16</f>
        <v>3703.7880343461038</v>
      </c>
      <c r="DJ21" s="77">
        <f>DJ16*PROD_DEMANDA!DJ16</f>
        <v>3703.7880343461038</v>
      </c>
      <c r="DK21" s="77">
        <f>DK16*PROD_DEMANDA!DK16</f>
        <v>3703.7880343461038</v>
      </c>
      <c r="DL21" s="77">
        <f>DL16*PROD_DEMANDA!DL16</f>
        <v>3703.7880343461038</v>
      </c>
      <c r="DM21" s="77">
        <f>DM16*PROD_DEMANDA!DM16</f>
        <v>3703.7880343461038</v>
      </c>
      <c r="DN21" s="77">
        <f>DN16*PROD_DEMANDA!DN16</f>
        <v>3703.7880343461038</v>
      </c>
      <c r="DO21" s="77">
        <f>DO16*PROD_DEMANDA!DO16</f>
        <v>3703.7880343461038</v>
      </c>
      <c r="DP21" s="77">
        <f>DP16*PROD_DEMANDA!DP16</f>
        <v>3703.7880343461038</v>
      </c>
      <c r="DQ21" s="77">
        <f>DQ16*PROD_DEMANDA!DQ16</f>
        <v>3703.7880343461038</v>
      </c>
      <c r="DR21" s="77">
        <f>DR16*PROD_DEMANDA!DR16</f>
        <v>3703.7880343461038</v>
      </c>
      <c r="DS21" s="77">
        <f>DS16*PROD_DEMANDA!DS16</f>
        <v>3703.7880343461038</v>
      </c>
    </row>
    <row r="22" spans="1:123" ht="15" customHeight="1" x14ac:dyDescent="0.2">
      <c r="B22" s="37" t="s">
        <v>1936</v>
      </c>
      <c r="D22" s="77">
        <f>D16*PROD_DEMANDA!D18</f>
        <v>0</v>
      </c>
      <c r="E22" s="77">
        <f>E16*PROD_DEMANDA!E18</f>
        <v>0</v>
      </c>
      <c r="F22" s="77">
        <f>F16*PROD_DEMANDA!F18</f>
        <v>0</v>
      </c>
      <c r="G22" s="77">
        <f>G16*PROD_DEMANDA!G18</f>
        <v>11133.636375</v>
      </c>
      <c r="H22" s="77">
        <f>H16*PROD_DEMANDA!H18</f>
        <v>11362.592375</v>
      </c>
      <c r="I22" s="77">
        <f>I16*PROD_DEMANDA!I18</f>
        <v>11631.952375000001</v>
      </c>
      <c r="J22" s="77">
        <f>J16*PROD_DEMANDA!J18</f>
        <v>11929.595175</v>
      </c>
      <c r="K22" s="77">
        <f>K16*PROD_DEMANDA!K18</f>
        <v>12261.581375</v>
      </c>
      <c r="L22" s="77">
        <f>L16*PROD_DEMANDA!L18</f>
        <v>12360.571174999999</v>
      </c>
      <c r="M22" s="77">
        <f>M16*PROD_DEMANDA!M18</f>
        <v>12413.096375000001</v>
      </c>
      <c r="N22" s="77">
        <f>N16*PROD_DEMANDA!N18</f>
        <v>12413.096375000001</v>
      </c>
      <c r="O22" s="77">
        <f>O16*PROD_DEMANDA!O18</f>
        <v>12413.096375000001</v>
      </c>
      <c r="P22" s="77">
        <f>P16*PROD_DEMANDA!P18</f>
        <v>12413.096375000001</v>
      </c>
      <c r="Q22" s="77">
        <f>Q16*PROD_DEMANDA!Q18</f>
        <v>12413.096375000001</v>
      </c>
      <c r="R22" s="77">
        <f>R16*PROD_DEMANDA!R18</f>
        <v>12413.096375000001</v>
      </c>
      <c r="S22" s="77">
        <f>S16*PROD_DEMANDA!S18</f>
        <v>12413.096375000001</v>
      </c>
      <c r="T22" s="77">
        <f>T16*PROD_DEMANDA!T18</f>
        <v>11797.139245670995</v>
      </c>
      <c r="U22" s="77">
        <f>U16*PROD_DEMANDA!U18</f>
        <v>11664.714537393162</v>
      </c>
      <c r="V22" s="77">
        <f>V16*PROD_DEMANDA!V18</f>
        <v>11050.455348393574</v>
      </c>
      <c r="W22" s="77">
        <f>W16*PROD_DEMANDA!W18</f>
        <v>10404.447931647941</v>
      </c>
      <c r="X22" s="77">
        <f>X16*PROD_DEMANDA!X18</f>
        <v>10240.175212316177</v>
      </c>
      <c r="Y22" s="77">
        <f>Y16*PROD_DEMANDA!Y18</f>
        <v>10113.04241213768</v>
      </c>
      <c r="Z22" s="77">
        <f>Z16*PROD_DEMANDA!Z18</f>
        <v>10050.847948741006</v>
      </c>
      <c r="AA22" s="77">
        <f>AA16*PROD_DEMANDA!AA18</f>
        <v>13195.380322841726</v>
      </c>
      <c r="AB22" s="77">
        <f>AB16*PROD_DEMANDA!AB18</f>
        <v>13195.380322841726</v>
      </c>
      <c r="AC22" s="77">
        <f>AC16*PROD_DEMANDA!AC18</f>
        <v>13195.380322841726</v>
      </c>
      <c r="AD22" s="77">
        <f>AD16*PROD_DEMANDA!AD18</f>
        <v>13271.807777516291</v>
      </c>
      <c r="AE22" s="77">
        <f>AE16*PROD_DEMANDA!AE18</f>
        <v>13271.807777516291</v>
      </c>
      <c r="AF22" s="77">
        <f>AF16*PROD_DEMANDA!AF18</f>
        <v>12610.480868872462</v>
      </c>
      <c r="AG22" s="77">
        <f>AG16*PROD_DEMANDA!AG18</f>
        <v>12019.326278802277</v>
      </c>
      <c r="AH22" s="77">
        <f>AH16*PROD_DEMANDA!AH18</f>
        <v>11837.037926473677</v>
      </c>
      <c r="AI22" s="77">
        <f>AI16*PROD_DEMANDA!AI18</f>
        <v>11303.024802045309</v>
      </c>
      <c r="AJ22" s="77">
        <f>AJ16*PROD_DEMANDA!AJ18</f>
        <v>10810.92185456369</v>
      </c>
      <c r="AK22" s="77">
        <f>AK16*PROD_DEMANDA!AK18</f>
        <v>10682.846352035049</v>
      </c>
      <c r="AL22" s="77">
        <f>AL16*PROD_DEMANDA!AL18</f>
        <v>10675.559429253277</v>
      </c>
      <c r="AM22" s="77">
        <f>AM16*PROD_DEMANDA!AM18</f>
        <v>10233.415051697786</v>
      </c>
      <c r="AN22" s="77">
        <f>AN16*PROD_DEMANDA!AN18</f>
        <v>9872.538795450504</v>
      </c>
      <c r="AO22" s="77">
        <f>AO16*PROD_DEMANDA!AO18</f>
        <v>9508.2213126060469</v>
      </c>
      <c r="AP22" s="77">
        <f>AP16*PROD_DEMANDA!AP18</f>
        <v>9139.9028913884995</v>
      </c>
      <c r="AQ22" s="77">
        <f>AQ16*PROD_DEMANDA!AQ18</f>
        <v>9022.3100136478442</v>
      </c>
      <c r="AR22" s="77">
        <f>AR16*PROD_DEMANDA!AR18</f>
        <v>8691.721966088402</v>
      </c>
      <c r="AS22" s="77">
        <f>AS16*PROD_DEMANDA!AS18</f>
        <v>8603.5710632222672</v>
      </c>
      <c r="AT22" s="77">
        <f>AT16*PROD_DEMANDA!AT18</f>
        <v>8380.534726646285</v>
      </c>
      <c r="AU22" s="77">
        <f>AU16*PROD_DEMANDA!AU18</f>
        <v>8132.1747786351616</v>
      </c>
      <c r="AV22" s="77">
        <f>AV16*PROD_DEMANDA!AV18</f>
        <v>8068.4258027898131</v>
      </c>
      <c r="AW22" s="77">
        <f>AW16*PROD_DEMANDA!AW18</f>
        <v>11187.208322731656</v>
      </c>
      <c r="AX22" s="77">
        <f>AX16*PROD_DEMANDA!AX18</f>
        <v>11150.441082184103</v>
      </c>
      <c r="AY22" s="77">
        <f>AY16*PROD_DEMANDA!AY18</f>
        <v>11150.441082184103</v>
      </c>
      <c r="AZ22" s="77">
        <f>AZ16*PROD_DEMANDA!AZ18</f>
        <v>11150.441082184103</v>
      </c>
      <c r="BA22" s="77">
        <f>BA16*PROD_DEMANDA!BA18</f>
        <v>11297.007435935468</v>
      </c>
      <c r="BB22" s="77">
        <f>BB16*PROD_DEMANDA!BB18</f>
        <v>11297.007435935468</v>
      </c>
      <c r="BC22" s="77">
        <f>BC16*PROD_DEMANDA!BC18</f>
        <v>11297.007435935468</v>
      </c>
      <c r="BD22" s="77">
        <f>BD16*PROD_DEMANDA!BD18</f>
        <v>10841.439363490157</v>
      </c>
      <c r="BE22" s="77">
        <f>BE16*PROD_DEMANDA!BE18</f>
        <v>10534.355792169577</v>
      </c>
      <c r="BF22" s="77">
        <f>BF16*PROD_DEMANDA!BF18</f>
        <v>10292.072841192245</v>
      </c>
      <c r="BG22" s="77">
        <f>BG16*PROD_DEMANDA!BG18</f>
        <v>9972.351498874863</v>
      </c>
      <c r="BH22" s="77">
        <f>BH16*PROD_DEMANDA!BH18</f>
        <v>9703.9122890050385</v>
      </c>
      <c r="BI22" s="77">
        <f>BI16*PROD_DEMANDA!BI18</f>
        <v>9451.9010802937792</v>
      </c>
      <c r="BJ22" s="77">
        <f>BJ16*PROD_DEMANDA!BJ18</f>
        <v>9178.1830105831923</v>
      </c>
      <c r="BK22" s="77">
        <f>BK16*PROD_DEMANDA!BK18</f>
        <v>9065.6372603250511</v>
      </c>
      <c r="BL22" s="77">
        <f>BL16*PROD_DEMANDA!BL18</f>
        <v>8855.3088849262112</v>
      </c>
      <c r="BM22" s="77">
        <f>BM16*PROD_DEMANDA!BM18</f>
        <v>8656.3120382637899</v>
      </c>
      <c r="BN22" s="77">
        <f>BN16*PROD_DEMANDA!BN18</f>
        <v>8438.4646763276814</v>
      </c>
      <c r="BO22" s="77">
        <f>BO16*PROD_DEMANDA!BO18</f>
        <v>8258.5047591720195</v>
      </c>
      <c r="BP22" s="77">
        <f>BP16*PROD_DEMANDA!BP18</f>
        <v>8170.1445089085801</v>
      </c>
      <c r="BQ22" s="77">
        <f>BQ16*PROD_DEMANDA!BQ18</f>
        <v>8008.6705952446937</v>
      </c>
      <c r="BR22" s="77">
        <f>BR16*PROD_DEMANDA!BR18</f>
        <v>7830.814606907953</v>
      </c>
      <c r="BS22" s="77">
        <f>BS16*PROD_DEMANDA!BS18</f>
        <v>7594.5158067128323</v>
      </c>
      <c r="BT22" s="77">
        <f>BT16*PROD_DEMANDA!BT18</f>
        <v>7440.1139273314029</v>
      </c>
      <c r="BU22" s="77">
        <f>BU16*PROD_DEMANDA!BU18</f>
        <v>7374.8908005983285</v>
      </c>
      <c r="BV22" s="77">
        <f>BV16*PROD_DEMANDA!BV18</f>
        <v>7243.0235128633676</v>
      </c>
      <c r="BW22" s="77">
        <f>BW16*PROD_DEMANDA!BW18</f>
        <v>7106.2820853181665</v>
      </c>
      <c r="BX22" s="77">
        <f>BX16*PROD_DEMANDA!BX18</f>
        <v>6991.904516814544</v>
      </c>
      <c r="BY22" s="77">
        <f>BY16*PROD_DEMANDA!BY18</f>
        <v>6883.6207879517278</v>
      </c>
      <c r="BZ22" s="77">
        <f>BZ16*PROD_DEMANDA!BZ18</f>
        <v>6763.3951265325359</v>
      </c>
      <c r="CA22" s="77">
        <f>CA16*PROD_DEMANDA!CA18</f>
        <v>6635.5749876532409</v>
      </c>
      <c r="CB22" s="77">
        <f>CB16*PROD_DEMANDA!CB18</f>
        <v>7469.3794475481309</v>
      </c>
      <c r="CC22" s="77">
        <f>CC16*PROD_DEMANDA!CC18</f>
        <v>7419.1467058280141</v>
      </c>
      <c r="CD22" s="77">
        <f>CD16*PROD_DEMANDA!CD18</f>
        <v>7395.3736675109603</v>
      </c>
      <c r="CE22" s="77">
        <f>CE16*PROD_DEMANDA!CE18</f>
        <v>7385.096702928915</v>
      </c>
      <c r="CF22" s="77">
        <f>CF16*PROD_DEMANDA!CF18</f>
        <v>7385.096702928915</v>
      </c>
      <c r="CG22" s="77">
        <f>CG16*PROD_DEMANDA!CG18</f>
        <v>7385.096702928915</v>
      </c>
      <c r="CH22" s="77">
        <f>CH16*PROD_DEMANDA!CH18</f>
        <v>7385.096702928915</v>
      </c>
      <c r="CI22" s="77">
        <f>CI16*PROD_DEMANDA!CI18</f>
        <v>7385.096702928915</v>
      </c>
      <c r="CJ22" s="77">
        <f>CJ16*PROD_DEMANDA!CJ18</f>
        <v>7385.096702928915</v>
      </c>
      <c r="CK22" s="77">
        <f>CK16*PROD_DEMANDA!CK18</f>
        <v>7385.096702928915</v>
      </c>
      <c r="CL22" s="77">
        <f>CL16*PROD_DEMANDA!CL18</f>
        <v>7385.096702928915</v>
      </c>
      <c r="CM22" s="77">
        <f>CM16*PROD_DEMANDA!CM18</f>
        <v>7385.096702928915</v>
      </c>
      <c r="CN22" s="77">
        <f>CN16*PROD_DEMANDA!CN18</f>
        <v>7385.096702928915</v>
      </c>
      <c r="CO22" s="77">
        <f>CO16*PROD_DEMANDA!CO18</f>
        <v>7385.096702928915</v>
      </c>
      <c r="CP22" s="77">
        <f>CP16*PROD_DEMANDA!CP18</f>
        <v>7385.096702928915</v>
      </c>
      <c r="CQ22" s="77">
        <f>CQ16*PROD_DEMANDA!CQ18</f>
        <v>7385.096702928915</v>
      </c>
      <c r="CR22" s="77">
        <f>CR16*PROD_DEMANDA!CR18</f>
        <v>7385.096702928915</v>
      </c>
      <c r="CS22" s="77">
        <f>CS16*PROD_DEMANDA!CS18</f>
        <v>7385.096702928915</v>
      </c>
      <c r="CT22" s="77">
        <f>CT16*PROD_DEMANDA!CT18</f>
        <v>7385.096702928915</v>
      </c>
      <c r="CU22" s="77">
        <f>CU16*PROD_DEMANDA!CU18</f>
        <v>7385.096702928915</v>
      </c>
      <c r="CV22" s="77">
        <f>CV16*PROD_DEMANDA!CV18</f>
        <v>7385.096702928915</v>
      </c>
      <c r="CW22" s="77">
        <f>CW16*PROD_DEMANDA!CW18</f>
        <v>7385.096702928915</v>
      </c>
      <c r="CX22" s="77">
        <f>CX16*PROD_DEMANDA!CX18</f>
        <v>7385.096702928915</v>
      </c>
      <c r="CY22" s="77">
        <f>CY16*PROD_DEMANDA!CY18</f>
        <v>7385.096702928915</v>
      </c>
      <c r="CZ22" s="77">
        <f>CZ16*PROD_DEMANDA!CZ18</f>
        <v>7385.096702928915</v>
      </c>
      <c r="DA22" s="77">
        <f>DA16*PROD_DEMANDA!DA18</f>
        <v>7385.096702928915</v>
      </c>
      <c r="DB22" s="77">
        <f>DB16*PROD_DEMANDA!DB18</f>
        <v>7385.096702928915</v>
      </c>
      <c r="DC22" s="77">
        <f>DC16*PROD_DEMANDA!DC18</f>
        <v>7385.096702928915</v>
      </c>
      <c r="DD22" s="77">
        <f>DD16*PROD_DEMANDA!DD18</f>
        <v>7385.096702928915</v>
      </c>
      <c r="DE22" s="77">
        <f>DE16*PROD_DEMANDA!DE18</f>
        <v>7385.096702928915</v>
      </c>
      <c r="DF22" s="77">
        <f>DF16*PROD_DEMANDA!DF18</f>
        <v>7385.096702928915</v>
      </c>
      <c r="DG22" s="77">
        <f>DG16*PROD_DEMANDA!DG18</f>
        <v>7385.096702928915</v>
      </c>
      <c r="DH22" s="77">
        <f>DH16*PROD_DEMANDA!DH18</f>
        <v>7385.096702928915</v>
      </c>
      <c r="DI22" s="77">
        <f>DI16*PROD_DEMANDA!DI18</f>
        <v>7385.096702928915</v>
      </c>
      <c r="DJ22" s="77">
        <f>DJ16*PROD_DEMANDA!DJ18</f>
        <v>7385.096702928915</v>
      </c>
      <c r="DK22" s="77">
        <f>DK16*PROD_DEMANDA!DK18</f>
        <v>7385.096702928915</v>
      </c>
      <c r="DL22" s="77">
        <f>DL16*PROD_DEMANDA!DL18</f>
        <v>7385.096702928915</v>
      </c>
      <c r="DM22" s="77">
        <f>DM16*PROD_DEMANDA!DM18</f>
        <v>7385.096702928915</v>
      </c>
      <c r="DN22" s="77">
        <f>DN16*PROD_DEMANDA!DN18</f>
        <v>7385.096702928915</v>
      </c>
      <c r="DO22" s="77">
        <f>DO16*PROD_DEMANDA!DO18</f>
        <v>7385.096702928915</v>
      </c>
      <c r="DP22" s="77">
        <f>DP16*PROD_DEMANDA!DP18</f>
        <v>7385.096702928915</v>
      </c>
      <c r="DQ22" s="77">
        <f>DQ16*PROD_DEMANDA!DQ18</f>
        <v>7385.096702928915</v>
      </c>
      <c r="DR22" s="77">
        <f>DR16*PROD_DEMANDA!DR18</f>
        <v>7385.096702928915</v>
      </c>
      <c r="DS22" s="77">
        <f>DS16*PROD_DEMANDA!DS18</f>
        <v>7385.096702928915</v>
      </c>
    </row>
    <row r="23" spans="1:123" ht="15" customHeight="1" x14ac:dyDescent="0.2">
      <c r="B23" s="20" t="s">
        <v>903</v>
      </c>
      <c r="D23" s="72">
        <f>D17-D18-D19-D20-D21-D22</f>
        <v>0</v>
      </c>
      <c r="E23" s="72">
        <f t="shared" ref="E23:BP23" si="8">E17-E18-E19-E20-E21-E22</f>
        <v>-15714.999999999998</v>
      </c>
      <c r="F23" s="72">
        <f t="shared" si="8"/>
        <v>-15714.999999999998</v>
      </c>
      <c r="G23" s="72">
        <f t="shared" si="8"/>
        <v>-12922.749499036378</v>
      </c>
      <c r="H23" s="72">
        <f t="shared" si="8"/>
        <v>5534.7285646337368</v>
      </c>
      <c r="I23" s="72">
        <f t="shared" si="8"/>
        <v>26599.167068832438</v>
      </c>
      <c r="J23" s="72">
        <f t="shared" si="8"/>
        <v>43785.342694493178</v>
      </c>
      <c r="K23" s="72">
        <f t="shared" si="8"/>
        <v>62522.230892345535</v>
      </c>
      <c r="L23" s="72">
        <f t="shared" si="8"/>
        <v>71517.225953368412</v>
      </c>
      <c r="M23" s="72">
        <f t="shared" si="8"/>
        <v>76290.080475543858</v>
      </c>
      <c r="N23" s="72">
        <f t="shared" si="8"/>
        <v>76290.080475543858</v>
      </c>
      <c r="O23" s="72">
        <f t="shared" si="8"/>
        <v>76290.080475543858</v>
      </c>
      <c r="P23" s="72">
        <f t="shared" si="8"/>
        <v>81053.001846726169</v>
      </c>
      <c r="Q23" s="72">
        <f t="shared" si="8"/>
        <v>81053.001846726169</v>
      </c>
      <c r="R23" s="72">
        <f t="shared" si="8"/>
        <v>81053.001846726169</v>
      </c>
      <c r="S23" s="72">
        <f t="shared" si="8"/>
        <v>81053.001846726169</v>
      </c>
      <c r="T23" s="72">
        <f t="shared" si="8"/>
        <v>81668.958976055175</v>
      </c>
      <c r="U23" s="72">
        <f t="shared" si="8"/>
        <v>81801.383684333006</v>
      </c>
      <c r="V23" s="72">
        <f t="shared" si="8"/>
        <v>82415.642873332588</v>
      </c>
      <c r="W23" s="72">
        <f t="shared" si="8"/>
        <v>83061.650290078222</v>
      </c>
      <c r="X23" s="72">
        <f t="shared" si="8"/>
        <v>83225.923009409991</v>
      </c>
      <c r="Y23" s="72">
        <f t="shared" si="8"/>
        <v>83353.055809588477</v>
      </c>
      <c r="Z23" s="72">
        <f t="shared" si="8"/>
        <v>83415.250272985155</v>
      </c>
      <c r="AA23" s="72">
        <f t="shared" si="8"/>
        <v>78765.208330539128</v>
      </c>
      <c r="AB23" s="72">
        <f t="shared" si="8"/>
        <v>83528.129701721453</v>
      </c>
      <c r="AC23" s="72">
        <f t="shared" si="8"/>
        <v>83528.129701721453</v>
      </c>
      <c r="AD23" s="72">
        <f t="shared" si="8"/>
        <v>83417.973169483448</v>
      </c>
      <c r="AE23" s="72">
        <f t="shared" si="8"/>
        <v>83417.973169483448</v>
      </c>
      <c r="AF23" s="72">
        <f t="shared" si="8"/>
        <v>84371.157849544848</v>
      </c>
      <c r="AG23" s="72">
        <f t="shared" si="8"/>
        <v>85223.201659403421</v>
      </c>
      <c r="AH23" s="72">
        <f t="shared" si="8"/>
        <v>85485.93777753535</v>
      </c>
      <c r="AI23" s="72">
        <f t="shared" si="8"/>
        <v>86255.622365450661</v>
      </c>
      <c r="AJ23" s="72">
        <f t="shared" si="8"/>
        <v>86964.900915017701</v>
      </c>
      <c r="AK23" s="72">
        <f t="shared" si="8"/>
        <v>87149.498888131799</v>
      </c>
      <c r="AL23" s="72">
        <f t="shared" si="8"/>
        <v>87160.001686474934</v>
      </c>
      <c r="AM23" s="72">
        <f t="shared" si="8"/>
        <v>87797.273875996805</v>
      </c>
      <c r="AN23" s="72">
        <f t="shared" si="8"/>
        <v>90698.873262065492</v>
      </c>
      <c r="AO23" s="72">
        <f t="shared" si="8"/>
        <v>91223.971876362004</v>
      </c>
      <c r="AP23" s="72">
        <f t="shared" si="8"/>
        <v>91754.83712908384</v>
      </c>
      <c r="AQ23" s="72">
        <f t="shared" si="8"/>
        <v>91924.326269903147</v>
      </c>
      <c r="AR23" s="72">
        <f t="shared" si="8"/>
        <v>92400.809924547226</v>
      </c>
      <c r="AS23" s="72">
        <f t="shared" si="8"/>
        <v>92527.863714506981</v>
      </c>
      <c r="AT23" s="72">
        <f t="shared" si="8"/>
        <v>92849.330777683383</v>
      </c>
      <c r="AU23" s="72">
        <f t="shared" si="8"/>
        <v>93207.297306023363</v>
      </c>
      <c r="AV23" s="72">
        <f t="shared" si="8"/>
        <v>93299.180074365562</v>
      </c>
      <c r="AW23" s="72">
        <f t="shared" si="8"/>
        <v>88275.332012828207</v>
      </c>
      <c r="AX23" s="72">
        <f t="shared" si="8"/>
        <v>88330.325396151457</v>
      </c>
      <c r="AY23" s="72">
        <f t="shared" si="8"/>
        <v>88330.325396151457</v>
      </c>
      <c r="AZ23" s="72">
        <f t="shared" si="8"/>
        <v>90711.786081742612</v>
      </c>
      <c r="BA23" s="72">
        <f t="shared" si="8"/>
        <v>90492.564308389439</v>
      </c>
      <c r="BB23" s="72">
        <f t="shared" si="8"/>
        <v>90492.564308389439</v>
      </c>
      <c r="BC23" s="72">
        <f t="shared" si="8"/>
        <v>90492.564308389439</v>
      </c>
      <c r="BD23" s="72">
        <f t="shared" si="8"/>
        <v>91173.965176790429</v>
      </c>
      <c r="BE23" s="72">
        <f t="shared" si="8"/>
        <v>91633.275266381112</v>
      </c>
      <c r="BF23" s="72">
        <f t="shared" si="8"/>
        <v>91995.661972518254</v>
      </c>
      <c r="BG23" s="72">
        <f t="shared" si="8"/>
        <v>92473.874589859974</v>
      </c>
      <c r="BH23" s="72">
        <f t="shared" si="8"/>
        <v>92875.383654655394</v>
      </c>
      <c r="BI23" s="72">
        <f t="shared" si="8"/>
        <v>93252.321080364141</v>
      </c>
      <c r="BJ23" s="72">
        <f t="shared" si="8"/>
        <v>93661.725825074886</v>
      </c>
      <c r="BK23" s="72">
        <f t="shared" si="8"/>
        <v>93830.062406585304</v>
      </c>
      <c r="BL23" s="72">
        <f t="shared" si="8"/>
        <v>96526.114799353978</v>
      </c>
      <c r="BM23" s="72">
        <f t="shared" si="8"/>
        <v>96823.75774741442</v>
      </c>
      <c r="BN23" s="72">
        <f t="shared" si="8"/>
        <v>97149.595729881781</v>
      </c>
      <c r="BO23" s="72">
        <f t="shared" si="8"/>
        <v>97418.764820615092</v>
      </c>
      <c r="BP23" s="72">
        <f t="shared" si="8"/>
        <v>97550.926740870971</v>
      </c>
      <c r="BQ23" s="72">
        <f t="shared" ref="BQ23:DS23" si="9">BQ17-BQ18-BQ19-BQ20-BQ21-BQ22</f>
        <v>97792.446003632474</v>
      </c>
      <c r="BR23" s="72">
        <f t="shared" si="9"/>
        <v>98058.468212459498</v>
      </c>
      <c r="BS23" s="72">
        <f t="shared" si="9"/>
        <v>98411.904323095616</v>
      </c>
      <c r="BT23" s="72">
        <f t="shared" si="9"/>
        <v>98642.845824611577</v>
      </c>
      <c r="BU23" s="72">
        <f t="shared" si="9"/>
        <v>98740.401158015855</v>
      </c>
      <c r="BV23" s="72">
        <f t="shared" si="9"/>
        <v>98937.637289806167</v>
      </c>
      <c r="BW23" s="72">
        <f t="shared" si="9"/>
        <v>99142.163754919398</v>
      </c>
      <c r="BX23" s="72">
        <f t="shared" si="9"/>
        <v>101694.70090354193</v>
      </c>
      <c r="BY23" s="72">
        <f t="shared" si="9"/>
        <v>101856.66270759192</v>
      </c>
      <c r="BZ23" s="72">
        <f t="shared" si="9"/>
        <v>102036.48626207281</v>
      </c>
      <c r="CA23" s="72">
        <f t="shared" si="9"/>
        <v>102227.66900489318</v>
      </c>
      <c r="CB23" s="72">
        <f t="shared" si="9"/>
        <v>100943.42938342506</v>
      </c>
      <c r="CC23" s="72">
        <f t="shared" si="9"/>
        <v>101018.87391463039</v>
      </c>
      <c r="CD23" s="72">
        <f t="shared" si="9"/>
        <v>101054.57862971739</v>
      </c>
      <c r="CE23" s="72">
        <f t="shared" si="9"/>
        <v>101070.01359799816</v>
      </c>
      <c r="CF23" s="72">
        <f t="shared" si="9"/>
        <v>101070.01359799816</v>
      </c>
      <c r="CG23" s="72">
        <f t="shared" si="9"/>
        <v>101070.01359799816</v>
      </c>
      <c r="CH23" s="72">
        <f t="shared" si="9"/>
        <v>101070.01359799816</v>
      </c>
      <c r="CI23" s="72">
        <f t="shared" si="9"/>
        <v>101070.01359799816</v>
      </c>
      <c r="CJ23" s="72">
        <f t="shared" si="9"/>
        <v>101070.01359799816</v>
      </c>
      <c r="CK23" s="72">
        <f t="shared" si="9"/>
        <v>101070.01359799816</v>
      </c>
      <c r="CL23" s="72">
        <f t="shared" si="9"/>
        <v>101070.01359799816</v>
      </c>
      <c r="CM23" s="72">
        <f t="shared" si="9"/>
        <v>101070.01359799816</v>
      </c>
      <c r="CN23" s="72">
        <f t="shared" si="9"/>
        <v>101070.01359799816</v>
      </c>
      <c r="CO23" s="72">
        <f t="shared" si="9"/>
        <v>101070.01359799816</v>
      </c>
      <c r="CP23" s="72">
        <f t="shared" si="9"/>
        <v>101070.01359799816</v>
      </c>
      <c r="CQ23" s="72">
        <f t="shared" si="9"/>
        <v>101070.01359799816</v>
      </c>
      <c r="CR23" s="72">
        <f t="shared" si="9"/>
        <v>101070.01359799816</v>
      </c>
      <c r="CS23" s="72">
        <f t="shared" si="9"/>
        <v>101070.01359799816</v>
      </c>
      <c r="CT23" s="72">
        <f t="shared" si="9"/>
        <v>101070.01359799816</v>
      </c>
      <c r="CU23" s="72">
        <f t="shared" si="9"/>
        <v>101070.01359799816</v>
      </c>
      <c r="CV23" s="72">
        <f t="shared" si="9"/>
        <v>101070.01359799816</v>
      </c>
      <c r="CW23" s="72">
        <f t="shared" si="9"/>
        <v>101070.01359799816</v>
      </c>
      <c r="CX23" s="72">
        <f t="shared" si="9"/>
        <v>101070.01359799816</v>
      </c>
      <c r="CY23" s="72">
        <f t="shared" si="9"/>
        <v>101070.01359799816</v>
      </c>
      <c r="CZ23" s="72">
        <f t="shared" si="9"/>
        <v>101070.01359799816</v>
      </c>
      <c r="DA23" s="72">
        <f t="shared" si="9"/>
        <v>101070.01359799816</v>
      </c>
      <c r="DB23" s="72">
        <f t="shared" si="9"/>
        <v>101070.01359799816</v>
      </c>
      <c r="DC23" s="72">
        <f t="shared" si="9"/>
        <v>101070.01359799816</v>
      </c>
      <c r="DD23" s="72">
        <f t="shared" si="9"/>
        <v>101070.01359799816</v>
      </c>
      <c r="DE23" s="72">
        <f t="shared" si="9"/>
        <v>101070.01359799816</v>
      </c>
      <c r="DF23" s="72">
        <f t="shared" si="9"/>
        <v>101070.01359799816</v>
      </c>
      <c r="DG23" s="72">
        <f t="shared" si="9"/>
        <v>101070.01359799816</v>
      </c>
      <c r="DH23" s="72">
        <f t="shared" si="9"/>
        <v>101070.01359799816</v>
      </c>
      <c r="DI23" s="72">
        <f t="shared" si="9"/>
        <v>101070.01359799816</v>
      </c>
      <c r="DJ23" s="72">
        <f t="shared" si="9"/>
        <v>101070.01359799816</v>
      </c>
      <c r="DK23" s="72">
        <f t="shared" si="9"/>
        <v>101070.01359799816</v>
      </c>
      <c r="DL23" s="72">
        <f t="shared" si="9"/>
        <v>101070.01359799816</v>
      </c>
      <c r="DM23" s="72">
        <f t="shared" si="9"/>
        <v>101070.01359799816</v>
      </c>
      <c r="DN23" s="72">
        <f t="shared" si="9"/>
        <v>101070.01359799816</v>
      </c>
      <c r="DO23" s="72">
        <f t="shared" si="9"/>
        <v>101070.01359799816</v>
      </c>
      <c r="DP23" s="72">
        <f t="shared" si="9"/>
        <v>101070.01359799816</v>
      </c>
      <c r="DQ23" s="72">
        <f t="shared" si="9"/>
        <v>101070.01359799816</v>
      </c>
      <c r="DR23" s="72">
        <f t="shared" si="9"/>
        <v>101070.01359799816</v>
      </c>
      <c r="DS23" s="72">
        <f t="shared" si="9"/>
        <v>101070.01359799816</v>
      </c>
    </row>
    <row r="24" spans="1:123" ht="15" customHeight="1" x14ac:dyDescent="0.2">
      <c r="A24" s="25" t="s">
        <v>904</v>
      </c>
      <c r="B24" s="26"/>
      <c r="C24" s="26"/>
    </row>
    <row r="25" spans="1:123" ht="15" customHeight="1" x14ac:dyDescent="0.2">
      <c r="B25" s="37" t="s">
        <v>905</v>
      </c>
      <c r="D25" s="77">
        <f>IF(D4&lt;=3,SUP_CAPEX_PLANTA!$H$37/3,0)+IF(D4=SUP_TECNOLOGIA!$C$19,SUP_TECNOLOGIA!$C$18,0)</f>
        <v>198530.28066666666</v>
      </c>
      <c r="E25" s="77">
        <f>IF(E4&lt;=3,SUP_CAPEX_PLANTA!$H$37/3,0)+IF(E4=SUP_TECNOLOGIA!$C$19,SUP_TECNOLOGIA!$C$18,0)</f>
        <v>243530.28066666666</v>
      </c>
      <c r="F25" s="77">
        <f>IF(F4&lt;=3,SUP_CAPEX_PLANTA!$H$37/3,0)+IF(F4=SUP_TECNOLOGIA!$C$19,SUP_TECNOLOGIA!$C$18,0)</f>
        <v>198530.28066666666</v>
      </c>
      <c r="G25" s="77">
        <f>IF(G4&lt;=3,SUP_CAPEX_PLANTA!$H$37/3,0)+IF(G4=SUP_TECNOLOGIA!$C$19,SUP_TECNOLOGIA!$C$18,0)</f>
        <v>0</v>
      </c>
      <c r="H25" s="77">
        <f>IF(H4&lt;=3,SUP_CAPEX_PLANTA!$H$37/3,0)+IF(H4=SUP_TECNOLOGIA!$C$19,SUP_TECNOLOGIA!$C$18,0)</f>
        <v>0</v>
      </c>
      <c r="I25" s="77">
        <f>IF(I4&lt;=3,SUP_CAPEX_PLANTA!$H$37/3,0)+IF(I4=SUP_TECNOLOGIA!$C$19,SUP_TECNOLOGIA!$C$18,0)</f>
        <v>0</v>
      </c>
      <c r="J25" s="77">
        <f>IF(J4&lt;=3,SUP_CAPEX_PLANTA!$H$37/3,0)+IF(J4=SUP_TECNOLOGIA!$C$19,SUP_TECNOLOGIA!$C$18,0)</f>
        <v>0</v>
      </c>
      <c r="K25" s="77">
        <f>IF(K4&lt;=3,SUP_CAPEX_PLANTA!$H$37/3,0)+IF(K4=SUP_TECNOLOGIA!$C$19,SUP_TECNOLOGIA!$C$18,0)</f>
        <v>0</v>
      </c>
      <c r="L25" s="77">
        <f>IF(L4&lt;=3,SUP_CAPEX_PLANTA!$H$37/3,0)+IF(L4=SUP_TECNOLOGIA!$C$19,SUP_TECNOLOGIA!$C$18,0)</f>
        <v>0</v>
      </c>
      <c r="M25" s="77">
        <f>IF(M4&lt;=3,SUP_CAPEX_PLANTA!$H$37/3,0)+IF(M4=SUP_TECNOLOGIA!$C$19,SUP_TECNOLOGIA!$C$18,0)</f>
        <v>0</v>
      </c>
      <c r="N25" s="77">
        <f>IF(N4&lt;=3,SUP_CAPEX_PLANTA!$H$37/3,0)+IF(N4=SUP_TECNOLOGIA!$C$19,SUP_TECNOLOGIA!$C$18,0)</f>
        <v>0</v>
      </c>
      <c r="O25" s="77">
        <f>IF(O4&lt;=3,SUP_CAPEX_PLANTA!$H$37/3,0)+IF(O4=SUP_TECNOLOGIA!$C$19,SUP_TECNOLOGIA!$C$18,0)</f>
        <v>0</v>
      </c>
      <c r="P25" s="77">
        <f>IF(P4&lt;=3,SUP_CAPEX_PLANTA!$H$37/3,0)+IF(P4=SUP_TECNOLOGIA!$C$19,SUP_TECNOLOGIA!$C$18,0)</f>
        <v>0</v>
      </c>
      <c r="Q25" s="77">
        <f>IF(Q4&lt;=3,SUP_CAPEX_PLANTA!$H$37/3,0)+IF(Q4=SUP_TECNOLOGIA!$C$19,SUP_TECNOLOGIA!$C$18,0)</f>
        <v>0</v>
      </c>
      <c r="R25" s="77">
        <f>IF(R4&lt;=3,SUP_CAPEX_PLANTA!$H$37/3,0)+IF(R4=SUP_TECNOLOGIA!$C$19,SUP_TECNOLOGIA!$C$18,0)</f>
        <v>0</v>
      </c>
      <c r="S25" s="77">
        <f>IF(S4&lt;=3,SUP_CAPEX_PLANTA!$H$37/3,0)+IF(S4=SUP_TECNOLOGIA!$C$19,SUP_TECNOLOGIA!$C$18,0)</f>
        <v>0</v>
      </c>
      <c r="T25" s="77">
        <f>IF(T4&lt;=3,SUP_CAPEX_PLANTA!$H$37/3,0)+IF(T4=SUP_TECNOLOGIA!$C$19,SUP_TECNOLOGIA!$C$18,0)</f>
        <v>0</v>
      </c>
      <c r="U25" s="77">
        <f>IF(U4&lt;=3,SUP_CAPEX_PLANTA!$H$37/3,0)+IF(U4=SUP_TECNOLOGIA!$C$19,SUP_TECNOLOGIA!$C$18,0)</f>
        <v>0</v>
      </c>
      <c r="V25" s="77">
        <f>IF(V4&lt;=3,SUP_CAPEX_PLANTA!$H$37/3,0)+IF(V4=SUP_TECNOLOGIA!$C$19,SUP_TECNOLOGIA!$C$18,0)</f>
        <v>0</v>
      </c>
      <c r="W25" s="77">
        <f>IF(W4&lt;=3,SUP_CAPEX_PLANTA!$H$37/3,0)+IF(W4=SUP_TECNOLOGIA!$C$19,SUP_TECNOLOGIA!$C$18,0)</f>
        <v>0</v>
      </c>
      <c r="X25" s="77">
        <f>IF(X4&lt;=3,SUP_CAPEX_PLANTA!$H$37/3,0)+IF(X4=SUP_TECNOLOGIA!$C$19,SUP_TECNOLOGIA!$C$18,0)</f>
        <v>0</v>
      </c>
      <c r="Y25" s="77">
        <f>IF(Y4&lt;=3,SUP_CAPEX_PLANTA!$H$37/3,0)+IF(Y4=SUP_TECNOLOGIA!$C$19,SUP_TECNOLOGIA!$C$18,0)</f>
        <v>0</v>
      </c>
      <c r="Z25" s="77">
        <f>IF(Z4&lt;=3,SUP_CAPEX_PLANTA!$H$37/3,0)+IF(Z4=SUP_TECNOLOGIA!$C$19,SUP_TECNOLOGIA!$C$18,0)</f>
        <v>0</v>
      </c>
      <c r="AA25" s="77">
        <f>IF(AA4&lt;=3,SUP_CAPEX_PLANTA!$H$37/3,0)+IF(AA4=SUP_TECNOLOGIA!$C$19,SUP_TECNOLOGIA!$C$18,0)</f>
        <v>0</v>
      </c>
      <c r="AB25" s="77">
        <f>IF(AB4&lt;=3,SUP_CAPEX_PLANTA!$H$37/3,0)+IF(AB4=SUP_TECNOLOGIA!$C$19,SUP_TECNOLOGIA!$C$18,0)</f>
        <v>0</v>
      </c>
      <c r="AC25" s="77">
        <f>IF(AC4&lt;=3,SUP_CAPEX_PLANTA!$H$37/3,0)+IF(AC4=SUP_TECNOLOGIA!$C$19,SUP_TECNOLOGIA!$C$18,0)</f>
        <v>0</v>
      </c>
      <c r="AD25" s="77">
        <f>IF(AD4&lt;=3,SUP_CAPEX_PLANTA!$H$37/3,0)+IF(AD4=SUP_TECNOLOGIA!$C$19,SUP_TECNOLOGIA!$C$18,0)</f>
        <v>0</v>
      </c>
      <c r="AE25" s="77">
        <f>IF(AE4&lt;=3,SUP_CAPEX_PLANTA!$H$37/3,0)+IF(AE4=SUP_TECNOLOGIA!$C$19,SUP_TECNOLOGIA!$C$18,0)</f>
        <v>0</v>
      </c>
      <c r="AF25" s="77">
        <f>IF(AF4&lt;=3,SUP_CAPEX_PLANTA!$H$37/3,0)+IF(AF4=SUP_TECNOLOGIA!$C$19,SUP_TECNOLOGIA!$C$18,0)</f>
        <v>0</v>
      </c>
      <c r="AG25" s="77">
        <f>IF(AG4&lt;=3,SUP_CAPEX_PLANTA!$H$37/3,0)+IF(AG4=SUP_TECNOLOGIA!$C$19,SUP_TECNOLOGIA!$C$18,0)</f>
        <v>0</v>
      </c>
      <c r="AH25" s="77">
        <f>IF(AH4&lt;=3,SUP_CAPEX_PLANTA!$H$37/3,0)+IF(AH4=SUP_TECNOLOGIA!$C$19,SUP_TECNOLOGIA!$C$18,0)</f>
        <v>0</v>
      </c>
      <c r="AI25" s="77">
        <f>IF(AI4&lt;=3,SUP_CAPEX_PLANTA!$H$37/3,0)+IF(AI4=SUP_TECNOLOGIA!$C$19,SUP_TECNOLOGIA!$C$18,0)</f>
        <v>0</v>
      </c>
      <c r="AJ25" s="77">
        <f>IF(AJ4&lt;=3,SUP_CAPEX_PLANTA!$H$37/3,0)+IF(AJ4=SUP_TECNOLOGIA!$C$19,SUP_TECNOLOGIA!$C$18,0)</f>
        <v>0</v>
      </c>
      <c r="AK25" s="77">
        <f>IF(AK4&lt;=3,SUP_CAPEX_PLANTA!$H$37/3,0)+IF(AK4=SUP_TECNOLOGIA!$C$19,SUP_TECNOLOGIA!$C$18,0)</f>
        <v>0</v>
      </c>
      <c r="AL25" s="77">
        <f>IF(AL4&lt;=3,SUP_CAPEX_PLANTA!$H$37/3,0)+IF(AL4=SUP_TECNOLOGIA!$C$19,SUP_TECNOLOGIA!$C$18,0)</f>
        <v>0</v>
      </c>
      <c r="AM25" s="77">
        <f>IF(AM4&lt;=3,SUP_CAPEX_PLANTA!$H$37/3,0)+IF(AM4=SUP_TECNOLOGIA!$C$19,SUP_TECNOLOGIA!$C$18,0)</f>
        <v>0</v>
      </c>
      <c r="AN25" s="77">
        <f>IF(AN4&lt;=3,SUP_CAPEX_PLANTA!$H$37/3,0)+IF(AN4=SUP_TECNOLOGIA!$C$19,SUP_TECNOLOGIA!$C$18,0)</f>
        <v>0</v>
      </c>
      <c r="AO25" s="77">
        <f>IF(AO4&lt;=3,SUP_CAPEX_PLANTA!$H$37/3,0)+IF(AO4=SUP_TECNOLOGIA!$C$19,SUP_TECNOLOGIA!$C$18,0)</f>
        <v>0</v>
      </c>
      <c r="AP25" s="77">
        <f>IF(AP4&lt;=3,SUP_CAPEX_PLANTA!$H$37/3,0)+IF(AP4=SUP_TECNOLOGIA!$C$19,SUP_TECNOLOGIA!$C$18,0)</f>
        <v>0</v>
      </c>
      <c r="AQ25" s="77">
        <f>IF(AQ4&lt;=3,SUP_CAPEX_PLANTA!$H$37/3,0)+IF(AQ4=SUP_TECNOLOGIA!$C$19,SUP_TECNOLOGIA!$C$18,0)</f>
        <v>0</v>
      </c>
      <c r="AR25" s="77">
        <f>IF(AR4&lt;=3,SUP_CAPEX_PLANTA!$H$37/3,0)+IF(AR4=SUP_TECNOLOGIA!$C$19,SUP_TECNOLOGIA!$C$18,0)</f>
        <v>0</v>
      </c>
      <c r="AS25" s="77">
        <f>IF(AS4&lt;=3,SUP_CAPEX_PLANTA!$H$37/3,0)+IF(AS4=SUP_TECNOLOGIA!$C$19,SUP_TECNOLOGIA!$C$18,0)</f>
        <v>0</v>
      </c>
      <c r="AT25" s="77">
        <f>IF(AT4&lt;=3,SUP_CAPEX_PLANTA!$H$37/3,0)+IF(AT4=SUP_TECNOLOGIA!$C$19,SUP_TECNOLOGIA!$C$18,0)</f>
        <v>0</v>
      </c>
      <c r="AU25" s="77">
        <f>IF(AU4&lt;=3,SUP_CAPEX_PLANTA!$H$37/3,0)+IF(AU4=SUP_TECNOLOGIA!$C$19,SUP_TECNOLOGIA!$C$18,0)</f>
        <v>0</v>
      </c>
      <c r="AV25" s="77">
        <f>IF(AV4&lt;=3,SUP_CAPEX_PLANTA!$H$37/3,0)+IF(AV4=SUP_TECNOLOGIA!$C$19,SUP_TECNOLOGIA!$C$18,0)</f>
        <v>0</v>
      </c>
      <c r="AW25" s="77">
        <f>IF(AW4&lt;=3,SUP_CAPEX_PLANTA!$H$37/3,0)+IF(AW4=SUP_TECNOLOGIA!$C$19,SUP_TECNOLOGIA!$C$18,0)</f>
        <v>0</v>
      </c>
      <c r="AX25" s="77">
        <f>IF(AX4&lt;=3,SUP_CAPEX_PLANTA!$H$37/3,0)+IF(AX4=SUP_TECNOLOGIA!$C$19,SUP_TECNOLOGIA!$C$18,0)</f>
        <v>0</v>
      </c>
      <c r="AY25" s="77">
        <f>IF(AY4&lt;=3,SUP_CAPEX_PLANTA!$H$37/3,0)+IF(AY4=SUP_TECNOLOGIA!$C$19,SUP_TECNOLOGIA!$C$18,0)</f>
        <v>0</v>
      </c>
      <c r="AZ25" s="77">
        <f>IF(AZ4&lt;=3,SUP_CAPEX_PLANTA!$H$37/3,0)+IF(AZ4=SUP_TECNOLOGIA!$C$19,SUP_TECNOLOGIA!$C$18,0)</f>
        <v>0</v>
      </c>
      <c r="BA25" s="77">
        <f>IF(BA4&lt;=3,SUP_CAPEX_PLANTA!$H$37/3,0)+IF(BA4=SUP_TECNOLOGIA!$C$19,SUP_TECNOLOGIA!$C$18,0)</f>
        <v>0</v>
      </c>
      <c r="BB25" s="77">
        <f>IF(BB4&lt;=3,SUP_CAPEX_PLANTA!$H$37/3,0)+IF(BB4=SUP_TECNOLOGIA!$C$19,SUP_TECNOLOGIA!$C$18,0)</f>
        <v>0</v>
      </c>
      <c r="BC25" s="77">
        <f>IF(BC4&lt;=3,SUP_CAPEX_PLANTA!$H$37/3,0)+IF(BC4=SUP_TECNOLOGIA!$C$19,SUP_TECNOLOGIA!$C$18,0)</f>
        <v>0</v>
      </c>
      <c r="BD25" s="77">
        <f>IF(BD4&lt;=3,SUP_CAPEX_PLANTA!$H$37/3,0)+IF(BD4=SUP_TECNOLOGIA!$C$19,SUP_TECNOLOGIA!$C$18,0)</f>
        <v>0</v>
      </c>
      <c r="BE25" s="77">
        <f>IF(BE4&lt;=3,SUP_CAPEX_PLANTA!$H$37/3,0)+IF(BE4=SUP_TECNOLOGIA!$C$19,SUP_TECNOLOGIA!$C$18,0)</f>
        <v>0</v>
      </c>
      <c r="BF25" s="77">
        <f>IF(BF4&lt;=3,SUP_CAPEX_PLANTA!$H$37/3,0)+IF(BF4=SUP_TECNOLOGIA!$C$19,SUP_TECNOLOGIA!$C$18,0)</f>
        <v>0</v>
      </c>
      <c r="BG25" s="77">
        <f>IF(BG4&lt;=3,SUP_CAPEX_PLANTA!$H$37/3,0)+IF(BG4=SUP_TECNOLOGIA!$C$19,SUP_TECNOLOGIA!$C$18,0)</f>
        <v>0</v>
      </c>
      <c r="BH25" s="77">
        <f>IF(BH4&lt;=3,SUP_CAPEX_PLANTA!$H$37/3,0)+IF(BH4=SUP_TECNOLOGIA!$C$19,SUP_TECNOLOGIA!$C$18,0)</f>
        <v>0</v>
      </c>
      <c r="BI25" s="77">
        <f>IF(BI4&lt;=3,SUP_CAPEX_PLANTA!$H$37/3,0)+IF(BI4=SUP_TECNOLOGIA!$C$19,SUP_TECNOLOGIA!$C$18,0)</f>
        <v>0</v>
      </c>
      <c r="BJ25" s="77">
        <f>IF(BJ4&lt;=3,SUP_CAPEX_PLANTA!$H$37/3,0)+IF(BJ4=SUP_TECNOLOGIA!$C$19,SUP_TECNOLOGIA!$C$18,0)</f>
        <v>0</v>
      </c>
      <c r="BK25" s="77">
        <f>IF(BK4&lt;=3,SUP_CAPEX_PLANTA!$H$37/3,0)+IF(BK4=SUP_TECNOLOGIA!$C$19,SUP_TECNOLOGIA!$C$18,0)</f>
        <v>0</v>
      </c>
      <c r="BL25" s="77">
        <f>IF(BL4&lt;=3,SUP_CAPEX_PLANTA!$H$37/3,0)+IF(BL4=SUP_TECNOLOGIA!$C$19,SUP_TECNOLOGIA!$C$18,0)</f>
        <v>0</v>
      </c>
      <c r="BM25" s="77">
        <f>IF(BM4&lt;=3,SUP_CAPEX_PLANTA!$H$37/3,0)+IF(BM4=SUP_TECNOLOGIA!$C$19,SUP_TECNOLOGIA!$C$18,0)</f>
        <v>0</v>
      </c>
      <c r="BN25" s="77">
        <f>IF(BN4&lt;=3,SUP_CAPEX_PLANTA!$H$37/3,0)+IF(BN4=SUP_TECNOLOGIA!$C$19,SUP_TECNOLOGIA!$C$18,0)</f>
        <v>0</v>
      </c>
      <c r="BO25" s="77">
        <f>IF(BO4&lt;=3,SUP_CAPEX_PLANTA!$H$37/3,0)+IF(BO4=SUP_TECNOLOGIA!$C$19,SUP_TECNOLOGIA!$C$18,0)</f>
        <v>0</v>
      </c>
      <c r="BP25" s="77">
        <f>IF(BP4&lt;=3,SUP_CAPEX_PLANTA!$H$37/3,0)+IF(BP4=SUP_TECNOLOGIA!$C$19,SUP_TECNOLOGIA!$C$18,0)</f>
        <v>0</v>
      </c>
      <c r="BQ25" s="77">
        <f>IF(BQ4&lt;=3,SUP_CAPEX_PLANTA!$H$37/3,0)+IF(BQ4=SUP_TECNOLOGIA!$C$19,SUP_TECNOLOGIA!$C$18,0)</f>
        <v>0</v>
      </c>
      <c r="BR25" s="77">
        <f>IF(BR4&lt;=3,SUP_CAPEX_PLANTA!$H$37/3,0)+IF(BR4=SUP_TECNOLOGIA!$C$19,SUP_TECNOLOGIA!$C$18,0)</f>
        <v>0</v>
      </c>
      <c r="BS25" s="77">
        <f>IF(BS4&lt;=3,SUP_CAPEX_PLANTA!$H$37/3,0)+IF(BS4=SUP_TECNOLOGIA!$C$19,SUP_TECNOLOGIA!$C$18,0)</f>
        <v>0</v>
      </c>
      <c r="BT25" s="77">
        <f>IF(BT4&lt;=3,SUP_CAPEX_PLANTA!$H$37/3,0)+IF(BT4=SUP_TECNOLOGIA!$C$19,SUP_TECNOLOGIA!$C$18,0)</f>
        <v>0</v>
      </c>
      <c r="BU25" s="77">
        <f>IF(BU4&lt;=3,SUP_CAPEX_PLANTA!$H$37/3,0)+IF(BU4=SUP_TECNOLOGIA!$C$19,SUP_TECNOLOGIA!$C$18,0)</f>
        <v>0</v>
      </c>
      <c r="BV25" s="77">
        <f>IF(BV4&lt;=3,SUP_CAPEX_PLANTA!$H$37/3,0)+IF(BV4=SUP_TECNOLOGIA!$C$19,SUP_TECNOLOGIA!$C$18,0)</f>
        <v>0</v>
      </c>
      <c r="BW25" s="77">
        <f>IF(BW4&lt;=3,SUP_CAPEX_PLANTA!$H$37/3,0)+IF(BW4=SUP_TECNOLOGIA!$C$19,SUP_TECNOLOGIA!$C$18,0)</f>
        <v>0</v>
      </c>
      <c r="BX25" s="77">
        <f>IF(BX4&lt;=3,SUP_CAPEX_PLANTA!$H$37/3,0)+IF(BX4=SUP_TECNOLOGIA!$C$19,SUP_TECNOLOGIA!$C$18,0)</f>
        <v>0</v>
      </c>
      <c r="BY25" s="77">
        <f>IF(BY4&lt;=3,SUP_CAPEX_PLANTA!$H$37/3,0)+IF(BY4=SUP_TECNOLOGIA!$C$19,SUP_TECNOLOGIA!$C$18,0)</f>
        <v>0</v>
      </c>
      <c r="BZ25" s="77">
        <f>IF(BZ4&lt;=3,SUP_CAPEX_PLANTA!$H$37/3,0)+IF(BZ4=SUP_TECNOLOGIA!$C$19,SUP_TECNOLOGIA!$C$18,0)</f>
        <v>0</v>
      </c>
      <c r="CA25" s="77">
        <f>IF(CA4&lt;=3,SUP_CAPEX_PLANTA!$H$37/3,0)+IF(CA4=SUP_TECNOLOGIA!$C$19,SUP_TECNOLOGIA!$C$18,0)</f>
        <v>0</v>
      </c>
      <c r="CB25" s="77">
        <f>IF(CB4&lt;=3,SUP_CAPEX_PLANTA!$H$37/3,0)+IF(CB4=SUP_TECNOLOGIA!$C$19,SUP_TECNOLOGIA!$C$18,0)</f>
        <v>0</v>
      </c>
      <c r="CC25" s="77">
        <f>IF(CC4&lt;=3,SUP_CAPEX_PLANTA!$H$37/3,0)+IF(CC4=SUP_TECNOLOGIA!$C$19,SUP_TECNOLOGIA!$C$18,0)</f>
        <v>0</v>
      </c>
      <c r="CD25" s="77">
        <f>IF(CD4&lt;=3,SUP_CAPEX_PLANTA!$H$37/3,0)+IF(CD4=SUP_TECNOLOGIA!$C$19,SUP_TECNOLOGIA!$C$18,0)</f>
        <v>0</v>
      </c>
      <c r="CE25" s="77">
        <f>IF(CE4&lt;=3,SUP_CAPEX_PLANTA!$H$37/3,0)+IF(CE4=SUP_TECNOLOGIA!$C$19,SUP_TECNOLOGIA!$C$18,0)</f>
        <v>0</v>
      </c>
      <c r="CF25" s="77">
        <f>IF(CF4&lt;=3,SUP_CAPEX_PLANTA!$H$37/3,0)+IF(CF4=SUP_TECNOLOGIA!$C$19,SUP_TECNOLOGIA!$C$18,0)</f>
        <v>0</v>
      </c>
      <c r="CG25" s="77">
        <f>IF(CG4&lt;=3,SUP_CAPEX_PLANTA!$H$37/3,0)+IF(CG4=SUP_TECNOLOGIA!$C$19,SUP_TECNOLOGIA!$C$18,0)</f>
        <v>0</v>
      </c>
      <c r="CH25" s="77">
        <f>IF(CH4&lt;=3,SUP_CAPEX_PLANTA!$H$37/3,0)+IF(CH4=SUP_TECNOLOGIA!$C$19,SUP_TECNOLOGIA!$C$18,0)</f>
        <v>0</v>
      </c>
      <c r="CI25" s="77">
        <f>IF(CI4&lt;=3,SUP_CAPEX_PLANTA!$H$37/3,0)+IF(CI4=SUP_TECNOLOGIA!$C$19,SUP_TECNOLOGIA!$C$18,0)</f>
        <v>0</v>
      </c>
      <c r="CJ25" s="77">
        <f>IF(CJ4&lt;=3,SUP_CAPEX_PLANTA!$H$37/3,0)+IF(CJ4=SUP_TECNOLOGIA!$C$19,SUP_TECNOLOGIA!$C$18,0)</f>
        <v>0</v>
      </c>
      <c r="CK25" s="77">
        <f>IF(CK4&lt;=3,SUP_CAPEX_PLANTA!$H$37/3,0)+IF(CK4=SUP_TECNOLOGIA!$C$19,SUP_TECNOLOGIA!$C$18,0)</f>
        <v>0</v>
      </c>
      <c r="CL25" s="77">
        <f>IF(CL4&lt;=3,SUP_CAPEX_PLANTA!$H$37/3,0)+IF(CL4=SUP_TECNOLOGIA!$C$19,SUP_TECNOLOGIA!$C$18,0)</f>
        <v>0</v>
      </c>
      <c r="CM25" s="77">
        <f>IF(CM4&lt;=3,SUP_CAPEX_PLANTA!$H$37/3,0)+IF(CM4=SUP_TECNOLOGIA!$C$19,SUP_TECNOLOGIA!$C$18,0)</f>
        <v>0</v>
      </c>
      <c r="CN25" s="77">
        <f>IF(CN4&lt;=3,SUP_CAPEX_PLANTA!$H$37/3,0)+IF(CN4=SUP_TECNOLOGIA!$C$19,SUP_TECNOLOGIA!$C$18,0)</f>
        <v>0</v>
      </c>
      <c r="CO25" s="77">
        <f>IF(CO4&lt;=3,SUP_CAPEX_PLANTA!$H$37/3,0)+IF(CO4=SUP_TECNOLOGIA!$C$19,SUP_TECNOLOGIA!$C$18,0)</f>
        <v>0</v>
      </c>
      <c r="CP25" s="77">
        <f>IF(CP4&lt;=3,SUP_CAPEX_PLANTA!$H$37/3,0)+IF(CP4=SUP_TECNOLOGIA!$C$19,SUP_TECNOLOGIA!$C$18,0)</f>
        <v>0</v>
      </c>
      <c r="CQ25" s="77">
        <f>IF(CQ4&lt;=3,SUP_CAPEX_PLANTA!$H$37/3,0)+IF(CQ4=SUP_TECNOLOGIA!$C$19,SUP_TECNOLOGIA!$C$18,0)</f>
        <v>0</v>
      </c>
      <c r="CR25" s="77">
        <f>IF(CR4&lt;=3,SUP_CAPEX_PLANTA!$H$37/3,0)+IF(CR4=SUP_TECNOLOGIA!$C$19,SUP_TECNOLOGIA!$C$18,0)</f>
        <v>0</v>
      </c>
      <c r="CS25" s="77">
        <f>IF(CS4&lt;=3,SUP_CAPEX_PLANTA!$H$37/3,0)+IF(CS4=SUP_TECNOLOGIA!$C$19,SUP_TECNOLOGIA!$C$18,0)</f>
        <v>0</v>
      </c>
      <c r="CT25" s="77">
        <f>IF(CT4&lt;=3,SUP_CAPEX_PLANTA!$H$37/3,0)+IF(CT4=SUP_TECNOLOGIA!$C$19,SUP_TECNOLOGIA!$C$18,0)</f>
        <v>0</v>
      </c>
      <c r="CU25" s="77">
        <f>IF(CU4&lt;=3,SUP_CAPEX_PLANTA!$H$37/3,0)+IF(CU4=SUP_TECNOLOGIA!$C$19,SUP_TECNOLOGIA!$C$18,0)</f>
        <v>0</v>
      </c>
      <c r="CV25" s="77">
        <f>IF(CV4&lt;=3,SUP_CAPEX_PLANTA!$H$37/3,0)+IF(CV4=SUP_TECNOLOGIA!$C$19,SUP_TECNOLOGIA!$C$18,0)</f>
        <v>0</v>
      </c>
      <c r="CW25" s="77">
        <f>IF(CW4&lt;=3,SUP_CAPEX_PLANTA!$H$37/3,0)+IF(CW4=SUP_TECNOLOGIA!$C$19,SUP_TECNOLOGIA!$C$18,0)</f>
        <v>0</v>
      </c>
      <c r="CX25" s="77">
        <f>IF(CX4&lt;=3,SUP_CAPEX_PLANTA!$H$37/3,0)+IF(CX4=SUP_TECNOLOGIA!$C$19,SUP_TECNOLOGIA!$C$18,0)</f>
        <v>0</v>
      </c>
      <c r="CY25" s="77">
        <f>IF(CY4&lt;=3,SUP_CAPEX_PLANTA!$H$37/3,0)+IF(CY4=SUP_TECNOLOGIA!$C$19,SUP_TECNOLOGIA!$C$18,0)</f>
        <v>0</v>
      </c>
      <c r="CZ25" s="77">
        <f>IF(CZ4&lt;=3,SUP_CAPEX_PLANTA!$H$37/3,0)+IF(CZ4=SUP_TECNOLOGIA!$C$19,SUP_TECNOLOGIA!$C$18,0)</f>
        <v>0</v>
      </c>
      <c r="DA25" s="77">
        <f>IF(DA4&lt;=3,SUP_CAPEX_PLANTA!$H$37/3,0)+IF(DA4=SUP_TECNOLOGIA!$C$19,SUP_TECNOLOGIA!$C$18,0)</f>
        <v>0</v>
      </c>
      <c r="DB25" s="77">
        <f>IF(DB4&lt;=3,SUP_CAPEX_PLANTA!$H$37/3,0)+IF(DB4=SUP_TECNOLOGIA!$C$19,SUP_TECNOLOGIA!$C$18,0)</f>
        <v>0</v>
      </c>
      <c r="DC25" s="77">
        <f>IF(DC4&lt;=3,SUP_CAPEX_PLANTA!$H$37/3,0)+IF(DC4=SUP_TECNOLOGIA!$C$19,SUP_TECNOLOGIA!$C$18,0)</f>
        <v>0</v>
      </c>
      <c r="DD25" s="77">
        <f>IF(DD4&lt;=3,SUP_CAPEX_PLANTA!$H$37/3,0)+IF(DD4=SUP_TECNOLOGIA!$C$19,SUP_TECNOLOGIA!$C$18,0)</f>
        <v>0</v>
      </c>
      <c r="DE25" s="77">
        <f>IF(DE4&lt;=3,SUP_CAPEX_PLANTA!$H$37/3,0)+IF(DE4=SUP_TECNOLOGIA!$C$19,SUP_TECNOLOGIA!$C$18,0)</f>
        <v>0</v>
      </c>
      <c r="DF25" s="77">
        <f>IF(DF4&lt;=3,SUP_CAPEX_PLANTA!$H$37/3,0)+IF(DF4=SUP_TECNOLOGIA!$C$19,SUP_TECNOLOGIA!$C$18,0)</f>
        <v>0</v>
      </c>
      <c r="DG25" s="77">
        <f>IF(DG4&lt;=3,SUP_CAPEX_PLANTA!$H$37/3,0)+IF(DG4=SUP_TECNOLOGIA!$C$19,SUP_TECNOLOGIA!$C$18,0)</f>
        <v>0</v>
      </c>
      <c r="DH25" s="77">
        <f>IF(DH4&lt;=3,SUP_CAPEX_PLANTA!$H$37/3,0)+IF(DH4=SUP_TECNOLOGIA!$C$19,SUP_TECNOLOGIA!$C$18,0)</f>
        <v>0</v>
      </c>
      <c r="DI25" s="77">
        <f>IF(DI4&lt;=3,SUP_CAPEX_PLANTA!$H$37/3,0)+IF(DI4=SUP_TECNOLOGIA!$C$19,SUP_TECNOLOGIA!$C$18,0)</f>
        <v>0</v>
      </c>
      <c r="DJ25" s="77">
        <f>IF(DJ4&lt;=3,SUP_CAPEX_PLANTA!$H$37/3,0)+IF(DJ4=SUP_TECNOLOGIA!$C$19,SUP_TECNOLOGIA!$C$18,0)</f>
        <v>0</v>
      </c>
      <c r="DK25" s="77">
        <f>IF(DK4&lt;=3,SUP_CAPEX_PLANTA!$H$37/3,0)+IF(DK4=SUP_TECNOLOGIA!$C$19,SUP_TECNOLOGIA!$C$18,0)</f>
        <v>0</v>
      </c>
      <c r="DL25" s="77">
        <f>IF(DL4&lt;=3,SUP_CAPEX_PLANTA!$H$37/3,0)+IF(DL4=SUP_TECNOLOGIA!$C$19,SUP_TECNOLOGIA!$C$18,0)</f>
        <v>0</v>
      </c>
      <c r="DM25" s="77">
        <f>IF(DM4&lt;=3,SUP_CAPEX_PLANTA!$H$37/3,0)+IF(DM4=SUP_TECNOLOGIA!$C$19,SUP_TECNOLOGIA!$C$18,0)</f>
        <v>0</v>
      </c>
      <c r="DN25" s="77">
        <f>IF(DN4&lt;=3,SUP_CAPEX_PLANTA!$H$37/3,0)+IF(DN4=SUP_TECNOLOGIA!$C$19,SUP_TECNOLOGIA!$C$18,0)</f>
        <v>0</v>
      </c>
      <c r="DO25" s="77">
        <f>IF(DO4&lt;=3,SUP_CAPEX_PLANTA!$H$37/3,0)+IF(DO4=SUP_TECNOLOGIA!$C$19,SUP_TECNOLOGIA!$C$18,0)</f>
        <v>0</v>
      </c>
      <c r="DP25" s="77">
        <f>IF(DP4&lt;=3,SUP_CAPEX_PLANTA!$H$37/3,0)+IF(DP4=SUP_TECNOLOGIA!$C$19,SUP_TECNOLOGIA!$C$18,0)</f>
        <v>0</v>
      </c>
      <c r="DQ25" s="77">
        <f>IF(DQ4&lt;=3,SUP_CAPEX_PLANTA!$H$37/3,0)+IF(DQ4=SUP_TECNOLOGIA!$C$19,SUP_TECNOLOGIA!$C$18,0)</f>
        <v>0</v>
      </c>
      <c r="DR25" s="77">
        <f>IF(DR4&lt;=3,SUP_CAPEX_PLANTA!$H$37/3,0)+IF(DR4=SUP_TECNOLOGIA!$C$19,SUP_TECNOLOGIA!$C$18,0)</f>
        <v>0</v>
      </c>
      <c r="DS25" s="77">
        <f>IF(DS4&lt;=3,SUP_CAPEX_PLANTA!$H$37/3,0)+IF(DS4=SUP_TECNOLOGIA!$C$19,SUP_TECNOLOGIA!$C$18,0)</f>
        <v>0</v>
      </c>
    </row>
    <row r="26" spans="1:123" ht="15" customHeight="1" x14ac:dyDescent="0.2">
      <c r="B26" s="37" t="s">
        <v>906</v>
      </c>
      <c r="D26" s="77">
        <f>G6*SUP_CAPEX_VENTANA!$H$42+G7*SUP_CAPEX_DINEIN!$H$43</f>
        <v>185113.87399999995</v>
      </c>
      <c r="E26" s="77">
        <f>H6*SUP_CAPEX_VENTANA!$H$42+H7*SUP_CAPEX_DINEIN!$H$43</f>
        <v>185113.87399999995</v>
      </c>
      <c r="F26" s="77">
        <f>I6*SUP_CAPEX_VENTANA!$H$42+I7*SUP_CAPEX_DINEIN!$H$43</f>
        <v>185113.87399999995</v>
      </c>
      <c r="G26" s="77">
        <f>J6*SUP_CAPEX_VENTANA!$H$42+J7*SUP_CAPEX_DINEIN!$H$43</f>
        <v>231467.95924999999</v>
      </c>
      <c r="H26" s="77">
        <f>K6*SUP_CAPEX_VENTANA!$H$42+K7*SUP_CAPEX_DINEIN!$H$43</f>
        <v>277822.04450000002</v>
      </c>
      <c r="I26" s="77">
        <f>L6*SUP_CAPEX_VENTANA!$H$42+L7*SUP_CAPEX_DINEIN!$H$43</f>
        <v>0</v>
      </c>
      <c r="J26" s="77">
        <f>M6*SUP_CAPEX_VENTANA!$H$42+M7*SUP_CAPEX_DINEIN!$H$43</f>
        <v>0</v>
      </c>
      <c r="K26" s="77">
        <f>N6*SUP_CAPEX_VENTANA!$H$42+N7*SUP_CAPEX_DINEIN!$H$43</f>
        <v>0</v>
      </c>
      <c r="L26" s="77">
        <f>O6*SUP_CAPEX_VENTANA!$H$42+O7*SUP_CAPEX_DINEIN!$H$43</f>
        <v>0</v>
      </c>
      <c r="M26" s="77">
        <f>P6*SUP_CAPEX_VENTANA!$H$42+P7*SUP_CAPEX_DINEIN!$H$43</f>
        <v>0</v>
      </c>
      <c r="N26" s="77">
        <f>Q6*SUP_CAPEX_VENTANA!$H$42+Q7*SUP_CAPEX_DINEIN!$H$43</f>
        <v>0</v>
      </c>
      <c r="O26" s="77">
        <f>R6*SUP_CAPEX_VENTANA!$H$42+R7*SUP_CAPEX_DINEIN!$H$43</f>
        <v>0</v>
      </c>
      <c r="P26" s="77">
        <f>S6*SUP_CAPEX_VENTANA!$H$42+S7*SUP_CAPEX_DINEIN!$H$43</f>
        <v>0</v>
      </c>
      <c r="Q26" s="77">
        <f>T6*SUP_CAPEX_VENTANA!$H$42+T7*SUP_CAPEX_DINEIN!$H$43</f>
        <v>0</v>
      </c>
      <c r="R26" s="77">
        <f>U6*SUP_CAPEX_VENTANA!$H$42+U7*SUP_CAPEX_DINEIN!$H$43</f>
        <v>0</v>
      </c>
      <c r="S26" s="77">
        <f>V6*SUP_CAPEX_VENTANA!$H$42+V7*SUP_CAPEX_DINEIN!$H$43</f>
        <v>0</v>
      </c>
      <c r="T26" s="77">
        <f>W6*SUP_CAPEX_VENTANA!$H$42+W7*SUP_CAPEX_DINEIN!$H$43</f>
        <v>0</v>
      </c>
      <c r="U26" s="77">
        <f>X6*SUP_CAPEX_VENTANA!$H$42+X7*SUP_CAPEX_DINEIN!$H$43</f>
        <v>0</v>
      </c>
      <c r="V26" s="77">
        <f>Y6*SUP_CAPEX_VENTANA!$H$42+Y7*SUP_CAPEX_DINEIN!$H$43</f>
        <v>0</v>
      </c>
      <c r="W26" s="77">
        <f>Z6*SUP_CAPEX_VENTANA!$H$42+Z7*SUP_CAPEX_DINEIN!$H$43</f>
        <v>0</v>
      </c>
      <c r="X26" s="77">
        <f>AA6*SUP_CAPEX_VENTANA!$H$42+AA7*SUP_CAPEX_DINEIN!$H$43</f>
        <v>0</v>
      </c>
      <c r="Y26" s="77">
        <f>AB6*SUP_CAPEX_VENTANA!$H$42+AB7*SUP_CAPEX_DINEIN!$H$43</f>
        <v>0</v>
      </c>
      <c r="Z26" s="77">
        <f>AC6*SUP_CAPEX_VENTANA!$H$42+AC7*SUP_CAPEX_DINEIN!$H$43</f>
        <v>0</v>
      </c>
      <c r="AA26" s="77">
        <f>AD6*SUP_CAPEX_VENTANA!$H$42+AD7*SUP_CAPEX_DINEIN!$H$43</f>
        <v>0</v>
      </c>
      <c r="AB26" s="77">
        <f>AE6*SUP_CAPEX_VENTANA!$H$42+AE7*SUP_CAPEX_DINEIN!$H$43</f>
        <v>0</v>
      </c>
      <c r="AC26" s="77">
        <f>AF6*SUP_CAPEX_VENTANA!$H$42+AF7*SUP_CAPEX_DINEIN!$H$43</f>
        <v>0</v>
      </c>
      <c r="AD26" s="77">
        <f>AG6*SUP_CAPEX_VENTANA!$H$42+AG7*SUP_CAPEX_DINEIN!$H$43</f>
        <v>0</v>
      </c>
      <c r="AE26" s="77">
        <f>AH6*SUP_CAPEX_VENTANA!$H$42+AH7*SUP_CAPEX_DINEIN!$H$43</f>
        <v>0</v>
      </c>
      <c r="AF26" s="77">
        <f>AI6*SUP_CAPEX_VENTANA!$H$42+AI7*SUP_CAPEX_DINEIN!$H$43</f>
        <v>0</v>
      </c>
      <c r="AG26" s="77">
        <f>AJ6*SUP_CAPEX_VENTANA!$H$42+AJ7*SUP_CAPEX_DINEIN!$H$43</f>
        <v>0</v>
      </c>
      <c r="AH26" s="77">
        <f>AK6*SUP_CAPEX_VENTANA!$H$42+AK7*SUP_CAPEX_DINEIN!$H$43</f>
        <v>0</v>
      </c>
      <c r="AI26" s="77">
        <f>AL6*SUP_CAPEX_VENTANA!$H$42+AL7*SUP_CAPEX_DINEIN!$H$43</f>
        <v>0</v>
      </c>
      <c r="AJ26" s="77">
        <f>AM6*SUP_CAPEX_VENTANA!$H$42+AM7*SUP_CAPEX_DINEIN!$H$43</f>
        <v>0</v>
      </c>
      <c r="AK26" s="77">
        <f>AN6*SUP_CAPEX_VENTANA!$H$42+AN7*SUP_CAPEX_DINEIN!$H$43</f>
        <v>0</v>
      </c>
      <c r="AL26" s="77">
        <f>AO6*SUP_CAPEX_VENTANA!$H$42+AO7*SUP_CAPEX_DINEIN!$H$43</f>
        <v>0</v>
      </c>
      <c r="AM26" s="77">
        <f>AP6*SUP_CAPEX_VENTANA!$H$42+AP7*SUP_CAPEX_DINEIN!$H$43</f>
        <v>0</v>
      </c>
      <c r="AN26" s="77">
        <f>AQ6*SUP_CAPEX_VENTANA!$H$42+AQ7*SUP_CAPEX_DINEIN!$H$43</f>
        <v>0</v>
      </c>
      <c r="AO26" s="77">
        <f>AR6*SUP_CAPEX_VENTANA!$H$42+AR7*SUP_CAPEX_DINEIN!$H$43</f>
        <v>0</v>
      </c>
      <c r="AP26" s="77">
        <f>AS6*SUP_CAPEX_VENTANA!$H$42+AS7*SUP_CAPEX_DINEIN!$H$43</f>
        <v>0</v>
      </c>
      <c r="AQ26" s="77">
        <f>AT6*SUP_CAPEX_VENTANA!$H$42+AT7*SUP_CAPEX_DINEIN!$H$43</f>
        <v>0</v>
      </c>
      <c r="AR26" s="77">
        <f>AU6*SUP_CAPEX_VENTANA!$H$42+AU7*SUP_CAPEX_DINEIN!$H$43</f>
        <v>0</v>
      </c>
      <c r="AS26" s="77">
        <f>AV6*SUP_CAPEX_VENTANA!$H$42+AV7*SUP_CAPEX_DINEIN!$H$43</f>
        <v>0</v>
      </c>
      <c r="AT26" s="77">
        <f>AW6*SUP_CAPEX_VENTANA!$H$42+AW7*SUP_CAPEX_DINEIN!$H$43</f>
        <v>0</v>
      </c>
      <c r="AU26" s="77">
        <f>AX6*SUP_CAPEX_VENTANA!$H$42+AX7*SUP_CAPEX_DINEIN!$H$43</f>
        <v>0</v>
      </c>
      <c r="AV26" s="77">
        <f>AY6*SUP_CAPEX_VENTANA!$H$42+AY7*SUP_CAPEX_DINEIN!$H$43</f>
        <v>0</v>
      </c>
      <c r="AW26" s="77">
        <f>AZ6*SUP_CAPEX_VENTANA!$H$42+AZ7*SUP_CAPEX_DINEIN!$H$43</f>
        <v>0</v>
      </c>
      <c r="AX26" s="77">
        <f>BA6*SUP_CAPEX_VENTANA!$H$42+BA7*SUP_CAPEX_DINEIN!$H$43</f>
        <v>0</v>
      </c>
      <c r="AY26" s="77">
        <f>BB6*SUP_CAPEX_VENTANA!$H$42+BB7*SUP_CAPEX_DINEIN!$H$43</f>
        <v>0</v>
      </c>
      <c r="AZ26" s="77">
        <f>BC6*SUP_CAPEX_VENTANA!$H$42+BC7*SUP_CAPEX_DINEIN!$H$43</f>
        <v>0</v>
      </c>
      <c r="BA26" s="77">
        <f>BD6*SUP_CAPEX_VENTANA!$H$42+BD7*SUP_CAPEX_DINEIN!$H$43</f>
        <v>0</v>
      </c>
      <c r="BB26" s="77">
        <f>BE6*SUP_CAPEX_VENTANA!$H$42+BE7*SUP_CAPEX_DINEIN!$H$43</f>
        <v>0</v>
      </c>
      <c r="BC26" s="77">
        <f>BF6*SUP_CAPEX_VENTANA!$H$42+BF7*SUP_CAPEX_DINEIN!$H$43</f>
        <v>0</v>
      </c>
      <c r="BD26" s="77">
        <f>BG6*SUP_CAPEX_VENTANA!$H$42+BG7*SUP_CAPEX_DINEIN!$H$43</f>
        <v>0</v>
      </c>
      <c r="BE26" s="77">
        <f>BH6*SUP_CAPEX_VENTANA!$H$42+BH7*SUP_CAPEX_DINEIN!$H$43</f>
        <v>0</v>
      </c>
      <c r="BF26" s="77">
        <f>BI6*SUP_CAPEX_VENTANA!$H$42+BI7*SUP_CAPEX_DINEIN!$H$43</f>
        <v>0</v>
      </c>
      <c r="BG26" s="77">
        <f>BJ6*SUP_CAPEX_VENTANA!$H$42+BJ7*SUP_CAPEX_DINEIN!$H$43</f>
        <v>0</v>
      </c>
      <c r="BH26" s="77">
        <f>BK6*SUP_CAPEX_VENTANA!$H$42+BK7*SUP_CAPEX_DINEIN!$H$43</f>
        <v>0</v>
      </c>
      <c r="BI26" s="77">
        <f>BL6*SUP_CAPEX_VENTANA!$H$42+BL7*SUP_CAPEX_DINEIN!$H$43</f>
        <v>0</v>
      </c>
      <c r="BJ26" s="77">
        <f>BM6*SUP_CAPEX_VENTANA!$H$42+BM7*SUP_CAPEX_DINEIN!$H$43</f>
        <v>0</v>
      </c>
      <c r="BK26" s="77">
        <f>BN6*SUP_CAPEX_VENTANA!$H$42+BN7*SUP_CAPEX_DINEIN!$H$43</f>
        <v>0</v>
      </c>
      <c r="BL26" s="77">
        <f>BO6*SUP_CAPEX_VENTANA!$H$42+BO7*SUP_CAPEX_DINEIN!$H$43</f>
        <v>0</v>
      </c>
      <c r="BM26" s="77">
        <f>BP6*SUP_CAPEX_VENTANA!$H$42+BP7*SUP_CAPEX_DINEIN!$H$43</f>
        <v>0</v>
      </c>
      <c r="BN26" s="77">
        <f>BQ6*SUP_CAPEX_VENTANA!$H$42+BQ7*SUP_CAPEX_DINEIN!$H$43</f>
        <v>0</v>
      </c>
      <c r="BO26" s="77">
        <f>BR6*SUP_CAPEX_VENTANA!$H$42+BR7*SUP_CAPEX_DINEIN!$H$43</f>
        <v>0</v>
      </c>
      <c r="BP26" s="77">
        <f>BS6*SUP_CAPEX_VENTANA!$H$42+BS7*SUP_CAPEX_DINEIN!$H$43</f>
        <v>0</v>
      </c>
      <c r="BQ26" s="77">
        <f>BT6*SUP_CAPEX_VENTANA!$H$42+BT7*SUP_CAPEX_DINEIN!$H$43</f>
        <v>0</v>
      </c>
      <c r="BR26" s="77">
        <f>BU6*SUP_CAPEX_VENTANA!$H$42+BU7*SUP_CAPEX_DINEIN!$H$43</f>
        <v>0</v>
      </c>
      <c r="BS26" s="77">
        <f>BV6*SUP_CAPEX_VENTANA!$H$42+BV7*SUP_CAPEX_DINEIN!$H$43</f>
        <v>0</v>
      </c>
      <c r="BT26" s="77">
        <f>BW6*SUP_CAPEX_VENTANA!$H$42+BW7*SUP_CAPEX_DINEIN!$H$43</f>
        <v>0</v>
      </c>
      <c r="BU26" s="77">
        <f>BX6*SUP_CAPEX_VENTANA!$H$42+BX7*SUP_CAPEX_DINEIN!$H$43</f>
        <v>0</v>
      </c>
      <c r="BV26" s="77">
        <f>BY6*SUP_CAPEX_VENTANA!$H$42+BY7*SUP_CAPEX_DINEIN!$H$43</f>
        <v>0</v>
      </c>
      <c r="BW26" s="77">
        <f>BZ6*SUP_CAPEX_VENTANA!$H$42+BZ7*SUP_CAPEX_DINEIN!$H$43</f>
        <v>0</v>
      </c>
      <c r="BX26" s="77">
        <f>CA6*SUP_CAPEX_VENTANA!$H$42+CA7*SUP_CAPEX_DINEIN!$H$43</f>
        <v>0</v>
      </c>
      <c r="BY26" s="77">
        <f>CB6*SUP_CAPEX_VENTANA!$H$42+CB7*SUP_CAPEX_DINEIN!$H$43</f>
        <v>0</v>
      </c>
      <c r="BZ26" s="77">
        <f>CC6*SUP_CAPEX_VENTANA!$H$42+CC7*SUP_CAPEX_DINEIN!$H$43</f>
        <v>0</v>
      </c>
      <c r="CA26" s="77">
        <f>CD6*SUP_CAPEX_VENTANA!$H$42+CD7*SUP_CAPEX_DINEIN!$H$43</f>
        <v>0</v>
      </c>
      <c r="CB26" s="77">
        <f>CE6*SUP_CAPEX_VENTANA!$H$42+CE7*SUP_CAPEX_DINEIN!$H$43</f>
        <v>0</v>
      </c>
      <c r="CC26" s="77">
        <f>CF6*SUP_CAPEX_VENTANA!$H$42+CF7*SUP_CAPEX_DINEIN!$H$43</f>
        <v>0</v>
      </c>
      <c r="CD26" s="77">
        <f>CG6*SUP_CAPEX_VENTANA!$H$42+CG7*SUP_CAPEX_DINEIN!$H$43</f>
        <v>0</v>
      </c>
      <c r="CE26" s="77">
        <f>CH6*SUP_CAPEX_VENTANA!$H$42+CH7*SUP_CAPEX_DINEIN!$H$43</f>
        <v>0</v>
      </c>
      <c r="CF26" s="77">
        <f>CI6*SUP_CAPEX_VENTANA!$H$42+CI7*SUP_CAPEX_DINEIN!$H$43</f>
        <v>0</v>
      </c>
      <c r="CG26" s="77">
        <f>CJ6*SUP_CAPEX_VENTANA!$H$42+CJ7*SUP_CAPEX_DINEIN!$H$43</f>
        <v>0</v>
      </c>
      <c r="CH26" s="77">
        <f>CK6*SUP_CAPEX_VENTANA!$H$42+CK7*SUP_CAPEX_DINEIN!$H$43</f>
        <v>0</v>
      </c>
      <c r="CI26" s="77">
        <f>CL6*SUP_CAPEX_VENTANA!$H$42+CL7*SUP_CAPEX_DINEIN!$H$43</f>
        <v>0</v>
      </c>
      <c r="CJ26" s="77">
        <f>CM6*SUP_CAPEX_VENTANA!$H$42+CM7*SUP_CAPEX_DINEIN!$H$43</f>
        <v>0</v>
      </c>
      <c r="CK26" s="77">
        <f>CN6*SUP_CAPEX_VENTANA!$H$42+CN7*SUP_CAPEX_DINEIN!$H$43</f>
        <v>0</v>
      </c>
      <c r="CL26" s="77">
        <f>CO6*SUP_CAPEX_VENTANA!$H$42+CO7*SUP_CAPEX_DINEIN!$H$43</f>
        <v>0</v>
      </c>
      <c r="CM26" s="77">
        <f>CP6*SUP_CAPEX_VENTANA!$H$42+CP7*SUP_CAPEX_DINEIN!$H$43</f>
        <v>0</v>
      </c>
      <c r="CN26" s="77">
        <f>CQ6*SUP_CAPEX_VENTANA!$H$42+CQ7*SUP_CAPEX_DINEIN!$H$43</f>
        <v>0</v>
      </c>
      <c r="CO26" s="77">
        <f>CR6*SUP_CAPEX_VENTANA!$H$42+CR7*SUP_CAPEX_DINEIN!$H$43</f>
        <v>0</v>
      </c>
      <c r="CP26" s="77">
        <f>CS6*SUP_CAPEX_VENTANA!$H$42+CS7*SUP_CAPEX_DINEIN!$H$43</f>
        <v>0</v>
      </c>
      <c r="CQ26" s="77">
        <f>CT6*SUP_CAPEX_VENTANA!$H$42+CT7*SUP_CAPEX_DINEIN!$H$43</f>
        <v>0</v>
      </c>
      <c r="CR26" s="77">
        <f>CU6*SUP_CAPEX_VENTANA!$H$42+CU7*SUP_CAPEX_DINEIN!$H$43</f>
        <v>0</v>
      </c>
      <c r="CS26" s="77">
        <f>CV6*SUP_CAPEX_VENTANA!$H$42+CV7*SUP_CAPEX_DINEIN!$H$43</f>
        <v>0</v>
      </c>
      <c r="CT26" s="77">
        <f>CW6*SUP_CAPEX_VENTANA!$H$42+CW7*SUP_CAPEX_DINEIN!$H$43</f>
        <v>0</v>
      </c>
      <c r="CU26" s="77">
        <f>CX6*SUP_CAPEX_VENTANA!$H$42+CX7*SUP_CAPEX_DINEIN!$H$43</f>
        <v>0</v>
      </c>
      <c r="CV26" s="77">
        <f>CY6*SUP_CAPEX_VENTANA!$H$42+CY7*SUP_CAPEX_DINEIN!$H$43</f>
        <v>0</v>
      </c>
      <c r="CW26" s="77">
        <f>CZ6*SUP_CAPEX_VENTANA!$H$42+CZ7*SUP_CAPEX_DINEIN!$H$43</f>
        <v>0</v>
      </c>
      <c r="CX26" s="77">
        <f>DA6*SUP_CAPEX_VENTANA!$H$42+DA7*SUP_CAPEX_DINEIN!$H$43</f>
        <v>0</v>
      </c>
      <c r="CY26" s="77">
        <f>DB6*SUP_CAPEX_VENTANA!$H$42+DB7*SUP_CAPEX_DINEIN!$H$43</f>
        <v>0</v>
      </c>
      <c r="CZ26" s="77">
        <f>DC6*SUP_CAPEX_VENTANA!$H$42+DC7*SUP_CAPEX_DINEIN!$H$43</f>
        <v>0</v>
      </c>
      <c r="DA26" s="77">
        <f>DD6*SUP_CAPEX_VENTANA!$H$42+DD7*SUP_CAPEX_DINEIN!$H$43</f>
        <v>0</v>
      </c>
      <c r="DB26" s="77">
        <f>DE6*SUP_CAPEX_VENTANA!$H$42+DE7*SUP_CAPEX_DINEIN!$H$43</f>
        <v>0</v>
      </c>
      <c r="DC26" s="77">
        <f>DF6*SUP_CAPEX_VENTANA!$H$42+DF7*SUP_CAPEX_DINEIN!$H$43</f>
        <v>0</v>
      </c>
      <c r="DD26" s="77">
        <f>DG6*SUP_CAPEX_VENTANA!$H$42+DG7*SUP_CAPEX_DINEIN!$H$43</f>
        <v>0</v>
      </c>
      <c r="DE26" s="77">
        <f>DH6*SUP_CAPEX_VENTANA!$H$42+DH7*SUP_CAPEX_DINEIN!$H$43</f>
        <v>0</v>
      </c>
      <c r="DF26" s="77">
        <f>DI6*SUP_CAPEX_VENTANA!$H$42+DI7*SUP_CAPEX_DINEIN!$H$43</f>
        <v>0</v>
      </c>
      <c r="DG26" s="77">
        <f>DJ6*SUP_CAPEX_VENTANA!$H$42+DJ7*SUP_CAPEX_DINEIN!$H$43</f>
        <v>0</v>
      </c>
      <c r="DH26" s="77">
        <f>DK6*SUP_CAPEX_VENTANA!$H$42+DK7*SUP_CAPEX_DINEIN!$H$43</f>
        <v>0</v>
      </c>
      <c r="DI26" s="77">
        <f>DL6*SUP_CAPEX_VENTANA!$H$42+DL7*SUP_CAPEX_DINEIN!$H$43</f>
        <v>0</v>
      </c>
      <c r="DJ26" s="77">
        <f>DM6*SUP_CAPEX_VENTANA!$H$42+DM7*SUP_CAPEX_DINEIN!$H$43</f>
        <v>0</v>
      </c>
      <c r="DK26" s="77">
        <f>DN6*SUP_CAPEX_VENTANA!$H$42+DN7*SUP_CAPEX_DINEIN!$H$43</f>
        <v>0</v>
      </c>
      <c r="DL26" s="77">
        <f>DO6*SUP_CAPEX_VENTANA!$H$42+DO7*SUP_CAPEX_DINEIN!$H$43</f>
        <v>0</v>
      </c>
      <c r="DM26" s="77">
        <f>DP6*SUP_CAPEX_VENTANA!$H$42+DP7*SUP_CAPEX_DINEIN!$H$43</f>
        <v>0</v>
      </c>
      <c r="DN26" s="77">
        <f>DQ6*SUP_CAPEX_VENTANA!$H$42+DQ7*SUP_CAPEX_DINEIN!$H$43</f>
        <v>0</v>
      </c>
      <c r="DO26" s="77">
        <f>DR6*SUP_CAPEX_VENTANA!$H$42+DR7*SUP_CAPEX_DINEIN!$H$43</f>
        <v>0</v>
      </c>
      <c r="DP26" s="77">
        <f>DS6*SUP_CAPEX_VENTANA!$H$42+DS7*SUP_CAPEX_DINEIN!$H$43</f>
        <v>0</v>
      </c>
      <c r="DQ26" s="77">
        <v>0</v>
      </c>
      <c r="DR26" s="77">
        <v>0</v>
      </c>
      <c r="DS26" s="77">
        <v>0</v>
      </c>
    </row>
    <row r="27" spans="1:123" ht="15" customHeight="1" x14ac:dyDescent="0.2">
      <c r="B27" s="37" t="s">
        <v>907</v>
      </c>
      <c r="D27" s="77">
        <f>IF(D4=1,SUP_CONTROL!$C$18*(SUP_VOLUMEN!$C$43*SUP_OPEX!$D$23+SUP_VOLUMEN!$C$44*SUP_OPEX!$E$23+SUP_OVERHEAD!$C$12),0)</f>
        <v>183600</v>
      </c>
      <c r="E27" s="77">
        <f>IF(E4=1,SUP_CONTROL!$C$18*(SUP_VOLUMEN!$C$43*SUP_OPEX!$D$23+SUP_VOLUMEN!$C$44*SUP_OPEX!$E$23+SUP_OVERHEAD!$C$12),0)</f>
        <v>0</v>
      </c>
      <c r="F27" s="77">
        <f>IF(F4=1,SUP_CONTROL!$C$18*(SUP_VOLUMEN!$C$43*SUP_OPEX!$D$23+SUP_VOLUMEN!$C$44*SUP_OPEX!$E$23+SUP_OVERHEAD!$C$12),0)</f>
        <v>0</v>
      </c>
      <c r="G27" s="77">
        <f>IF(G4=1,SUP_CONTROL!$C$18*(SUP_VOLUMEN!$C$43*SUP_OPEX!$D$23+SUP_VOLUMEN!$C$44*SUP_OPEX!$E$23+SUP_OVERHEAD!$C$12),0)</f>
        <v>0</v>
      </c>
      <c r="H27" s="77">
        <f>IF(H4=1,SUP_CONTROL!$C$18*(SUP_VOLUMEN!$C$43*SUP_OPEX!$D$23+SUP_VOLUMEN!$C$44*SUP_OPEX!$E$23+SUP_OVERHEAD!$C$12),0)</f>
        <v>0</v>
      </c>
      <c r="I27" s="77">
        <f>IF(I4=1,SUP_CONTROL!$C$18*(SUP_VOLUMEN!$C$43*SUP_OPEX!$D$23+SUP_VOLUMEN!$C$44*SUP_OPEX!$E$23+SUP_OVERHEAD!$C$12),0)</f>
        <v>0</v>
      </c>
      <c r="J27" s="77">
        <f>IF(J4=1,SUP_CONTROL!$C$18*(SUP_VOLUMEN!$C$43*SUP_OPEX!$D$23+SUP_VOLUMEN!$C$44*SUP_OPEX!$E$23+SUP_OVERHEAD!$C$12),0)</f>
        <v>0</v>
      </c>
      <c r="K27" s="77">
        <f>IF(K4=1,SUP_CONTROL!$C$18*(SUP_VOLUMEN!$C$43*SUP_OPEX!$D$23+SUP_VOLUMEN!$C$44*SUP_OPEX!$E$23+SUP_OVERHEAD!$C$12),0)</f>
        <v>0</v>
      </c>
      <c r="L27" s="77">
        <f>IF(L4=1,SUP_CONTROL!$C$18*(SUP_VOLUMEN!$C$43*SUP_OPEX!$D$23+SUP_VOLUMEN!$C$44*SUP_OPEX!$E$23+SUP_OVERHEAD!$C$12),0)</f>
        <v>0</v>
      </c>
      <c r="M27" s="77">
        <f>IF(M4=1,SUP_CONTROL!$C$18*(SUP_VOLUMEN!$C$43*SUP_OPEX!$D$23+SUP_VOLUMEN!$C$44*SUP_OPEX!$E$23+SUP_OVERHEAD!$C$12),0)</f>
        <v>0</v>
      </c>
      <c r="N27" s="77">
        <f>IF(N4=1,SUP_CONTROL!$C$18*(SUP_VOLUMEN!$C$43*SUP_OPEX!$D$23+SUP_VOLUMEN!$C$44*SUP_OPEX!$E$23+SUP_OVERHEAD!$C$12),0)</f>
        <v>0</v>
      </c>
      <c r="O27" s="77">
        <f>IF(O4=1,SUP_CONTROL!$C$18*(SUP_VOLUMEN!$C$43*SUP_OPEX!$D$23+SUP_VOLUMEN!$C$44*SUP_OPEX!$E$23+SUP_OVERHEAD!$C$12),0)</f>
        <v>0</v>
      </c>
      <c r="P27" s="77">
        <f>IF(P4=1,SUP_CONTROL!$C$18*(SUP_VOLUMEN!$C$43*SUP_OPEX!$D$23+SUP_VOLUMEN!$C$44*SUP_OPEX!$E$23+SUP_OVERHEAD!$C$12),0)</f>
        <v>0</v>
      </c>
      <c r="Q27" s="77">
        <f>IF(Q4=1,SUP_CONTROL!$C$18*(SUP_VOLUMEN!$C$43*SUP_OPEX!$D$23+SUP_VOLUMEN!$C$44*SUP_OPEX!$E$23+SUP_OVERHEAD!$C$12),0)</f>
        <v>0</v>
      </c>
      <c r="R27" s="77">
        <f>IF(R4=1,SUP_CONTROL!$C$18*(SUP_VOLUMEN!$C$43*SUP_OPEX!$D$23+SUP_VOLUMEN!$C$44*SUP_OPEX!$E$23+SUP_OVERHEAD!$C$12),0)</f>
        <v>0</v>
      </c>
      <c r="S27" s="77">
        <f>IF(S4=1,SUP_CONTROL!$C$18*(SUP_VOLUMEN!$C$43*SUP_OPEX!$D$23+SUP_VOLUMEN!$C$44*SUP_OPEX!$E$23+SUP_OVERHEAD!$C$12),0)</f>
        <v>0</v>
      </c>
      <c r="T27" s="77">
        <f>IF(T4=1,SUP_CONTROL!$C$18*(SUP_VOLUMEN!$C$43*SUP_OPEX!$D$23+SUP_VOLUMEN!$C$44*SUP_OPEX!$E$23+SUP_OVERHEAD!$C$12),0)</f>
        <v>0</v>
      </c>
      <c r="U27" s="77">
        <f>IF(U4=1,SUP_CONTROL!$C$18*(SUP_VOLUMEN!$C$43*SUP_OPEX!$D$23+SUP_VOLUMEN!$C$44*SUP_OPEX!$E$23+SUP_OVERHEAD!$C$12),0)</f>
        <v>0</v>
      </c>
      <c r="V27" s="77">
        <f>IF(V4=1,SUP_CONTROL!$C$18*(SUP_VOLUMEN!$C$43*SUP_OPEX!$D$23+SUP_VOLUMEN!$C$44*SUP_OPEX!$E$23+SUP_OVERHEAD!$C$12),0)</f>
        <v>0</v>
      </c>
      <c r="W27" s="77">
        <f>IF(W4=1,SUP_CONTROL!$C$18*(SUP_VOLUMEN!$C$43*SUP_OPEX!$D$23+SUP_VOLUMEN!$C$44*SUP_OPEX!$E$23+SUP_OVERHEAD!$C$12),0)</f>
        <v>0</v>
      </c>
      <c r="X27" s="77">
        <f>IF(X4=1,SUP_CONTROL!$C$18*(SUP_VOLUMEN!$C$43*SUP_OPEX!$D$23+SUP_VOLUMEN!$C$44*SUP_OPEX!$E$23+SUP_OVERHEAD!$C$12),0)</f>
        <v>0</v>
      </c>
      <c r="Y27" s="77">
        <f>IF(Y4=1,SUP_CONTROL!$C$18*(SUP_VOLUMEN!$C$43*SUP_OPEX!$D$23+SUP_VOLUMEN!$C$44*SUP_OPEX!$E$23+SUP_OVERHEAD!$C$12),0)</f>
        <v>0</v>
      </c>
      <c r="Z27" s="77">
        <f>IF(Z4=1,SUP_CONTROL!$C$18*(SUP_VOLUMEN!$C$43*SUP_OPEX!$D$23+SUP_VOLUMEN!$C$44*SUP_OPEX!$E$23+SUP_OVERHEAD!$C$12),0)</f>
        <v>0</v>
      </c>
      <c r="AA27" s="77">
        <f>IF(AA4=1,SUP_CONTROL!$C$18*(SUP_VOLUMEN!$C$43*SUP_OPEX!$D$23+SUP_VOLUMEN!$C$44*SUP_OPEX!$E$23+SUP_OVERHEAD!$C$12),0)</f>
        <v>0</v>
      </c>
      <c r="AB27" s="77">
        <f>IF(AB4=1,SUP_CONTROL!$C$18*(SUP_VOLUMEN!$C$43*SUP_OPEX!$D$23+SUP_VOLUMEN!$C$44*SUP_OPEX!$E$23+SUP_OVERHEAD!$C$12),0)</f>
        <v>0</v>
      </c>
      <c r="AC27" s="77">
        <f>IF(AC4=1,SUP_CONTROL!$C$18*(SUP_VOLUMEN!$C$43*SUP_OPEX!$D$23+SUP_VOLUMEN!$C$44*SUP_OPEX!$E$23+SUP_OVERHEAD!$C$12),0)</f>
        <v>0</v>
      </c>
      <c r="AD27" s="77">
        <f>IF(AD4=1,SUP_CONTROL!$C$18*(SUP_VOLUMEN!$C$43*SUP_OPEX!$D$23+SUP_VOLUMEN!$C$44*SUP_OPEX!$E$23+SUP_OVERHEAD!$C$12),0)</f>
        <v>0</v>
      </c>
      <c r="AE27" s="77">
        <f>IF(AE4=1,SUP_CONTROL!$C$18*(SUP_VOLUMEN!$C$43*SUP_OPEX!$D$23+SUP_VOLUMEN!$C$44*SUP_OPEX!$E$23+SUP_OVERHEAD!$C$12),0)</f>
        <v>0</v>
      </c>
      <c r="AF27" s="77">
        <f>IF(AF4=1,SUP_CONTROL!$C$18*(SUP_VOLUMEN!$C$43*SUP_OPEX!$D$23+SUP_VOLUMEN!$C$44*SUP_OPEX!$E$23+SUP_OVERHEAD!$C$12),0)</f>
        <v>0</v>
      </c>
      <c r="AG27" s="77">
        <f>IF(AG4=1,SUP_CONTROL!$C$18*(SUP_VOLUMEN!$C$43*SUP_OPEX!$D$23+SUP_VOLUMEN!$C$44*SUP_OPEX!$E$23+SUP_OVERHEAD!$C$12),0)</f>
        <v>0</v>
      </c>
      <c r="AH27" s="77">
        <f>IF(AH4=1,SUP_CONTROL!$C$18*(SUP_VOLUMEN!$C$43*SUP_OPEX!$D$23+SUP_VOLUMEN!$C$44*SUP_OPEX!$E$23+SUP_OVERHEAD!$C$12),0)</f>
        <v>0</v>
      </c>
      <c r="AI27" s="77">
        <f>IF(AI4=1,SUP_CONTROL!$C$18*(SUP_VOLUMEN!$C$43*SUP_OPEX!$D$23+SUP_VOLUMEN!$C$44*SUP_OPEX!$E$23+SUP_OVERHEAD!$C$12),0)</f>
        <v>0</v>
      </c>
      <c r="AJ27" s="77">
        <f>IF(AJ4=1,SUP_CONTROL!$C$18*(SUP_VOLUMEN!$C$43*SUP_OPEX!$D$23+SUP_VOLUMEN!$C$44*SUP_OPEX!$E$23+SUP_OVERHEAD!$C$12),0)</f>
        <v>0</v>
      </c>
      <c r="AK27" s="77">
        <f>IF(AK4=1,SUP_CONTROL!$C$18*(SUP_VOLUMEN!$C$43*SUP_OPEX!$D$23+SUP_VOLUMEN!$C$44*SUP_OPEX!$E$23+SUP_OVERHEAD!$C$12),0)</f>
        <v>0</v>
      </c>
      <c r="AL27" s="77">
        <f>IF(AL4=1,SUP_CONTROL!$C$18*(SUP_VOLUMEN!$C$43*SUP_OPEX!$D$23+SUP_VOLUMEN!$C$44*SUP_OPEX!$E$23+SUP_OVERHEAD!$C$12),0)</f>
        <v>0</v>
      </c>
      <c r="AM27" s="77">
        <f>IF(AM4=1,SUP_CONTROL!$C$18*(SUP_VOLUMEN!$C$43*SUP_OPEX!$D$23+SUP_VOLUMEN!$C$44*SUP_OPEX!$E$23+SUP_OVERHEAD!$C$12),0)</f>
        <v>0</v>
      </c>
      <c r="AN27" s="77">
        <f>IF(AN4=1,SUP_CONTROL!$C$18*(SUP_VOLUMEN!$C$43*SUP_OPEX!$D$23+SUP_VOLUMEN!$C$44*SUP_OPEX!$E$23+SUP_OVERHEAD!$C$12),0)</f>
        <v>0</v>
      </c>
      <c r="AO27" s="77">
        <f>IF(AO4=1,SUP_CONTROL!$C$18*(SUP_VOLUMEN!$C$43*SUP_OPEX!$D$23+SUP_VOLUMEN!$C$44*SUP_OPEX!$E$23+SUP_OVERHEAD!$C$12),0)</f>
        <v>0</v>
      </c>
      <c r="AP27" s="77">
        <f>IF(AP4=1,SUP_CONTROL!$C$18*(SUP_VOLUMEN!$C$43*SUP_OPEX!$D$23+SUP_VOLUMEN!$C$44*SUP_OPEX!$E$23+SUP_OVERHEAD!$C$12),0)</f>
        <v>0</v>
      </c>
      <c r="AQ27" s="77">
        <f>IF(AQ4=1,SUP_CONTROL!$C$18*(SUP_VOLUMEN!$C$43*SUP_OPEX!$D$23+SUP_VOLUMEN!$C$44*SUP_OPEX!$E$23+SUP_OVERHEAD!$C$12),0)</f>
        <v>0</v>
      </c>
      <c r="AR27" s="77">
        <f>IF(AR4=1,SUP_CONTROL!$C$18*(SUP_VOLUMEN!$C$43*SUP_OPEX!$D$23+SUP_VOLUMEN!$C$44*SUP_OPEX!$E$23+SUP_OVERHEAD!$C$12),0)</f>
        <v>0</v>
      </c>
      <c r="AS27" s="77">
        <f>IF(AS4=1,SUP_CONTROL!$C$18*(SUP_VOLUMEN!$C$43*SUP_OPEX!$D$23+SUP_VOLUMEN!$C$44*SUP_OPEX!$E$23+SUP_OVERHEAD!$C$12),0)</f>
        <v>0</v>
      </c>
      <c r="AT27" s="77">
        <f>IF(AT4=1,SUP_CONTROL!$C$18*(SUP_VOLUMEN!$C$43*SUP_OPEX!$D$23+SUP_VOLUMEN!$C$44*SUP_OPEX!$E$23+SUP_OVERHEAD!$C$12),0)</f>
        <v>0</v>
      </c>
      <c r="AU27" s="77">
        <f>IF(AU4=1,SUP_CONTROL!$C$18*(SUP_VOLUMEN!$C$43*SUP_OPEX!$D$23+SUP_VOLUMEN!$C$44*SUP_OPEX!$E$23+SUP_OVERHEAD!$C$12),0)</f>
        <v>0</v>
      </c>
      <c r="AV27" s="77">
        <f>IF(AV4=1,SUP_CONTROL!$C$18*(SUP_VOLUMEN!$C$43*SUP_OPEX!$D$23+SUP_VOLUMEN!$C$44*SUP_OPEX!$E$23+SUP_OVERHEAD!$C$12),0)</f>
        <v>0</v>
      </c>
      <c r="AW27" s="77">
        <f>IF(AW4=1,SUP_CONTROL!$C$18*(SUP_VOLUMEN!$C$43*SUP_OPEX!$D$23+SUP_VOLUMEN!$C$44*SUP_OPEX!$E$23+SUP_OVERHEAD!$C$12),0)</f>
        <v>0</v>
      </c>
      <c r="AX27" s="77">
        <f>IF(AX4=1,SUP_CONTROL!$C$18*(SUP_VOLUMEN!$C$43*SUP_OPEX!$D$23+SUP_VOLUMEN!$C$44*SUP_OPEX!$E$23+SUP_OVERHEAD!$C$12),0)</f>
        <v>0</v>
      </c>
      <c r="AY27" s="77">
        <f>IF(AY4=1,SUP_CONTROL!$C$18*(SUP_VOLUMEN!$C$43*SUP_OPEX!$D$23+SUP_VOLUMEN!$C$44*SUP_OPEX!$E$23+SUP_OVERHEAD!$C$12),0)</f>
        <v>0</v>
      </c>
      <c r="AZ27" s="77">
        <f>IF(AZ4=1,SUP_CONTROL!$C$18*(SUP_VOLUMEN!$C$43*SUP_OPEX!$D$23+SUP_VOLUMEN!$C$44*SUP_OPEX!$E$23+SUP_OVERHEAD!$C$12),0)</f>
        <v>0</v>
      </c>
      <c r="BA27" s="77">
        <f>IF(BA4=1,SUP_CONTROL!$C$18*(SUP_VOLUMEN!$C$43*SUP_OPEX!$D$23+SUP_VOLUMEN!$C$44*SUP_OPEX!$E$23+SUP_OVERHEAD!$C$12),0)</f>
        <v>0</v>
      </c>
      <c r="BB27" s="77">
        <f>IF(BB4=1,SUP_CONTROL!$C$18*(SUP_VOLUMEN!$C$43*SUP_OPEX!$D$23+SUP_VOLUMEN!$C$44*SUP_OPEX!$E$23+SUP_OVERHEAD!$C$12),0)</f>
        <v>0</v>
      </c>
      <c r="BC27" s="77">
        <f>IF(BC4=1,SUP_CONTROL!$C$18*(SUP_VOLUMEN!$C$43*SUP_OPEX!$D$23+SUP_VOLUMEN!$C$44*SUP_OPEX!$E$23+SUP_OVERHEAD!$C$12),0)</f>
        <v>0</v>
      </c>
      <c r="BD27" s="77">
        <f>IF(BD4=1,SUP_CONTROL!$C$18*(SUP_VOLUMEN!$C$43*SUP_OPEX!$D$23+SUP_VOLUMEN!$C$44*SUP_OPEX!$E$23+SUP_OVERHEAD!$C$12),0)</f>
        <v>0</v>
      </c>
      <c r="BE27" s="77">
        <f>IF(BE4=1,SUP_CONTROL!$C$18*(SUP_VOLUMEN!$C$43*SUP_OPEX!$D$23+SUP_VOLUMEN!$C$44*SUP_OPEX!$E$23+SUP_OVERHEAD!$C$12),0)</f>
        <v>0</v>
      </c>
      <c r="BF27" s="77">
        <f>IF(BF4=1,SUP_CONTROL!$C$18*(SUP_VOLUMEN!$C$43*SUP_OPEX!$D$23+SUP_VOLUMEN!$C$44*SUP_OPEX!$E$23+SUP_OVERHEAD!$C$12),0)</f>
        <v>0</v>
      </c>
      <c r="BG27" s="77">
        <f>IF(BG4=1,SUP_CONTROL!$C$18*(SUP_VOLUMEN!$C$43*SUP_OPEX!$D$23+SUP_VOLUMEN!$C$44*SUP_OPEX!$E$23+SUP_OVERHEAD!$C$12),0)</f>
        <v>0</v>
      </c>
      <c r="BH27" s="77">
        <f>IF(BH4=1,SUP_CONTROL!$C$18*(SUP_VOLUMEN!$C$43*SUP_OPEX!$D$23+SUP_VOLUMEN!$C$44*SUP_OPEX!$E$23+SUP_OVERHEAD!$C$12),0)</f>
        <v>0</v>
      </c>
      <c r="BI27" s="77">
        <f>IF(BI4=1,SUP_CONTROL!$C$18*(SUP_VOLUMEN!$C$43*SUP_OPEX!$D$23+SUP_VOLUMEN!$C$44*SUP_OPEX!$E$23+SUP_OVERHEAD!$C$12),0)</f>
        <v>0</v>
      </c>
      <c r="BJ27" s="77">
        <f>IF(BJ4=1,SUP_CONTROL!$C$18*(SUP_VOLUMEN!$C$43*SUP_OPEX!$D$23+SUP_VOLUMEN!$C$44*SUP_OPEX!$E$23+SUP_OVERHEAD!$C$12),0)</f>
        <v>0</v>
      </c>
      <c r="BK27" s="77">
        <f>IF(BK4=1,SUP_CONTROL!$C$18*(SUP_VOLUMEN!$C$43*SUP_OPEX!$D$23+SUP_VOLUMEN!$C$44*SUP_OPEX!$E$23+SUP_OVERHEAD!$C$12),0)</f>
        <v>0</v>
      </c>
      <c r="BL27" s="77">
        <f>IF(BL4=1,SUP_CONTROL!$C$18*(SUP_VOLUMEN!$C$43*SUP_OPEX!$D$23+SUP_VOLUMEN!$C$44*SUP_OPEX!$E$23+SUP_OVERHEAD!$C$12),0)</f>
        <v>0</v>
      </c>
      <c r="BM27" s="77">
        <f>IF(BM4=1,SUP_CONTROL!$C$18*(SUP_VOLUMEN!$C$43*SUP_OPEX!$D$23+SUP_VOLUMEN!$C$44*SUP_OPEX!$E$23+SUP_OVERHEAD!$C$12),0)</f>
        <v>0</v>
      </c>
      <c r="BN27" s="77">
        <f>IF(BN4=1,SUP_CONTROL!$C$18*(SUP_VOLUMEN!$C$43*SUP_OPEX!$D$23+SUP_VOLUMEN!$C$44*SUP_OPEX!$E$23+SUP_OVERHEAD!$C$12),0)</f>
        <v>0</v>
      </c>
      <c r="BO27" s="77">
        <f>IF(BO4=1,SUP_CONTROL!$C$18*(SUP_VOLUMEN!$C$43*SUP_OPEX!$D$23+SUP_VOLUMEN!$C$44*SUP_OPEX!$E$23+SUP_OVERHEAD!$C$12),0)</f>
        <v>0</v>
      </c>
      <c r="BP27" s="77">
        <f>IF(BP4=1,SUP_CONTROL!$C$18*(SUP_VOLUMEN!$C$43*SUP_OPEX!$D$23+SUP_VOLUMEN!$C$44*SUP_OPEX!$E$23+SUP_OVERHEAD!$C$12),0)</f>
        <v>0</v>
      </c>
      <c r="BQ27" s="77">
        <f>IF(BQ4=1,SUP_CONTROL!$C$18*(SUP_VOLUMEN!$C$43*SUP_OPEX!$D$23+SUP_VOLUMEN!$C$44*SUP_OPEX!$E$23+SUP_OVERHEAD!$C$12),0)</f>
        <v>0</v>
      </c>
      <c r="BR27" s="77">
        <f>IF(BR4=1,SUP_CONTROL!$C$18*(SUP_VOLUMEN!$C$43*SUP_OPEX!$D$23+SUP_VOLUMEN!$C$44*SUP_OPEX!$E$23+SUP_OVERHEAD!$C$12),0)</f>
        <v>0</v>
      </c>
      <c r="BS27" s="77">
        <f>IF(BS4=1,SUP_CONTROL!$C$18*(SUP_VOLUMEN!$C$43*SUP_OPEX!$D$23+SUP_VOLUMEN!$C$44*SUP_OPEX!$E$23+SUP_OVERHEAD!$C$12),0)</f>
        <v>0</v>
      </c>
      <c r="BT27" s="77">
        <f>IF(BT4=1,SUP_CONTROL!$C$18*(SUP_VOLUMEN!$C$43*SUP_OPEX!$D$23+SUP_VOLUMEN!$C$44*SUP_OPEX!$E$23+SUP_OVERHEAD!$C$12),0)</f>
        <v>0</v>
      </c>
      <c r="BU27" s="77">
        <f>IF(BU4=1,SUP_CONTROL!$C$18*(SUP_VOLUMEN!$C$43*SUP_OPEX!$D$23+SUP_VOLUMEN!$C$44*SUP_OPEX!$E$23+SUP_OVERHEAD!$C$12),0)</f>
        <v>0</v>
      </c>
      <c r="BV27" s="77">
        <f>IF(BV4=1,SUP_CONTROL!$C$18*(SUP_VOLUMEN!$C$43*SUP_OPEX!$D$23+SUP_VOLUMEN!$C$44*SUP_OPEX!$E$23+SUP_OVERHEAD!$C$12),0)</f>
        <v>0</v>
      </c>
      <c r="BW27" s="77">
        <f>IF(BW4=1,SUP_CONTROL!$C$18*(SUP_VOLUMEN!$C$43*SUP_OPEX!$D$23+SUP_VOLUMEN!$C$44*SUP_OPEX!$E$23+SUP_OVERHEAD!$C$12),0)</f>
        <v>0</v>
      </c>
      <c r="BX27" s="77">
        <f>IF(BX4=1,SUP_CONTROL!$C$18*(SUP_VOLUMEN!$C$43*SUP_OPEX!$D$23+SUP_VOLUMEN!$C$44*SUP_OPEX!$E$23+SUP_OVERHEAD!$C$12),0)</f>
        <v>0</v>
      </c>
      <c r="BY27" s="77">
        <f>IF(BY4=1,SUP_CONTROL!$C$18*(SUP_VOLUMEN!$C$43*SUP_OPEX!$D$23+SUP_VOLUMEN!$C$44*SUP_OPEX!$E$23+SUP_OVERHEAD!$C$12),0)</f>
        <v>0</v>
      </c>
      <c r="BZ27" s="77">
        <f>IF(BZ4=1,SUP_CONTROL!$C$18*(SUP_VOLUMEN!$C$43*SUP_OPEX!$D$23+SUP_VOLUMEN!$C$44*SUP_OPEX!$E$23+SUP_OVERHEAD!$C$12),0)</f>
        <v>0</v>
      </c>
      <c r="CA27" s="77">
        <f>IF(CA4=1,SUP_CONTROL!$C$18*(SUP_VOLUMEN!$C$43*SUP_OPEX!$D$23+SUP_VOLUMEN!$C$44*SUP_OPEX!$E$23+SUP_OVERHEAD!$C$12),0)</f>
        <v>0</v>
      </c>
      <c r="CB27" s="77">
        <f>IF(CB4=1,SUP_CONTROL!$C$18*(SUP_VOLUMEN!$C$43*SUP_OPEX!$D$23+SUP_VOLUMEN!$C$44*SUP_OPEX!$E$23+SUP_OVERHEAD!$C$12),0)</f>
        <v>0</v>
      </c>
      <c r="CC27" s="77">
        <f>IF(CC4=1,SUP_CONTROL!$C$18*(SUP_VOLUMEN!$C$43*SUP_OPEX!$D$23+SUP_VOLUMEN!$C$44*SUP_OPEX!$E$23+SUP_OVERHEAD!$C$12),0)</f>
        <v>0</v>
      </c>
      <c r="CD27" s="77">
        <f>IF(CD4=1,SUP_CONTROL!$C$18*(SUP_VOLUMEN!$C$43*SUP_OPEX!$D$23+SUP_VOLUMEN!$C$44*SUP_OPEX!$E$23+SUP_OVERHEAD!$C$12),0)</f>
        <v>0</v>
      </c>
      <c r="CE27" s="77">
        <f>IF(CE4=1,SUP_CONTROL!$C$18*(SUP_VOLUMEN!$C$43*SUP_OPEX!$D$23+SUP_VOLUMEN!$C$44*SUP_OPEX!$E$23+SUP_OVERHEAD!$C$12),0)</f>
        <v>0</v>
      </c>
      <c r="CF27" s="77">
        <f>IF(CF4=1,SUP_CONTROL!$C$18*(SUP_VOLUMEN!$C$43*SUP_OPEX!$D$23+SUP_VOLUMEN!$C$44*SUP_OPEX!$E$23+SUP_OVERHEAD!$C$12),0)</f>
        <v>0</v>
      </c>
      <c r="CG27" s="77">
        <f>IF(CG4=1,SUP_CONTROL!$C$18*(SUP_VOLUMEN!$C$43*SUP_OPEX!$D$23+SUP_VOLUMEN!$C$44*SUP_OPEX!$E$23+SUP_OVERHEAD!$C$12),0)</f>
        <v>0</v>
      </c>
      <c r="CH27" s="77">
        <f>IF(CH4=1,SUP_CONTROL!$C$18*(SUP_VOLUMEN!$C$43*SUP_OPEX!$D$23+SUP_VOLUMEN!$C$44*SUP_OPEX!$E$23+SUP_OVERHEAD!$C$12),0)</f>
        <v>0</v>
      </c>
      <c r="CI27" s="77">
        <f>IF(CI4=1,SUP_CONTROL!$C$18*(SUP_VOLUMEN!$C$43*SUP_OPEX!$D$23+SUP_VOLUMEN!$C$44*SUP_OPEX!$E$23+SUP_OVERHEAD!$C$12),0)</f>
        <v>0</v>
      </c>
      <c r="CJ27" s="77">
        <f>IF(CJ4=1,SUP_CONTROL!$C$18*(SUP_VOLUMEN!$C$43*SUP_OPEX!$D$23+SUP_VOLUMEN!$C$44*SUP_OPEX!$E$23+SUP_OVERHEAD!$C$12),0)</f>
        <v>0</v>
      </c>
      <c r="CK27" s="77">
        <f>IF(CK4=1,SUP_CONTROL!$C$18*(SUP_VOLUMEN!$C$43*SUP_OPEX!$D$23+SUP_VOLUMEN!$C$44*SUP_OPEX!$E$23+SUP_OVERHEAD!$C$12),0)</f>
        <v>0</v>
      </c>
      <c r="CL27" s="77">
        <f>IF(CL4=1,SUP_CONTROL!$C$18*(SUP_VOLUMEN!$C$43*SUP_OPEX!$D$23+SUP_VOLUMEN!$C$44*SUP_OPEX!$E$23+SUP_OVERHEAD!$C$12),0)</f>
        <v>0</v>
      </c>
      <c r="CM27" s="77">
        <f>IF(CM4=1,SUP_CONTROL!$C$18*(SUP_VOLUMEN!$C$43*SUP_OPEX!$D$23+SUP_VOLUMEN!$C$44*SUP_OPEX!$E$23+SUP_OVERHEAD!$C$12),0)</f>
        <v>0</v>
      </c>
      <c r="CN27" s="77">
        <f>IF(CN4=1,SUP_CONTROL!$C$18*(SUP_VOLUMEN!$C$43*SUP_OPEX!$D$23+SUP_VOLUMEN!$C$44*SUP_OPEX!$E$23+SUP_OVERHEAD!$C$12),0)</f>
        <v>0</v>
      </c>
      <c r="CO27" s="77">
        <f>IF(CO4=1,SUP_CONTROL!$C$18*(SUP_VOLUMEN!$C$43*SUP_OPEX!$D$23+SUP_VOLUMEN!$C$44*SUP_OPEX!$E$23+SUP_OVERHEAD!$C$12),0)</f>
        <v>0</v>
      </c>
      <c r="CP27" s="77">
        <f>IF(CP4=1,SUP_CONTROL!$C$18*(SUP_VOLUMEN!$C$43*SUP_OPEX!$D$23+SUP_VOLUMEN!$C$44*SUP_OPEX!$E$23+SUP_OVERHEAD!$C$12),0)</f>
        <v>0</v>
      </c>
      <c r="CQ27" s="77">
        <f>IF(CQ4=1,SUP_CONTROL!$C$18*(SUP_VOLUMEN!$C$43*SUP_OPEX!$D$23+SUP_VOLUMEN!$C$44*SUP_OPEX!$E$23+SUP_OVERHEAD!$C$12),0)</f>
        <v>0</v>
      </c>
      <c r="CR27" s="77">
        <f>IF(CR4=1,SUP_CONTROL!$C$18*(SUP_VOLUMEN!$C$43*SUP_OPEX!$D$23+SUP_VOLUMEN!$C$44*SUP_OPEX!$E$23+SUP_OVERHEAD!$C$12),0)</f>
        <v>0</v>
      </c>
      <c r="CS27" s="77">
        <f>IF(CS4=1,SUP_CONTROL!$C$18*(SUP_VOLUMEN!$C$43*SUP_OPEX!$D$23+SUP_VOLUMEN!$C$44*SUP_OPEX!$E$23+SUP_OVERHEAD!$C$12),0)</f>
        <v>0</v>
      </c>
      <c r="CT27" s="77">
        <f>IF(CT4=1,SUP_CONTROL!$C$18*(SUP_VOLUMEN!$C$43*SUP_OPEX!$D$23+SUP_VOLUMEN!$C$44*SUP_OPEX!$E$23+SUP_OVERHEAD!$C$12),0)</f>
        <v>0</v>
      </c>
      <c r="CU27" s="77">
        <f>IF(CU4=1,SUP_CONTROL!$C$18*(SUP_VOLUMEN!$C$43*SUP_OPEX!$D$23+SUP_VOLUMEN!$C$44*SUP_OPEX!$E$23+SUP_OVERHEAD!$C$12),0)</f>
        <v>0</v>
      </c>
      <c r="CV27" s="77">
        <f>IF(CV4=1,SUP_CONTROL!$C$18*(SUP_VOLUMEN!$C$43*SUP_OPEX!$D$23+SUP_VOLUMEN!$C$44*SUP_OPEX!$E$23+SUP_OVERHEAD!$C$12),0)</f>
        <v>0</v>
      </c>
      <c r="CW27" s="77">
        <f>IF(CW4=1,SUP_CONTROL!$C$18*(SUP_VOLUMEN!$C$43*SUP_OPEX!$D$23+SUP_VOLUMEN!$C$44*SUP_OPEX!$E$23+SUP_OVERHEAD!$C$12),0)</f>
        <v>0</v>
      </c>
      <c r="CX27" s="77">
        <f>IF(CX4=1,SUP_CONTROL!$C$18*(SUP_VOLUMEN!$C$43*SUP_OPEX!$D$23+SUP_VOLUMEN!$C$44*SUP_OPEX!$E$23+SUP_OVERHEAD!$C$12),0)</f>
        <v>0</v>
      </c>
      <c r="CY27" s="77">
        <f>IF(CY4=1,SUP_CONTROL!$C$18*(SUP_VOLUMEN!$C$43*SUP_OPEX!$D$23+SUP_VOLUMEN!$C$44*SUP_OPEX!$E$23+SUP_OVERHEAD!$C$12),0)</f>
        <v>0</v>
      </c>
      <c r="CZ27" s="77">
        <f>IF(CZ4=1,SUP_CONTROL!$C$18*(SUP_VOLUMEN!$C$43*SUP_OPEX!$D$23+SUP_VOLUMEN!$C$44*SUP_OPEX!$E$23+SUP_OVERHEAD!$C$12),0)</f>
        <v>0</v>
      </c>
      <c r="DA27" s="77">
        <f>IF(DA4=1,SUP_CONTROL!$C$18*(SUP_VOLUMEN!$C$43*SUP_OPEX!$D$23+SUP_VOLUMEN!$C$44*SUP_OPEX!$E$23+SUP_OVERHEAD!$C$12),0)</f>
        <v>0</v>
      </c>
      <c r="DB27" s="77">
        <f>IF(DB4=1,SUP_CONTROL!$C$18*(SUP_VOLUMEN!$C$43*SUP_OPEX!$D$23+SUP_VOLUMEN!$C$44*SUP_OPEX!$E$23+SUP_OVERHEAD!$C$12),0)</f>
        <v>0</v>
      </c>
      <c r="DC27" s="77">
        <f>IF(DC4=1,SUP_CONTROL!$C$18*(SUP_VOLUMEN!$C$43*SUP_OPEX!$D$23+SUP_VOLUMEN!$C$44*SUP_OPEX!$E$23+SUP_OVERHEAD!$C$12),0)</f>
        <v>0</v>
      </c>
      <c r="DD27" s="77">
        <f>IF(DD4=1,SUP_CONTROL!$C$18*(SUP_VOLUMEN!$C$43*SUP_OPEX!$D$23+SUP_VOLUMEN!$C$44*SUP_OPEX!$E$23+SUP_OVERHEAD!$C$12),0)</f>
        <v>0</v>
      </c>
      <c r="DE27" s="77">
        <f>IF(DE4=1,SUP_CONTROL!$C$18*(SUP_VOLUMEN!$C$43*SUP_OPEX!$D$23+SUP_VOLUMEN!$C$44*SUP_OPEX!$E$23+SUP_OVERHEAD!$C$12),0)</f>
        <v>0</v>
      </c>
      <c r="DF27" s="77">
        <f>IF(DF4=1,SUP_CONTROL!$C$18*(SUP_VOLUMEN!$C$43*SUP_OPEX!$D$23+SUP_VOLUMEN!$C$44*SUP_OPEX!$E$23+SUP_OVERHEAD!$C$12),0)</f>
        <v>0</v>
      </c>
      <c r="DG27" s="77">
        <f>IF(DG4=1,SUP_CONTROL!$C$18*(SUP_VOLUMEN!$C$43*SUP_OPEX!$D$23+SUP_VOLUMEN!$C$44*SUP_OPEX!$E$23+SUP_OVERHEAD!$C$12),0)</f>
        <v>0</v>
      </c>
      <c r="DH27" s="77">
        <f>IF(DH4=1,SUP_CONTROL!$C$18*(SUP_VOLUMEN!$C$43*SUP_OPEX!$D$23+SUP_VOLUMEN!$C$44*SUP_OPEX!$E$23+SUP_OVERHEAD!$C$12),0)</f>
        <v>0</v>
      </c>
      <c r="DI27" s="77">
        <f>IF(DI4=1,SUP_CONTROL!$C$18*(SUP_VOLUMEN!$C$43*SUP_OPEX!$D$23+SUP_VOLUMEN!$C$44*SUP_OPEX!$E$23+SUP_OVERHEAD!$C$12),0)</f>
        <v>0</v>
      </c>
      <c r="DJ27" s="77">
        <f>IF(DJ4=1,SUP_CONTROL!$C$18*(SUP_VOLUMEN!$C$43*SUP_OPEX!$D$23+SUP_VOLUMEN!$C$44*SUP_OPEX!$E$23+SUP_OVERHEAD!$C$12),0)</f>
        <v>0</v>
      </c>
      <c r="DK27" s="77">
        <f>IF(DK4=1,SUP_CONTROL!$C$18*(SUP_VOLUMEN!$C$43*SUP_OPEX!$D$23+SUP_VOLUMEN!$C$44*SUP_OPEX!$E$23+SUP_OVERHEAD!$C$12),0)</f>
        <v>0</v>
      </c>
      <c r="DL27" s="77">
        <f>IF(DL4=1,SUP_CONTROL!$C$18*(SUP_VOLUMEN!$C$43*SUP_OPEX!$D$23+SUP_VOLUMEN!$C$44*SUP_OPEX!$E$23+SUP_OVERHEAD!$C$12),0)</f>
        <v>0</v>
      </c>
      <c r="DM27" s="77">
        <f>IF(DM4=1,SUP_CONTROL!$C$18*(SUP_VOLUMEN!$C$43*SUP_OPEX!$D$23+SUP_VOLUMEN!$C$44*SUP_OPEX!$E$23+SUP_OVERHEAD!$C$12),0)</f>
        <v>0</v>
      </c>
      <c r="DN27" s="77">
        <f>IF(DN4=1,SUP_CONTROL!$C$18*(SUP_VOLUMEN!$C$43*SUP_OPEX!$D$23+SUP_VOLUMEN!$C$44*SUP_OPEX!$E$23+SUP_OVERHEAD!$C$12),0)</f>
        <v>0</v>
      </c>
      <c r="DO27" s="77">
        <f>IF(DO4=1,SUP_CONTROL!$C$18*(SUP_VOLUMEN!$C$43*SUP_OPEX!$D$23+SUP_VOLUMEN!$C$44*SUP_OPEX!$E$23+SUP_OVERHEAD!$C$12),0)</f>
        <v>0</v>
      </c>
      <c r="DP27" s="77">
        <f>IF(DP4=1,SUP_CONTROL!$C$18*(SUP_VOLUMEN!$C$43*SUP_OPEX!$D$23+SUP_VOLUMEN!$C$44*SUP_OPEX!$E$23+SUP_OVERHEAD!$C$12),0)</f>
        <v>0</v>
      </c>
      <c r="DQ27" s="77">
        <f>IF(DQ4=1,SUP_CONTROL!$C$18*(SUP_VOLUMEN!$C$43*SUP_OPEX!$D$23+SUP_VOLUMEN!$C$44*SUP_OPEX!$E$23+SUP_OVERHEAD!$C$12),0)</f>
        <v>0</v>
      </c>
      <c r="DR27" s="77">
        <f>IF(DR4=1,SUP_CONTROL!$C$18*(SUP_VOLUMEN!$C$43*SUP_OPEX!$D$23+SUP_VOLUMEN!$C$44*SUP_OPEX!$E$23+SUP_OVERHEAD!$C$12),0)</f>
        <v>0</v>
      </c>
      <c r="DS27" s="77">
        <f>IF(DS4=1,SUP_CONTROL!$C$18*(SUP_VOLUMEN!$C$43*SUP_OPEX!$D$23+SUP_VOLUMEN!$C$44*SUP_OPEX!$E$23+SUP_OVERHEAD!$C$12),0)</f>
        <v>0</v>
      </c>
    </row>
    <row r="28" spans="1:123" ht="15" customHeight="1" x14ac:dyDescent="0.2">
      <c r="B28" s="37" t="s">
        <v>908</v>
      </c>
      <c r="D28" s="77">
        <f>D25+D26</f>
        <v>383644.15466666664</v>
      </c>
      <c r="E28" s="77">
        <f t="shared" ref="E28:AJ28" si="10">D28+E25+E26</f>
        <v>812288.30933333328</v>
      </c>
      <c r="F28" s="77">
        <f t="shared" si="10"/>
        <v>1195932.4639999999</v>
      </c>
      <c r="G28" s="77">
        <f t="shared" si="10"/>
        <v>1427400.42325</v>
      </c>
      <c r="H28" s="77">
        <f t="shared" si="10"/>
        <v>1705222.4677500001</v>
      </c>
      <c r="I28" s="77">
        <f t="shared" si="10"/>
        <v>1705222.4677500001</v>
      </c>
      <c r="J28" s="77">
        <f t="shared" si="10"/>
        <v>1705222.4677500001</v>
      </c>
      <c r="K28" s="77">
        <f t="shared" si="10"/>
        <v>1705222.4677500001</v>
      </c>
      <c r="L28" s="77">
        <f t="shared" si="10"/>
        <v>1705222.4677500001</v>
      </c>
      <c r="M28" s="77">
        <f t="shared" si="10"/>
        <v>1705222.4677500001</v>
      </c>
      <c r="N28" s="77">
        <f t="shared" si="10"/>
        <v>1705222.4677500001</v>
      </c>
      <c r="O28" s="77">
        <f t="shared" si="10"/>
        <v>1705222.4677500001</v>
      </c>
      <c r="P28" s="77">
        <f t="shared" si="10"/>
        <v>1705222.4677500001</v>
      </c>
      <c r="Q28" s="77">
        <f t="shared" si="10"/>
        <v>1705222.4677500001</v>
      </c>
      <c r="R28" s="77">
        <f t="shared" si="10"/>
        <v>1705222.4677500001</v>
      </c>
      <c r="S28" s="77">
        <f t="shared" si="10"/>
        <v>1705222.4677500001</v>
      </c>
      <c r="T28" s="77">
        <f t="shared" si="10"/>
        <v>1705222.4677500001</v>
      </c>
      <c r="U28" s="77">
        <f t="shared" si="10"/>
        <v>1705222.4677500001</v>
      </c>
      <c r="V28" s="77">
        <f t="shared" si="10"/>
        <v>1705222.4677500001</v>
      </c>
      <c r="W28" s="77">
        <f t="shared" si="10"/>
        <v>1705222.4677500001</v>
      </c>
      <c r="X28" s="77">
        <f t="shared" si="10"/>
        <v>1705222.4677500001</v>
      </c>
      <c r="Y28" s="77">
        <f t="shared" si="10"/>
        <v>1705222.4677500001</v>
      </c>
      <c r="Z28" s="77">
        <f t="shared" si="10"/>
        <v>1705222.4677500001</v>
      </c>
      <c r="AA28" s="77">
        <f t="shared" si="10"/>
        <v>1705222.4677500001</v>
      </c>
      <c r="AB28" s="77">
        <f t="shared" si="10"/>
        <v>1705222.4677500001</v>
      </c>
      <c r="AC28" s="77">
        <f t="shared" si="10"/>
        <v>1705222.4677500001</v>
      </c>
      <c r="AD28" s="77">
        <f t="shared" si="10"/>
        <v>1705222.4677500001</v>
      </c>
      <c r="AE28" s="77">
        <f t="shared" si="10"/>
        <v>1705222.4677500001</v>
      </c>
      <c r="AF28" s="77">
        <f t="shared" si="10"/>
        <v>1705222.4677500001</v>
      </c>
      <c r="AG28" s="77">
        <f t="shared" si="10"/>
        <v>1705222.4677500001</v>
      </c>
      <c r="AH28" s="77">
        <f t="shared" si="10"/>
        <v>1705222.4677500001</v>
      </c>
      <c r="AI28" s="77">
        <f t="shared" si="10"/>
        <v>1705222.4677500001</v>
      </c>
      <c r="AJ28" s="77">
        <f t="shared" si="10"/>
        <v>1705222.4677500001</v>
      </c>
      <c r="AK28" s="77">
        <f t="shared" ref="AK28:BP28" si="11">AJ28+AK25+AK26</f>
        <v>1705222.4677500001</v>
      </c>
      <c r="AL28" s="77">
        <f t="shared" si="11"/>
        <v>1705222.4677500001</v>
      </c>
      <c r="AM28" s="77">
        <f t="shared" si="11"/>
        <v>1705222.4677500001</v>
      </c>
      <c r="AN28" s="77">
        <f t="shared" si="11"/>
        <v>1705222.4677500001</v>
      </c>
      <c r="AO28" s="77">
        <f t="shared" si="11"/>
        <v>1705222.4677500001</v>
      </c>
      <c r="AP28" s="77">
        <f t="shared" si="11"/>
        <v>1705222.4677500001</v>
      </c>
      <c r="AQ28" s="77">
        <f t="shared" si="11"/>
        <v>1705222.4677500001</v>
      </c>
      <c r="AR28" s="77">
        <f t="shared" si="11"/>
        <v>1705222.4677500001</v>
      </c>
      <c r="AS28" s="77">
        <f t="shared" si="11"/>
        <v>1705222.4677500001</v>
      </c>
      <c r="AT28" s="77">
        <f t="shared" si="11"/>
        <v>1705222.4677500001</v>
      </c>
      <c r="AU28" s="77">
        <f t="shared" si="11"/>
        <v>1705222.4677500001</v>
      </c>
      <c r="AV28" s="77">
        <f t="shared" si="11"/>
        <v>1705222.4677500001</v>
      </c>
      <c r="AW28" s="77">
        <f t="shared" si="11"/>
        <v>1705222.4677500001</v>
      </c>
      <c r="AX28" s="77">
        <f t="shared" si="11"/>
        <v>1705222.4677500001</v>
      </c>
      <c r="AY28" s="77">
        <f t="shared" si="11"/>
        <v>1705222.4677500001</v>
      </c>
      <c r="AZ28" s="77">
        <f t="shared" si="11"/>
        <v>1705222.4677500001</v>
      </c>
      <c r="BA28" s="77">
        <f t="shared" si="11"/>
        <v>1705222.4677500001</v>
      </c>
      <c r="BB28" s="77">
        <f t="shared" si="11"/>
        <v>1705222.4677500001</v>
      </c>
      <c r="BC28" s="77">
        <f t="shared" si="11"/>
        <v>1705222.4677500001</v>
      </c>
      <c r="BD28" s="77">
        <f t="shared" si="11"/>
        <v>1705222.4677500001</v>
      </c>
      <c r="BE28" s="77">
        <f t="shared" si="11"/>
        <v>1705222.4677500001</v>
      </c>
      <c r="BF28" s="77">
        <f t="shared" si="11"/>
        <v>1705222.4677500001</v>
      </c>
      <c r="BG28" s="77">
        <f t="shared" si="11"/>
        <v>1705222.4677500001</v>
      </c>
      <c r="BH28" s="77">
        <f t="shared" si="11"/>
        <v>1705222.4677500001</v>
      </c>
      <c r="BI28" s="77">
        <f t="shared" si="11"/>
        <v>1705222.4677500001</v>
      </c>
      <c r="BJ28" s="77">
        <f t="shared" si="11"/>
        <v>1705222.4677500001</v>
      </c>
      <c r="BK28" s="77">
        <f t="shared" si="11"/>
        <v>1705222.4677500001</v>
      </c>
      <c r="BL28" s="77">
        <f t="shared" si="11"/>
        <v>1705222.4677500001</v>
      </c>
      <c r="BM28" s="77">
        <f t="shared" si="11"/>
        <v>1705222.4677500001</v>
      </c>
      <c r="BN28" s="77">
        <f t="shared" si="11"/>
        <v>1705222.4677500001</v>
      </c>
      <c r="BO28" s="77">
        <f t="shared" si="11"/>
        <v>1705222.4677500001</v>
      </c>
      <c r="BP28" s="77">
        <f t="shared" si="11"/>
        <v>1705222.4677500001</v>
      </c>
      <c r="BQ28" s="77">
        <f t="shared" ref="BQ28:CV28" si="12">BP28+BQ25+BQ26</f>
        <v>1705222.4677500001</v>
      </c>
      <c r="BR28" s="77">
        <f t="shared" si="12"/>
        <v>1705222.4677500001</v>
      </c>
      <c r="BS28" s="77">
        <f t="shared" si="12"/>
        <v>1705222.4677500001</v>
      </c>
      <c r="BT28" s="77">
        <f t="shared" si="12"/>
        <v>1705222.4677500001</v>
      </c>
      <c r="BU28" s="77">
        <f t="shared" si="12"/>
        <v>1705222.4677500001</v>
      </c>
      <c r="BV28" s="77">
        <f t="shared" si="12"/>
        <v>1705222.4677500001</v>
      </c>
      <c r="BW28" s="77">
        <f t="shared" si="12"/>
        <v>1705222.4677500001</v>
      </c>
      <c r="BX28" s="77">
        <f t="shared" si="12"/>
        <v>1705222.4677500001</v>
      </c>
      <c r="BY28" s="77">
        <f t="shared" si="12"/>
        <v>1705222.4677500001</v>
      </c>
      <c r="BZ28" s="77">
        <f t="shared" si="12"/>
        <v>1705222.4677500001</v>
      </c>
      <c r="CA28" s="77">
        <f t="shared" si="12"/>
        <v>1705222.4677500001</v>
      </c>
      <c r="CB28" s="77">
        <f t="shared" si="12"/>
        <v>1705222.4677500001</v>
      </c>
      <c r="CC28" s="77">
        <f t="shared" si="12"/>
        <v>1705222.4677500001</v>
      </c>
      <c r="CD28" s="77">
        <f t="shared" si="12"/>
        <v>1705222.4677500001</v>
      </c>
      <c r="CE28" s="77">
        <f t="shared" si="12"/>
        <v>1705222.4677500001</v>
      </c>
      <c r="CF28" s="77">
        <f t="shared" si="12"/>
        <v>1705222.4677500001</v>
      </c>
      <c r="CG28" s="77">
        <f t="shared" si="12"/>
        <v>1705222.4677500001</v>
      </c>
      <c r="CH28" s="77">
        <f t="shared" si="12"/>
        <v>1705222.4677500001</v>
      </c>
      <c r="CI28" s="77">
        <f t="shared" si="12"/>
        <v>1705222.4677500001</v>
      </c>
      <c r="CJ28" s="77">
        <f t="shared" si="12"/>
        <v>1705222.4677500001</v>
      </c>
      <c r="CK28" s="77">
        <f t="shared" si="12"/>
        <v>1705222.4677500001</v>
      </c>
      <c r="CL28" s="77">
        <f t="shared" si="12"/>
        <v>1705222.4677500001</v>
      </c>
      <c r="CM28" s="77">
        <f t="shared" si="12"/>
        <v>1705222.4677500001</v>
      </c>
      <c r="CN28" s="77">
        <f t="shared" si="12"/>
        <v>1705222.4677500001</v>
      </c>
      <c r="CO28" s="77">
        <f t="shared" si="12"/>
        <v>1705222.4677500001</v>
      </c>
      <c r="CP28" s="77">
        <f t="shared" si="12"/>
        <v>1705222.4677500001</v>
      </c>
      <c r="CQ28" s="77">
        <f t="shared" si="12"/>
        <v>1705222.4677500001</v>
      </c>
      <c r="CR28" s="77">
        <f t="shared" si="12"/>
        <v>1705222.4677500001</v>
      </c>
      <c r="CS28" s="77">
        <f t="shared" si="12"/>
        <v>1705222.4677500001</v>
      </c>
      <c r="CT28" s="77">
        <f t="shared" si="12"/>
        <v>1705222.4677500001</v>
      </c>
      <c r="CU28" s="77">
        <f t="shared" si="12"/>
        <v>1705222.4677500001</v>
      </c>
      <c r="CV28" s="77">
        <f t="shared" si="12"/>
        <v>1705222.4677500001</v>
      </c>
      <c r="CW28" s="77">
        <f t="shared" ref="CW28:DS28" si="13">CV28+CW25+CW26</f>
        <v>1705222.4677500001</v>
      </c>
      <c r="CX28" s="77">
        <f t="shared" si="13"/>
        <v>1705222.4677500001</v>
      </c>
      <c r="CY28" s="77">
        <f t="shared" si="13"/>
        <v>1705222.4677500001</v>
      </c>
      <c r="CZ28" s="77">
        <f t="shared" si="13"/>
        <v>1705222.4677500001</v>
      </c>
      <c r="DA28" s="77">
        <f t="shared" si="13"/>
        <v>1705222.4677500001</v>
      </c>
      <c r="DB28" s="77">
        <f t="shared" si="13"/>
        <v>1705222.4677500001</v>
      </c>
      <c r="DC28" s="77">
        <f t="shared" si="13"/>
        <v>1705222.4677500001</v>
      </c>
      <c r="DD28" s="77">
        <f t="shared" si="13"/>
        <v>1705222.4677500001</v>
      </c>
      <c r="DE28" s="77">
        <f t="shared" si="13"/>
        <v>1705222.4677500001</v>
      </c>
      <c r="DF28" s="77">
        <f t="shared" si="13"/>
        <v>1705222.4677500001</v>
      </c>
      <c r="DG28" s="77">
        <f t="shared" si="13"/>
        <v>1705222.4677500001</v>
      </c>
      <c r="DH28" s="77">
        <f t="shared" si="13"/>
        <v>1705222.4677500001</v>
      </c>
      <c r="DI28" s="77">
        <f t="shared" si="13"/>
        <v>1705222.4677500001</v>
      </c>
      <c r="DJ28" s="77">
        <f t="shared" si="13"/>
        <v>1705222.4677500001</v>
      </c>
      <c r="DK28" s="77">
        <f t="shared" si="13"/>
        <v>1705222.4677500001</v>
      </c>
      <c r="DL28" s="77">
        <f t="shared" si="13"/>
        <v>1705222.4677500001</v>
      </c>
      <c r="DM28" s="77">
        <f t="shared" si="13"/>
        <v>1705222.4677500001</v>
      </c>
      <c r="DN28" s="77">
        <f t="shared" si="13"/>
        <v>1705222.4677500001</v>
      </c>
      <c r="DO28" s="77">
        <f t="shared" si="13"/>
        <v>1705222.4677500001</v>
      </c>
      <c r="DP28" s="77">
        <f t="shared" si="13"/>
        <v>1705222.4677500001</v>
      </c>
      <c r="DQ28" s="77">
        <f t="shared" si="13"/>
        <v>1705222.4677500001</v>
      </c>
      <c r="DR28" s="77">
        <f t="shared" si="13"/>
        <v>1705222.4677500001</v>
      </c>
      <c r="DS28" s="77">
        <f t="shared" si="13"/>
        <v>1705222.4677500001</v>
      </c>
    </row>
    <row r="29" spans="1:123" ht="15" customHeight="1" x14ac:dyDescent="0.2">
      <c r="B29" s="37" t="s">
        <v>909</v>
      </c>
      <c r="D29" s="77">
        <f>D28/(SUP_OPEX!$C$43*12)</f>
        <v>3197.034622222222</v>
      </c>
      <c r="E29" s="77">
        <f>E28/(SUP_OPEX!$C$43*12)</f>
        <v>6769.0692444444439</v>
      </c>
      <c r="F29" s="77">
        <f>F28/(SUP_OPEX!$C$43*12)</f>
        <v>9966.1038666666664</v>
      </c>
      <c r="G29" s="77">
        <f>G28/(SUP_OPEX!$C$43*12)</f>
        <v>11895.003527083334</v>
      </c>
      <c r="H29" s="77">
        <f>H28/(SUP_OPEX!$C$43*12)</f>
        <v>14210.18723125</v>
      </c>
      <c r="I29" s="77">
        <f>I28/(SUP_OPEX!$C$43*12)</f>
        <v>14210.18723125</v>
      </c>
      <c r="J29" s="77">
        <f>J28/(SUP_OPEX!$C$43*12)</f>
        <v>14210.18723125</v>
      </c>
      <c r="K29" s="77">
        <f>K28/(SUP_OPEX!$C$43*12)</f>
        <v>14210.18723125</v>
      </c>
      <c r="L29" s="77">
        <f>L28/(SUP_OPEX!$C$43*12)</f>
        <v>14210.18723125</v>
      </c>
      <c r="M29" s="77">
        <f>M28/(SUP_OPEX!$C$43*12)</f>
        <v>14210.18723125</v>
      </c>
      <c r="N29" s="77">
        <f>N28/(SUP_OPEX!$C$43*12)</f>
        <v>14210.18723125</v>
      </c>
      <c r="O29" s="77">
        <f>O28/(SUP_OPEX!$C$43*12)</f>
        <v>14210.18723125</v>
      </c>
      <c r="P29" s="77">
        <f>P28/(SUP_OPEX!$C$43*12)</f>
        <v>14210.18723125</v>
      </c>
      <c r="Q29" s="77">
        <f>Q28/(SUP_OPEX!$C$43*12)</f>
        <v>14210.18723125</v>
      </c>
      <c r="R29" s="77">
        <f>R28/(SUP_OPEX!$C$43*12)</f>
        <v>14210.18723125</v>
      </c>
      <c r="S29" s="77">
        <f>S28/(SUP_OPEX!$C$43*12)</f>
        <v>14210.18723125</v>
      </c>
      <c r="T29" s="77">
        <f>T28/(SUP_OPEX!$C$43*12)</f>
        <v>14210.18723125</v>
      </c>
      <c r="U29" s="77">
        <f>U28/(SUP_OPEX!$C$43*12)</f>
        <v>14210.18723125</v>
      </c>
      <c r="V29" s="77">
        <f>V28/(SUP_OPEX!$C$43*12)</f>
        <v>14210.18723125</v>
      </c>
      <c r="W29" s="77">
        <f>W28/(SUP_OPEX!$C$43*12)</f>
        <v>14210.18723125</v>
      </c>
      <c r="X29" s="77">
        <f>X28/(SUP_OPEX!$C$43*12)</f>
        <v>14210.18723125</v>
      </c>
      <c r="Y29" s="77">
        <f>Y28/(SUP_OPEX!$C$43*12)</f>
        <v>14210.18723125</v>
      </c>
      <c r="Z29" s="77">
        <f>Z28/(SUP_OPEX!$C$43*12)</f>
        <v>14210.18723125</v>
      </c>
      <c r="AA29" s="77">
        <f>AA28/(SUP_OPEX!$C$43*12)</f>
        <v>14210.18723125</v>
      </c>
      <c r="AB29" s="77">
        <f>AB28/(SUP_OPEX!$C$43*12)</f>
        <v>14210.18723125</v>
      </c>
      <c r="AC29" s="77">
        <f>AC28/(SUP_OPEX!$C$43*12)</f>
        <v>14210.18723125</v>
      </c>
      <c r="AD29" s="77">
        <f>AD28/(SUP_OPEX!$C$43*12)</f>
        <v>14210.18723125</v>
      </c>
      <c r="AE29" s="77">
        <f>AE28/(SUP_OPEX!$C$43*12)</f>
        <v>14210.18723125</v>
      </c>
      <c r="AF29" s="77">
        <f>AF28/(SUP_OPEX!$C$43*12)</f>
        <v>14210.18723125</v>
      </c>
      <c r="AG29" s="77">
        <f>AG28/(SUP_OPEX!$C$43*12)</f>
        <v>14210.18723125</v>
      </c>
      <c r="AH29" s="77">
        <f>AH28/(SUP_OPEX!$C$43*12)</f>
        <v>14210.18723125</v>
      </c>
      <c r="AI29" s="77">
        <f>AI28/(SUP_OPEX!$C$43*12)</f>
        <v>14210.18723125</v>
      </c>
      <c r="AJ29" s="77">
        <f>AJ28/(SUP_OPEX!$C$43*12)</f>
        <v>14210.18723125</v>
      </c>
      <c r="AK29" s="77">
        <f>AK28/(SUP_OPEX!$C$43*12)</f>
        <v>14210.18723125</v>
      </c>
      <c r="AL29" s="77">
        <f>AL28/(SUP_OPEX!$C$43*12)</f>
        <v>14210.18723125</v>
      </c>
      <c r="AM29" s="77">
        <f>AM28/(SUP_OPEX!$C$43*12)</f>
        <v>14210.18723125</v>
      </c>
      <c r="AN29" s="77">
        <f>AN28/(SUP_OPEX!$C$43*12)</f>
        <v>14210.18723125</v>
      </c>
      <c r="AO29" s="77">
        <f>AO28/(SUP_OPEX!$C$43*12)</f>
        <v>14210.18723125</v>
      </c>
      <c r="AP29" s="77">
        <f>AP28/(SUP_OPEX!$C$43*12)</f>
        <v>14210.18723125</v>
      </c>
      <c r="AQ29" s="77">
        <f>AQ28/(SUP_OPEX!$C$43*12)</f>
        <v>14210.18723125</v>
      </c>
      <c r="AR29" s="77">
        <f>AR28/(SUP_OPEX!$C$43*12)</f>
        <v>14210.18723125</v>
      </c>
      <c r="AS29" s="77">
        <f>AS28/(SUP_OPEX!$C$43*12)</f>
        <v>14210.18723125</v>
      </c>
      <c r="AT29" s="77">
        <f>AT28/(SUP_OPEX!$C$43*12)</f>
        <v>14210.18723125</v>
      </c>
      <c r="AU29" s="77">
        <f>AU28/(SUP_OPEX!$C$43*12)</f>
        <v>14210.18723125</v>
      </c>
      <c r="AV29" s="77">
        <f>AV28/(SUP_OPEX!$C$43*12)</f>
        <v>14210.18723125</v>
      </c>
      <c r="AW29" s="77">
        <f>AW28/(SUP_OPEX!$C$43*12)</f>
        <v>14210.18723125</v>
      </c>
      <c r="AX29" s="77">
        <f>AX28/(SUP_OPEX!$C$43*12)</f>
        <v>14210.18723125</v>
      </c>
      <c r="AY29" s="77">
        <f>AY28/(SUP_OPEX!$C$43*12)</f>
        <v>14210.18723125</v>
      </c>
      <c r="AZ29" s="77">
        <f>AZ28/(SUP_OPEX!$C$43*12)</f>
        <v>14210.18723125</v>
      </c>
      <c r="BA29" s="77">
        <f>BA28/(SUP_OPEX!$C$43*12)</f>
        <v>14210.18723125</v>
      </c>
      <c r="BB29" s="77">
        <f>BB28/(SUP_OPEX!$C$43*12)</f>
        <v>14210.18723125</v>
      </c>
      <c r="BC29" s="77">
        <f>BC28/(SUP_OPEX!$C$43*12)</f>
        <v>14210.18723125</v>
      </c>
      <c r="BD29" s="77">
        <f>BD28/(SUP_OPEX!$C$43*12)</f>
        <v>14210.18723125</v>
      </c>
      <c r="BE29" s="77">
        <f>BE28/(SUP_OPEX!$C$43*12)</f>
        <v>14210.18723125</v>
      </c>
      <c r="BF29" s="77">
        <f>BF28/(SUP_OPEX!$C$43*12)</f>
        <v>14210.18723125</v>
      </c>
      <c r="BG29" s="77">
        <f>BG28/(SUP_OPEX!$C$43*12)</f>
        <v>14210.18723125</v>
      </c>
      <c r="BH29" s="77">
        <f>BH28/(SUP_OPEX!$C$43*12)</f>
        <v>14210.18723125</v>
      </c>
      <c r="BI29" s="77">
        <f>BI28/(SUP_OPEX!$C$43*12)</f>
        <v>14210.18723125</v>
      </c>
      <c r="BJ29" s="77">
        <f>BJ28/(SUP_OPEX!$C$43*12)</f>
        <v>14210.18723125</v>
      </c>
      <c r="BK29" s="77">
        <f>BK28/(SUP_OPEX!$C$43*12)</f>
        <v>14210.18723125</v>
      </c>
      <c r="BL29" s="77">
        <f>BL28/(SUP_OPEX!$C$43*12)</f>
        <v>14210.18723125</v>
      </c>
      <c r="BM29" s="77">
        <f>BM28/(SUP_OPEX!$C$43*12)</f>
        <v>14210.18723125</v>
      </c>
      <c r="BN29" s="77">
        <f>BN28/(SUP_OPEX!$C$43*12)</f>
        <v>14210.18723125</v>
      </c>
      <c r="BO29" s="77">
        <f>BO28/(SUP_OPEX!$C$43*12)</f>
        <v>14210.18723125</v>
      </c>
      <c r="BP29" s="77">
        <f>BP28/(SUP_OPEX!$C$43*12)</f>
        <v>14210.18723125</v>
      </c>
      <c r="BQ29" s="77">
        <f>BQ28/(SUP_OPEX!$C$43*12)</f>
        <v>14210.18723125</v>
      </c>
      <c r="BR29" s="77">
        <f>BR28/(SUP_OPEX!$C$43*12)</f>
        <v>14210.18723125</v>
      </c>
      <c r="BS29" s="77">
        <f>BS28/(SUP_OPEX!$C$43*12)</f>
        <v>14210.18723125</v>
      </c>
      <c r="BT29" s="77">
        <f>BT28/(SUP_OPEX!$C$43*12)</f>
        <v>14210.18723125</v>
      </c>
      <c r="BU29" s="77">
        <f>BU28/(SUP_OPEX!$C$43*12)</f>
        <v>14210.18723125</v>
      </c>
      <c r="BV29" s="77">
        <f>BV28/(SUP_OPEX!$C$43*12)</f>
        <v>14210.18723125</v>
      </c>
      <c r="BW29" s="77">
        <f>BW28/(SUP_OPEX!$C$43*12)</f>
        <v>14210.18723125</v>
      </c>
      <c r="BX29" s="77">
        <f>BX28/(SUP_OPEX!$C$43*12)</f>
        <v>14210.18723125</v>
      </c>
      <c r="BY29" s="77">
        <f>BY28/(SUP_OPEX!$C$43*12)</f>
        <v>14210.18723125</v>
      </c>
      <c r="BZ29" s="77">
        <f>BZ28/(SUP_OPEX!$C$43*12)</f>
        <v>14210.18723125</v>
      </c>
      <c r="CA29" s="77">
        <f>CA28/(SUP_OPEX!$C$43*12)</f>
        <v>14210.18723125</v>
      </c>
      <c r="CB29" s="77">
        <f>CB28/(SUP_OPEX!$C$43*12)</f>
        <v>14210.18723125</v>
      </c>
      <c r="CC29" s="77">
        <f>CC28/(SUP_OPEX!$C$43*12)</f>
        <v>14210.18723125</v>
      </c>
      <c r="CD29" s="77">
        <f>CD28/(SUP_OPEX!$C$43*12)</f>
        <v>14210.18723125</v>
      </c>
      <c r="CE29" s="77">
        <f>CE28/(SUP_OPEX!$C$43*12)</f>
        <v>14210.18723125</v>
      </c>
      <c r="CF29" s="77">
        <f>CF28/(SUP_OPEX!$C$43*12)</f>
        <v>14210.18723125</v>
      </c>
      <c r="CG29" s="77">
        <f>CG28/(SUP_OPEX!$C$43*12)</f>
        <v>14210.18723125</v>
      </c>
      <c r="CH29" s="77">
        <f>CH28/(SUP_OPEX!$C$43*12)</f>
        <v>14210.18723125</v>
      </c>
      <c r="CI29" s="77">
        <f>CI28/(SUP_OPEX!$C$43*12)</f>
        <v>14210.18723125</v>
      </c>
      <c r="CJ29" s="77">
        <f>CJ28/(SUP_OPEX!$C$43*12)</f>
        <v>14210.18723125</v>
      </c>
      <c r="CK29" s="77">
        <f>CK28/(SUP_OPEX!$C$43*12)</f>
        <v>14210.18723125</v>
      </c>
      <c r="CL29" s="77">
        <f>CL28/(SUP_OPEX!$C$43*12)</f>
        <v>14210.18723125</v>
      </c>
      <c r="CM29" s="77">
        <f>CM28/(SUP_OPEX!$C$43*12)</f>
        <v>14210.18723125</v>
      </c>
      <c r="CN29" s="77">
        <f>CN28/(SUP_OPEX!$C$43*12)</f>
        <v>14210.18723125</v>
      </c>
      <c r="CO29" s="77">
        <f>CO28/(SUP_OPEX!$C$43*12)</f>
        <v>14210.18723125</v>
      </c>
      <c r="CP29" s="77">
        <f>CP28/(SUP_OPEX!$C$43*12)</f>
        <v>14210.18723125</v>
      </c>
      <c r="CQ29" s="77">
        <f>CQ28/(SUP_OPEX!$C$43*12)</f>
        <v>14210.18723125</v>
      </c>
      <c r="CR29" s="77">
        <f>CR28/(SUP_OPEX!$C$43*12)</f>
        <v>14210.18723125</v>
      </c>
      <c r="CS29" s="77">
        <f>CS28/(SUP_OPEX!$C$43*12)</f>
        <v>14210.18723125</v>
      </c>
      <c r="CT29" s="77">
        <f>CT28/(SUP_OPEX!$C$43*12)</f>
        <v>14210.18723125</v>
      </c>
      <c r="CU29" s="77">
        <f>CU28/(SUP_OPEX!$C$43*12)</f>
        <v>14210.18723125</v>
      </c>
      <c r="CV29" s="77">
        <f>CV28/(SUP_OPEX!$C$43*12)</f>
        <v>14210.18723125</v>
      </c>
      <c r="CW29" s="77">
        <f>CW28/(SUP_OPEX!$C$43*12)</f>
        <v>14210.18723125</v>
      </c>
      <c r="CX29" s="77">
        <f>CX28/(SUP_OPEX!$C$43*12)</f>
        <v>14210.18723125</v>
      </c>
      <c r="CY29" s="77">
        <f>CY28/(SUP_OPEX!$C$43*12)</f>
        <v>14210.18723125</v>
      </c>
      <c r="CZ29" s="77">
        <f>CZ28/(SUP_OPEX!$C$43*12)</f>
        <v>14210.18723125</v>
      </c>
      <c r="DA29" s="77">
        <f>DA28/(SUP_OPEX!$C$43*12)</f>
        <v>14210.18723125</v>
      </c>
      <c r="DB29" s="77">
        <f>DB28/(SUP_OPEX!$C$43*12)</f>
        <v>14210.18723125</v>
      </c>
      <c r="DC29" s="77">
        <f>DC28/(SUP_OPEX!$C$43*12)</f>
        <v>14210.18723125</v>
      </c>
      <c r="DD29" s="77">
        <f>DD28/(SUP_OPEX!$C$43*12)</f>
        <v>14210.18723125</v>
      </c>
      <c r="DE29" s="77">
        <f>DE28/(SUP_OPEX!$C$43*12)</f>
        <v>14210.18723125</v>
      </c>
      <c r="DF29" s="77">
        <f>DF28/(SUP_OPEX!$C$43*12)</f>
        <v>14210.18723125</v>
      </c>
      <c r="DG29" s="77">
        <f>DG28/(SUP_OPEX!$C$43*12)</f>
        <v>14210.18723125</v>
      </c>
      <c r="DH29" s="77">
        <f>DH28/(SUP_OPEX!$C$43*12)</f>
        <v>14210.18723125</v>
      </c>
      <c r="DI29" s="77">
        <f>DI28/(SUP_OPEX!$C$43*12)</f>
        <v>14210.18723125</v>
      </c>
      <c r="DJ29" s="77">
        <f>DJ28/(SUP_OPEX!$C$43*12)</f>
        <v>14210.18723125</v>
      </c>
      <c r="DK29" s="77">
        <f>DK28/(SUP_OPEX!$C$43*12)</f>
        <v>14210.18723125</v>
      </c>
      <c r="DL29" s="77">
        <f>DL28/(SUP_OPEX!$C$43*12)</f>
        <v>14210.18723125</v>
      </c>
      <c r="DM29" s="77">
        <f>DM28/(SUP_OPEX!$C$43*12)</f>
        <v>14210.18723125</v>
      </c>
      <c r="DN29" s="77">
        <f>DN28/(SUP_OPEX!$C$43*12)</f>
        <v>14210.18723125</v>
      </c>
      <c r="DO29" s="77">
        <f>DO28/(SUP_OPEX!$C$43*12)</f>
        <v>14210.18723125</v>
      </c>
      <c r="DP29" s="77">
        <f>DP28/(SUP_OPEX!$C$43*12)</f>
        <v>14210.18723125</v>
      </c>
      <c r="DQ29" s="77">
        <f>DQ28/(SUP_OPEX!$C$43*12)</f>
        <v>14210.18723125</v>
      </c>
      <c r="DR29" s="77">
        <f>DR28/(SUP_OPEX!$C$43*12)</f>
        <v>14210.18723125</v>
      </c>
      <c r="DS29" s="77">
        <f>DS28/(SUP_OPEX!$C$43*12)</f>
        <v>14210.18723125</v>
      </c>
    </row>
    <row r="30" spans="1:123" ht="15" customHeight="1" x14ac:dyDescent="0.2">
      <c r="B30" s="37" t="s">
        <v>910</v>
      </c>
      <c r="D30" s="77">
        <f t="shared" ref="D30:AI30" si="14">D23-D29</f>
        <v>-3197.034622222222</v>
      </c>
      <c r="E30" s="77">
        <f t="shared" si="14"/>
        <v>-22484.069244444443</v>
      </c>
      <c r="F30" s="77">
        <f t="shared" si="14"/>
        <v>-25681.103866666665</v>
      </c>
      <c r="G30" s="77">
        <f t="shared" si="14"/>
        <v>-24817.75302611971</v>
      </c>
      <c r="H30" s="77">
        <f t="shared" si="14"/>
        <v>-8675.4586666162631</v>
      </c>
      <c r="I30" s="77">
        <f t="shared" si="14"/>
        <v>12388.979837582438</v>
      </c>
      <c r="J30" s="77">
        <f t="shared" si="14"/>
        <v>29575.15546324318</v>
      </c>
      <c r="K30" s="77">
        <f t="shared" si="14"/>
        <v>48312.043661095537</v>
      </c>
      <c r="L30" s="77">
        <f t="shared" si="14"/>
        <v>57307.038722118414</v>
      </c>
      <c r="M30" s="77">
        <f t="shared" si="14"/>
        <v>62079.89324429386</v>
      </c>
      <c r="N30" s="77">
        <f t="shared" si="14"/>
        <v>62079.89324429386</v>
      </c>
      <c r="O30" s="77">
        <f t="shared" si="14"/>
        <v>62079.89324429386</v>
      </c>
      <c r="P30" s="77">
        <f t="shared" si="14"/>
        <v>66842.814615476163</v>
      </c>
      <c r="Q30" s="77">
        <f t="shared" si="14"/>
        <v>66842.814615476163</v>
      </c>
      <c r="R30" s="77">
        <f t="shared" si="14"/>
        <v>66842.814615476163</v>
      </c>
      <c r="S30" s="77">
        <f t="shared" si="14"/>
        <v>66842.814615476163</v>
      </c>
      <c r="T30" s="77">
        <f t="shared" si="14"/>
        <v>67458.77174480517</v>
      </c>
      <c r="U30" s="77">
        <f t="shared" si="14"/>
        <v>67591.196453083001</v>
      </c>
      <c r="V30" s="77">
        <f t="shared" si="14"/>
        <v>68205.455642082583</v>
      </c>
      <c r="W30" s="77">
        <f t="shared" si="14"/>
        <v>68851.463058828216</v>
      </c>
      <c r="X30" s="77">
        <f t="shared" si="14"/>
        <v>69015.735778159986</v>
      </c>
      <c r="Y30" s="77">
        <f t="shared" si="14"/>
        <v>69142.868578338472</v>
      </c>
      <c r="Z30" s="77">
        <f t="shared" si="14"/>
        <v>69205.063041735149</v>
      </c>
      <c r="AA30" s="77">
        <f t="shared" si="14"/>
        <v>64555.02109928913</v>
      </c>
      <c r="AB30" s="77">
        <f t="shared" si="14"/>
        <v>69317.942470471447</v>
      </c>
      <c r="AC30" s="77">
        <f t="shared" si="14"/>
        <v>69317.942470471447</v>
      </c>
      <c r="AD30" s="77">
        <f t="shared" si="14"/>
        <v>69207.785938233443</v>
      </c>
      <c r="AE30" s="77">
        <f t="shared" si="14"/>
        <v>69207.785938233443</v>
      </c>
      <c r="AF30" s="77">
        <f t="shared" si="14"/>
        <v>70160.970618294843</v>
      </c>
      <c r="AG30" s="77">
        <f t="shared" si="14"/>
        <v>71013.014428153416</v>
      </c>
      <c r="AH30" s="77">
        <f t="shared" si="14"/>
        <v>71275.750546285344</v>
      </c>
      <c r="AI30" s="77">
        <f t="shared" si="14"/>
        <v>72045.435134200656</v>
      </c>
      <c r="AJ30" s="77">
        <f t="shared" ref="AJ30:BO30" si="15">AJ23-AJ29</f>
        <v>72754.713683767695</v>
      </c>
      <c r="AK30" s="77">
        <f t="shared" si="15"/>
        <v>72939.311656881793</v>
      </c>
      <c r="AL30" s="77">
        <f t="shared" si="15"/>
        <v>72949.814455224929</v>
      </c>
      <c r="AM30" s="77">
        <f t="shared" si="15"/>
        <v>73587.0866447468</v>
      </c>
      <c r="AN30" s="77">
        <f t="shared" si="15"/>
        <v>76488.686030815486</v>
      </c>
      <c r="AO30" s="77">
        <f t="shared" si="15"/>
        <v>77013.784645111999</v>
      </c>
      <c r="AP30" s="77">
        <f t="shared" si="15"/>
        <v>77544.649897833835</v>
      </c>
      <c r="AQ30" s="77">
        <f t="shared" si="15"/>
        <v>77714.139038653142</v>
      </c>
      <c r="AR30" s="77">
        <f t="shared" si="15"/>
        <v>78190.62269329722</v>
      </c>
      <c r="AS30" s="77">
        <f t="shared" si="15"/>
        <v>78317.676483256975</v>
      </c>
      <c r="AT30" s="77">
        <f t="shared" si="15"/>
        <v>78639.143546433377</v>
      </c>
      <c r="AU30" s="77">
        <f t="shared" si="15"/>
        <v>78997.110074773358</v>
      </c>
      <c r="AV30" s="77">
        <f t="shared" si="15"/>
        <v>79088.992843115557</v>
      </c>
      <c r="AW30" s="77">
        <f t="shared" si="15"/>
        <v>74065.144781578201</v>
      </c>
      <c r="AX30" s="77">
        <f t="shared" si="15"/>
        <v>74120.138164901451</v>
      </c>
      <c r="AY30" s="77">
        <f t="shared" si="15"/>
        <v>74120.138164901451</v>
      </c>
      <c r="AZ30" s="77">
        <f t="shared" si="15"/>
        <v>76501.598850492606</v>
      </c>
      <c r="BA30" s="77">
        <f t="shared" si="15"/>
        <v>76282.377077139434</v>
      </c>
      <c r="BB30" s="77">
        <f t="shared" si="15"/>
        <v>76282.377077139434</v>
      </c>
      <c r="BC30" s="77">
        <f t="shared" si="15"/>
        <v>76282.377077139434</v>
      </c>
      <c r="BD30" s="77">
        <f t="shared" si="15"/>
        <v>76963.777945540423</v>
      </c>
      <c r="BE30" s="77">
        <f t="shared" si="15"/>
        <v>77423.088035131106</v>
      </c>
      <c r="BF30" s="77">
        <f t="shared" si="15"/>
        <v>77785.474741268248</v>
      </c>
      <c r="BG30" s="77">
        <f t="shared" si="15"/>
        <v>78263.687358609968</v>
      </c>
      <c r="BH30" s="77">
        <f t="shared" si="15"/>
        <v>78665.196423405388</v>
      </c>
      <c r="BI30" s="77">
        <f t="shared" si="15"/>
        <v>79042.133849114136</v>
      </c>
      <c r="BJ30" s="77">
        <f t="shared" si="15"/>
        <v>79451.53859382488</v>
      </c>
      <c r="BK30" s="77">
        <f t="shared" si="15"/>
        <v>79619.875175335299</v>
      </c>
      <c r="BL30" s="77">
        <f t="shared" si="15"/>
        <v>82315.927568103973</v>
      </c>
      <c r="BM30" s="77">
        <f t="shared" si="15"/>
        <v>82613.570516164415</v>
      </c>
      <c r="BN30" s="77">
        <f t="shared" si="15"/>
        <v>82939.408498631776</v>
      </c>
      <c r="BO30" s="77">
        <f t="shared" si="15"/>
        <v>83208.577589365086</v>
      </c>
      <c r="BP30" s="77">
        <f t="shared" ref="BP30:CU30" si="16">BP23-BP29</f>
        <v>83340.739509620966</v>
      </c>
      <c r="BQ30" s="77">
        <f t="shared" si="16"/>
        <v>83582.258772382469</v>
      </c>
      <c r="BR30" s="77">
        <f t="shared" si="16"/>
        <v>83848.280981209493</v>
      </c>
      <c r="BS30" s="77">
        <f t="shared" si="16"/>
        <v>84201.71709184561</v>
      </c>
      <c r="BT30" s="77">
        <f t="shared" si="16"/>
        <v>84432.658593361572</v>
      </c>
      <c r="BU30" s="77">
        <f t="shared" si="16"/>
        <v>84530.213926765849</v>
      </c>
      <c r="BV30" s="77">
        <f t="shared" si="16"/>
        <v>84727.450058556162</v>
      </c>
      <c r="BW30" s="77">
        <f t="shared" si="16"/>
        <v>84931.976523669393</v>
      </c>
      <c r="BX30" s="77">
        <f t="shared" si="16"/>
        <v>87484.513672291927</v>
      </c>
      <c r="BY30" s="77">
        <f t="shared" si="16"/>
        <v>87646.475476341919</v>
      </c>
      <c r="BZ30" s="77">
        <f t="shared" si="16"/>
        <v>87826.299030822804</v>
      </c>
      <c r="CA30" s="77">
        <f t="shared" si="16"/>
        <v>88017.481773643172</v>
      </c>
      <c r="CB30" s="77">
        <f t="shared" si="16"/>
        <v>86733.242152175051</v>
      </c>
      <c r="CC30" s="77">
        <f t="shared" si="16"/>
        <v>86808.68668338038</v>
      </c>
      <c r="CD30" s="77">
        <f t="shared" si="16"/>
        <v>86844.391398467385</v>
      </c>
      <c r="CE30" s="77">
        <f t="shared" si="16"/>
        <v>86859.826366748151</v>
      </c>
      <c r="CF30" s="77">
        <f t="shared" si="16"/>
        <v>86859.826366748151</v>
      </c>
      <c r="CG30" s="77">
        <f t="shared" si="16"/>
        <v>86859.826366748151</v>
      </c>
      <c r="CH30" s="77">
        <f t="shared" si="16"/>
        <v>86859.826366748151</v>
      </c>
      <c r="CI30" s="77">
        <f t="shared" si="16"/>
        <v>86859.826366748151</v>
      </c>
      <c r="CJ30" s="77">
        <f t="shared" si="16"/>
        <v>86859.826366748151</v>
      </c>
      <c r="CK30" s="77">
        <f t="shared" si="16"/>
        <v>86859.826366748151</v>
      </c>
      <c r="CL30" s="77">
        <f t="shared" si="16"/>
        <v>86859.826366748151</v>
      </c>
      <c r="CM30" s="77">
        <f t="shared" si="16"/>
        <v>86859.826366748151</v>
      </c>
      <c r="CN30" s="77">
        <f t="shared" si="16"/>
        <v>86859.826366748151</v>
      </c>
      <c r="CO30" s="77">
        <f t="shared" si="16"/>
        <v>86859.826366748151</v>
      </c>
      <c r="CP30" s="77">
        <f t="shared" si="16"/>
        <v>86859.826366748151</v>
      </c>
      <c r="CQ30" s="77">
        <f t="shared" si="16"/>
        <v>86859.826366748151</v>
      </c>
      <c r="CR30" s="77">
        <f t="shared" si="16"/>
        <v>86859.826366748151</v>
      </c>
      <c r="CS30" s="77">
        <f t="shared" si="16"/>
        <v>86859.826366748151</v>
      </c>
      <c r="CT30" s="77">
        <f t="shared" si="16"/>
        <v>86859.826366748151</v>
      </c>
      <c r="CU30" s="77">
        <f t="shared" si="16"/>
        <v>86859.826366748151</v>
      </c>
      <c r="CV30" s="77">
        <f t="shared" ref="CV30:EA30" si="17">CV23-CV29</f>
        <v>86859.826366748151</v>
      </c>
      <c r="CW30" s="77">
        <f t="shared" si="17"/>
        <v>86859.826366748151</v>
      </c>
      <c r="CX30" s="77">
        <f t="shared" si="17"/>
        <v>86859.826366748151</v>
      </c>
      <c r="CY30" s="77">
        <f t="shared" si="17"/>
        <v>86859.826366748151</v>
      </c>
      <c r="CZ30" s="77">
        <f t="shared" si="17"/>
        <v>86859.826366748151</v>
      </c>
      <c r="DA30" s="77">
        <f t="shared" si="17"/>
        <v>86859.826366748151</v>
      </c>
      <c r="DB30" s="77">
        <f t="shared" si="17"/>
        <v>86859.826366748151</v>
      </c>
      <c r="DC30" s="77">
        <f t="shared" si="17"/>
        <v>86859.826366748151</v>
      </c>
      <c r="DD30" s="77">
        <f t="shared" si="17"/>
        <v>86859.826366748151</v>
      </c>
      <c r="DE30" s="77">
        <f t="shared" si="17"/>
        <v>86859.826366748151</v>
      </c>
      <c r="DF30" s="77">
        <f t="shared" si="17"/>
        <v>86859.826366748151</v>
      </c>
      <c r="DG30" s="77">
        <f t="shared" si="17"/>
        <v>86859.826366748151</v>
      </c>
      <c r="DH30" s="77">
        <f t="shared" si="17"/>
        <v>86859.826366748151</v>
      </c>
      <c r="DI30" s="77">
        <f t="shared" si="17"/>
        <v>86859.826366748151</v>
      </c>
      <c r="DJ30" s="77">
        <f t="shared" si="17"/>
        <v>86859.826366748151</v>
      </c>
      <c r="DK30" s="77">
        <f t="shared" si="17"/>
        <v>86859.826366748151</v>
      </c>
      <c r="DL30" s="77">
        <f t="shared" si="17"/>
        <v>86859.826366748151</v>
      </c>
      <c r="DM30" s="77">
        <f t="shared" si="17"/>
        <v>86859.826366748151</v>
      </c>
      <c r="DN30" s="77">
        <f t="shared" si="17"/>
        <v>86859.826366748151</v>
      </c>
      <c r="DO30" s="77">
        <f t="shared" si="17"/>
        <v>86859.826366748151</v>
      </c>
      <c r="DP30" s="77">
        <f t="shared" si="17"/>
        <v>86859.826366748151</v>
      </c>
      <c r="DQ30" s="77">
        <f t="shared" si="17"/>
        <v>86859.826366748151</v>
      </c>
      <c r="DR30" s="77">
        <f t="shared" si="17"/>
        <v>86859.826366748151</v>
      </c>
      <c r="DS30" s="77">
        <f t="shared" si="17"/>
        <v>86859.826366748151</v>
      </c>
    </row>
    <row r="31" spans="1:123" ht="15" customHeight="1" x14ac:dyDescent="0.2">
      <c r="B31" s="37" t="s">
        <v>911</v>
      </c>
      <c r="D31" s="77">
        <f>MAX(0,D30)*SUP_CONTROL!$C$33</f>
        <v>0</v>
      </c>
      <c r="E31" s="77">
        <f>MAX(0,E30)*SUP_CONTROL!$C$33</f>
        <v>0</v>
      </c>
      <c r="F31" s="77">
        <f>MAX(0,F30)*SUP_CONTROL!$C$33</f>
        <v>0</v>
      </c>
      <c r="G31" s="77">
        <f>MAX(0,G30)*SUP_CONTROL!$C$33</f>
        <v>0</v>
      </c>
      <c r="H31" s="77">
        <f>MAX(0,H30)*SUP_CONTROL!$C$33</f>
        <v>0</v>
      </c>
      <c r="I31" s="77">
        <f>MAX(0,I30)*SUP_CONTROL!$C$33</f>
        <v>4212.2531447780293</v>
      </c>
      <c r="J31" s="77">
        <f>MAX(0,J30)*SUP_CONTROL!$C$33</f>
        <v>10055.552857502682</v>
      </c>
      <c r="K31" s="77">
        <f>MAX(0,K30)*SUP_CONTROL!$C$33</f>
        <v>16426.094844772484</v>
      </c>
      <c r="L31" s="77">
        <f>MAX(0,L30)*SUP_CONTROL!$C$33</f>
        <v>19484.393165520261</v>
      </c>
      <c r="M31" s="77">
        <f>MAX(0,M30)*SUP_CONTROL!$C$33</f>
        <v>21107.163703059912</v>
      </c>
      <c r="N31" s="77">
        <f>MAX(0,N30)*SUP_CONTROL!$C$33</f>
        <v>21107.163703059912</v>
      </c>
      <c r="O31" s="77">
        <f>MAX(0,O30)*SUP_CONTROL!$C$33</f>
        <v>21107.163703059912</v>
      </c>
      <c r="P31" s="77">
        <f>MAX(0,P30)*SUP_CONTROL!$C$33</f>
        <v>22726.556969261896</v>
      </c>
      <c r="Q31" s="77">
        <f>MAX(0,Q30)*SUP_CONTROL!$C$33</f>
        <v>22726.556969261896</v>
      </c>
      <c r="R31" s="77">
        <f>MAX(0,R30)*SUP_CONTROL!$C$33</f>
        <v>22726.556969261896</v>
      </c>
      <c r="S31" s="77">
        <f>MAX(0,S30)*SUP_CONTROL!$C$33</f>
        <v>22726.556969261896</v>
      </c>
      <c r="T31" s="77">
        <f>MAX(0,T30)*SUP_CONTROL!$C$33</f>
        <v>22935.98239323376</v>
      </c>
      <c r="U31" s="77">
        <f>MAX(0,U30)*SUP_CONTROL!$C$33</f>
        <v>22981.006794048222</v>
      </c>
      <c r="V31" s="77">
        <f>MAX(0,V30)*SUP_CONTROL!$C$33</f>
        <v>23189.85491830808</v>
      </c>
      <c r="W31" s="77">
        <f>MAX(0,W30)*SUP_CONTROL!$C$33</f>
        <v>23409.497440001596</v>
      </c>
      <c r="X31" s="77">
        <f>MAX(0,X30)*SUP_CONTROL!$C$33</f>
        <v>23465.350164574396</v>
      </c>
      <c r="Y31" s="77">
        <f>MAX(0,Y30)*SUP_CONTROL!$C$33</f>
        <v>23508.575316635081</v>
      </c>
      <c r="Z31" s="77">
        <f>MAX(0,Z30)*SUP_CONTROL!$C$33</f>
        <v>23529.721434189953</v>
      </c>
      <c r="AA31" s="77">
        <f>MAX(0,AA30)*SUP_CONTROL!$C$33</f>
        <v>21948.707173758306</v>
      </c>
      <c r="AB31" s="77">
        <f>MAX(0,AB30)*SUP_CONTROL!$C$33</f>
        <v>23568.100439960293</v>
      </c>
      <c r="AC31" s="77">
        <f>MAX(0,AC30)*SUP_CONTROL!$C$33</f>
        <v>23568.100439960293</v>
      </c>
      <c r="AD31" s="77">
        <f>MAX(0,AD30)*SUP_CONTROL!$C$33</f>
        <v>23530.647218999373</v>
      </c>
      <c r="AE31" s="77">
        <f>MAX(0,AE30)*SUP_CONTROL!$C$33</f>
        <v>23530.647218999373</v>
      </c>
      <c r="AF31" s="77">
        <f>MAX(0,AF30)*SUP_CONTROL!$C$33</f>
        <v>23854.73001022025</v>
      </c>
      <c r="AG31" s="77">
        <f>MAX(0,AG30)*SUP_CONTROL!$C$33</f>
        <v>24144.424905572163</v>
      </c>
      <c r="AH31" s="77">
        <f>MAX(0,AH30)*SUP_CONTROL!$C$33</f>
        <v>24233.75518573702</v>
      </c>
      <c r="AI31" s="77">
        <f>MAX(0,AI30)*SUP_CONTROL!$C$33</f>
        <v>24495.447945628224</v>
      </c>
      <c r="AJ31" s="77">
        <f>MAX(0,AJ30)*SUP_CONTROL!$C$33</f>
        <v>24736.602652481019</v>
      </c>
      <c r="AK31" s="77">
        <f>MAX(0,AK30)*SUP_CONTROL!$C$33</f>
        <v>24799.365963339813</v>
      </c>
      <c r="AL31" s="77">
        <f>MAX(0,AL30)*SUP_CONTROL!$C$33</f>
        <v>24802.936914776477</v>
      </c>
      <c r="AM31" s="77">
        <f>MAX(0,AM30)*SUP_CONTROL!$C$33</f>
        <v>25019.609459213912</v>
      </c>
      <c r="AN31" s="77">
        <f>MAX(0,AN30)*SUP_CONTROL!$C$33</f>
        <v>26006.153250477266</v>
      </c>
      <c r="AO31" s="77">
        <f>MAX(0,AO30)*SUP_CONTROL!$C$33</f>
        <v>26184.686779338081</v>
      </c>
      <c r="AP31" s="77">
        <f>MAX(0,AP30)*SUP_CONTROL!$C$33</f>
        <v>26365.180965263506</v>
      </c>
      <c r="AQ31" s="77">
        <f>MAX(0,AQ30)*SUP_CONTROL!$C$33</f>
        <v>26422.807273142069</v>
      </c>
      <c r="AR31" s="77">
        <f>MAX(0,AR30)*SUP_CONTROL!$C$33</f>
        <v>26584.811715721058</v>
      </c>
      <c r="AS31" s="77">
        <f>MAX(0,AS30)*SUP_CONTROL!$C$33</f>
        <v>26628.010004307373</v>
      </c>
      <c r="AT31" s="77">
        <f>MAX(0,AT30)*SUP_CONTROL!$C$33</f>
        <v>26737.30880578735</v>
      </c>
      <c r="AU31" s="77">
        <f>MAX(0,AU30)*SUP_CONTROL!$C$33</f>
        <v>26859.017425422942</v>
      </c>
      <c r="AV31" s="77">
        <f>MAX(0,AV30)*SUP_CONTROL!$C$33</f>
        <v>26890.257566659293</v>
      </c>
      <c r="AW31" s="77">
        <f>MAX(0,AW30)*SUP_CONTROL!$C$33</f>
        <v>25182.14922573659</v>
      </c>
      <c r="AX31" s="77">
        <f>MAX(0,AX30)*SUP_CONTROL!$C$33</f>
        <v>25200.846976066496</v>
      </c>
      <c r="AY31" s="77">
        <f>MAX(0,AY30)*SUP_CONTROL!$C$33</f>
        <v>25200.846976066496</v>
      </c>
      <c r="AZ31" s="77">
        <f>MAX(0,AZ30)*SUP_CONTROL!$C$33</f>
        <v>26010.543609167489</v>
      </c>
      <c r="BA31" s="77">
        <f>MAX(0,BA30)*SUP_CONTROL!$C$33</f>
        <v>25936.008206227409</v>
      </c>
      <c r="BB31" s="77">
        <f>MAX(0,BB30)*SUP_CONTROL!$C$33</f>
        <v>25936.008206227409</v>
      </c>
      <c r="BC31" s="77">
        <f>MAX(0,BC30)*SUP_CONTROL!$C$33</f>
        <v>25936.008206227409</v>
      </c>
      <c r="BD31" s="77">
        <f>MAX(0,BD30)*SUP_CONTROL!$C$33</f>
        <v>26167.684501483745</v>
      </c>
      <c r="BE31" s="77">
        <f>MAX(0,BE30)*SUP_CONTROL!$C$33</f>
        <v>26323.849931944576</v>
      </c>
      <c r="BF31" s="77">
        <f>MAX(0,BF30)*SUP_CONTROL!$C$33</f>
        <v>26447.061412031206</v>
      </c>
      <c r="BG31" s="77">
        <f>MAX(0,BG30)*SUP_CONTROL!$C$33</f>
        <v>26609.653701927393</v>
      </c>
      <c r="BH31" s="77">
        <f>MAX(0,BH30)*SUP_CONTROL!$C$33</f>
        <v>26746.166783957833</v>
      </c>
      <c r="BI31" s="77">
        <f>MAX(0,BI30)*SUP_CONTROL!$C$33</f>
        <v>26874.325508698807</v>
      </c>
      <c r="BJ31" s="77">
        <f>MAX(0,BJ30)*SUP_CONTROL!$C$33</f>
        <v>27013.52312190046</v>
      </c>
      <c r="BK31" s="77">
        <f>MAX(0,BK30)*SUP_CONTROL!$C$33</f>
        <v>27070.757559614005</v>
      </c>
      <c r="BL31" s="77">
        <f>MAX(0,BL30)*SUP_CONTROL!$C$33</f>
        <v>27987.415373155352</v>
      </c>
      <c r="BM31" s="77">
        <f>MAX(0,BM30)*SUP_CONTROL!$C$33</f>
        <v>28088.613975495904</v>
      </c>
      <c r="BN31" s="77">
        <f>MAX(0,BN30)*SUP_CONTROL!$C$33</f>
        <v>28199.398889534805</v>
      </c>
      <c r="BO31" s="77">
        <f>MAX(0,BO30)*SUP_CONTROL!$C$33</f>
        <v>28290.916380384133</v>
      </c>
      <c r="BP31" s="77">
        <f>MAX(0,BP30)*SUP_CONTROL!$C$33</f>
        <v>28335.851433271131</v>
      </c>
      <c r="BQ31" s="77">
        <f>MAX(0,BQ30)*SUP_CONTROL!$C$33</f>
        <v>28417.96798261004</v>
      </c>
      <c r="BR31" s="77">
        <f>MAX(0,BR30)*SUP_CONTROL!$C$33</f>
        <v>28508.415533611231</v>
      </c>
      <c r="BS31" s="77">
        <f>MAX(0,BS30)*SUP_CONTROL!$C$33</f>
        <v>28628.583811227509</v>
      </c>
      <c r="BT31" s="77">
        <f>MAX(0,BT30)*SUP_CONTROL!$C$33</f>
        <v>28707.103921742935</v>
      </c>
      <c r="BU31" s="77">
        <f>MAX(0,BU30)*SUP_CONTROL!$C$33</f>
        <v>28740.272735100392</v>
      </c>
      <c r="BV31" s="77">
        <f>MAX(0,BV30)*SUP_CONTROL!$C$33</f>
        <v>28807.333019909096</v>
      </c>
      <c r="BW31" s="77">
        <f>MAX(0,BW30)*SUP_CONTROL!$C$33</f>
        <v>28876.872018047594</v>
      </c>
      <c r="BX31" s="77">
        <f>MAX(0,BX30)*SUP_CONTROL!$C$33</f>
        <v>29744.734648579259</v>
      </c>
      <c r="BY31" s="77">
        <f>MAX(0,BY30)*SUP_CONTROL!$C$33</f>
        <v>29799.801661956255</v>
      </c>
      <c r="BZ31" s="77">
        <f>MAX(0,BZ30)*SUP_CONTROL!$C$33</f>
        <v>29860.941670479755</v>
      </c>
      <c r="CA31" s="77">
        <f>MAX(0,CA30)*SUP_CONTROL!$C$33</f>
        <v>29925.943803038681</v>
      </c>
      <c r="CB31" s="77">
        <f>MAX(0,CB30)*SUP_CONTROL!$C$33</f>
        <v>29489.30233173952</v>
      </c>
      <c r="CC31" s="77">
        <f>MAX(0,CC30)*SUP_CONTROL!$C$33</f>
        <v>29514.953472349331</v>
      </c>
      <c r="CD31" s="77">
        <f>MAX(0,CD30)*SUP_CONTROL!$C$33</f>
        <v>29527.093075478911</v>
      </c>
      <c r="CE31" s="77">
        <f>MAX(0,CE30)*SUP_CONTROL!$C$33</f>
        <v>29532.340964694373</v>
      </c>
      <c r="CF31" s="77">
        <f>MAX(0,CF30)*SUP_CONTROL!$C$33</f>
        <v>29532.340964694373</v>
      </c>
      <c r="CG31" s="77">
        <f>MAX(0,CG30)*SUP_CONTROL!$C$33</f>
        <v>29532.340964694373</v>
      </c>
      <c r="CH31" s="77">
        <f>MAX(0,CH30)*SUP_CONTROL!$C$33</f>
        <v>29532.340964694373</v>
      </c>
      <c r="CI31" s="77">
        <f>MAX(0,CI30)*SUP_CONTROL!$C$33</f>
        <v>29532.340964694373</v>
      </c>
      <c r="CJ31" s="77">
        <f>MAX(0,CJ30)*SUP_CONTROL!$C$33</f>
        <v>29532.340964694373</v>
      </c>
      <c r="CK31" s="77">
        <f>MAX(0,CK30)*SUP_CONTROL!$C$33</f>
        <v>29532.340964694373</v>
      </c>
      <c r="CL31" s="77">
        <f>MAX(0,CL30)*SUP_CONTROL!$C$33</f>
        <v>29532.340964694373</v>
      </c>
      <c r="CM31" s="77">
        <f>MAX(0,CM30)*SUP_CONTROL!$C$33</f>
        <v>29532.340964694373</v>
      </c>
      <c r="CN31" s="77">
        <f>MAX(0,CN30)*SUP_CONTROL!$C$33</f>
        <v>29532.340964694373</v>
      </c>
      <c r="CO31" s="77">
        <f>MAX(0,CO30)*SUP_CONTROL!$C$33</f>
        <v>29532.340964694373</v>
      </c>
      <c r="CP31" s="77">
        <f>MAX(0,CP30)*SUP_CONTROL!$C$33</f>
        <v>29532.340964694373</v>
      </c>
      <c r="CQ31" s="77">
        <f>MAX(0,CQ30)*SUP_CONTROL!$C$33</f>
        <v>29532.340964694373</v>
      </c>
      <c r="CR31" s="77">
        <f>MAX(0,CR30)*SUP_CONTROL!$C$33</f>
        <v>29532.340964694373</v>
      </c>
      <c r="CS31" s="77">
        <f>MAX(0,CS30)*SUP_CONTROL!$C$33</f>
        <v>29532.340964694373</v>
      </c>
      <c r="CT31" s="77">
        <f>MAX(0,CT30)*SUP_CONTROL!$C$33</f>
        <v>29532.340964694373</v>
      </c>
      <c r="CU31" s="77">
        <f>MAX(0,CU30)*SUP_CONTROL!$C$33</f>
        <v>29532.340964694373</v>
      </c>
      <c r="CV31" s="77">
        <f>MAX(0,CV30)*SUP_CONTROL!$C$33</f>
        <v>29532.340964694373</v>
      </c>
      <c r="CW31" s="77">
        <f>MAX(0,CW30)*SUP_CONTROL!$C$33</f>
        <v>29532.340964694373</v>
      </c>
      <c r="CX31" s="77">
        <f>MAX(0,CX30)*SUP_CONTROL!$C$33</f>
        <v>29532.340964694373</v>
      </c>
      <c r="CY31" s="77">
        <f>MAX(0,CY30)*SUP_CONTROL!$C$33</f>
        <v>29532.340964694373</v>
      </c>
      <c r="CZ31" s="77">
        <f>MAX(0,CZ30)*SUP_CONTROL!$C$33</f>
        <v>29532.340964694373</v>
      </c>
      <c r="DA31" s="77">
        <f>MAX(0,DA30)*SUP_CONTROL!$C$33</f>
        <v>29532.340964694373</v>
      </c>
      <c r="DB31" s="77">
        <f>MAX(0,DB30)*SUP_CONTROL!$C$33</f>
        <v>29532.340964694373</v>
      </c>
      <c r="DC31" s="77">
        <f>MAX(0,DC30)*SUP_CONTROL!$C$33</f>
        <v>29532.340964694373</v>
      </c>
      <c r="DD31" s="77">
        <f>MAX(0,DD30)*SUP_CONTROL!$C$33</f>
        <v>29532.340964694373</v>
      </c>
      <c r="DE31" s="77">
        <f>MAX(0,DE30)*SUP_CONTROL!$C$33</f>
        <v>29532.340964694373</v>
      </c>
      <c r="DF31" s="77">
        <f>MAX(0,DF30)*SUP_CONTROL!$C$33</f>
        <v>29532.340964694373</v>
      </c>
      <c r="DG31" s="77">
        <f>MAX(0,DG30)*SUP_CONTROL!$C$33</f>
        <v>29532.340964694373</v>
      </c>
      <c r="DH31" s="77">
        <f>MAX(0,DH30)*SUP_CONTROL!$C$33</f>
        <v>29532.340964694373</v>
      </c>
      <c r="DI31" s="77">
        <f>MAX(0,DI30)*SUP_CONTROL!$C$33</f>
        <v>29532.340964694373</v>
      </c>
      <c r="DJ31" s="77">
        <f>MAX(0,DJ30)*SUP_CONTROL!$C$33</f>
        <v>29532.340964694373</v>
      </c>
      <c r="DK31" s="77">
        <f>MAX(0,DK30)*SUP_CONTROL!$C$33</f>
        <v>29532.340964694373</v>
      </c>
      <c r="DL31" s="77">
        <f>MAX(0,DL30)*SUP_CONTROL!$C$33</f>
        <v>29532.340964694373</v>
      </c>
      <c r="DM31" s="77">
        <f>MAX(0,DM30)*SUP_CONTROL!$C$33</f>
        <v>29532.340964694373</v>
      </c>
      <c r="DN31" s="77">
        <f>MAX(0,DN30)*SUP_CONTROL!$C$33</f>
        <v>29532.340964694373</v>
      </c>
      <c r="DO31" s="77">
        <f>MAX(0,DO30)*SUP_CONTROL!$C$33</f>
        <v>29532.340964694373</v>
      </c>
      <c r="DP31" s="77">
        <f>MAX(0,DP30)*SUP_CONTROL!$C$33</f>
        <v>29532.340964694373</v>
      </c>
      <c r="DQ31" s="77">
        <f>MAX(0,DQ30)*SUP_CONTROL!$C$33</f>
        <v>29532.340964694373</v>
      </c>
      <c r="DR31" s="77">
        <f>MAX(0,DR30)*SUP_CONTROL!$C$33</f>
        <v>29532.340964694373</v>
      </c>
      <c r="DS31" s="77">
        <f>MAX(0,DS30)*SUP_CONTROL!$C$33</f>
        <v>29532.340964694373</v>
      </c>
    </row>
    <row r="32" spans="1:123" ht="15" customHeight="1" x14ac:dyDescent="0.2">
      <c r="B32" s="20" t="s">
        <v>912</v>
      </c>
      <c r="D32" s="72">
        <f t="shared" ref="D32:AI32" si="18">D23-D31</f>
        <v>0</v>
      </c>
      <c r="E32" s="72">
        <f t="shared" si="18"/>
        <v>-15714.999999999998</v>
      </c>
      <c r="F32" s="72">
        <f t="shared" si="18"/>
        <v>-15714.999999999998</v>
      </c>
      <c r="G32" s="72">
        <f t="shared" si="18"/>
        <v>-12922.749499036378</v>
      </c>
      <c r="H32" s="72">
        <f t="shared" si="18"/>
        <v>5534.7285646337368</v>
      </c>
      <c r="I32" s="72">
        <f t="shared" si="18"/>
        <v>22386.91392405441</v>
      </c>
      <c r="J32" s="72">
        <f t="shared" si="18"/>
        <v>33729.789836990494</v>
      </c>
      <c r="K32" s="72">
        <f t="shared" si="18"/>
        <v>46096.136047573047</v>
      </c>
      <c r="L32" s="72">
        <f t="shared" si="18"/>
        <v>52032.83278784815</v>
      </c>
      <c r="M32" s="72">
        <f t="shared" si="18"/>
        <v>55182.91677248395</v>
      </c>
      <c r="N32" s="72">
        <f t="shared" si="18"/>
        <v>55182.91677248395</v>
      </c>
      <c r="O32" s="72">
        <f t="shared" si="18"/>
        <v>55182.91677248395</v>
      </c>
      <c r="P32" s="72">
        <f t="shared" si="18"/>
        <v>58326.444877464273</v>
      </c>
      <c r="Q32" s="72">
        <f t="shared" si="18"/>
        <v>58326.444877464273</v>
      </c>
      <c r="R32" s="72">
        <f t="shared" si="18"/>
        <v>58326.444877464273</v>
      </c>
      <c r="S32" s="72">
        <f t="shared" si="18"/>
        <v>58326.444877464273</v>
      </c>
      <c r="T32" s="72">
        <f t="shared" si="18"/>
        <v>58732.976582821415</v>
      </c>
      <c r="U32" s="72">
        <f t="shared" si="18"/>
        <v>58820.376890284781</v>
      </c>
      <c r="V32" s="72">
        <f t="shared" si="18"/>
        <v>59225.787955024512</v>
      </c>
      <c r="W32" s="72">
        <f t="shared" si="18"/>
        <v>59652.152850076629</v>
      </c>
      <c r="X32" s="72">
        <f t="shared" si="18"/>
        <v>59760.572844835595</v>
      </c>
      <c r="Y32" s="72">
        <f t="shared" si="18"/>
        <v>59844.4804929534</v>
      </c>
      <c r="Z32" s="72">
        <f t="shared" si="18"/>
        <v>59885.528838795202</v>
      </c>
      <c r="AA32" s="72">
        <f t="shared" si="18"/>
        <v>56816.501156780825</v>
      </c>
      <c r="AB32" s="72">
        <f t="shared" si="18"/>
        <v>59960.029261761156</v>
      </c>
      <c r="AC32" s="72">
        <f t="shared" si="18"/>
        <v>59960.029261761156</v>
      </c>
      <c r="AD32" s="72">
        <f t="shared" si="18"/>
        <v>59887.325950484075</v>
      </c>
      <c r="AE32" s="72">
        <f t="shared" si="18"/>
        <v>59887.325950484075</v>
      </c>
      <c r="AF32" s="72">
        <f t="shared" si="18"/>
        <v>60516.427839324599</v>
      </c>
      <c r="AG32" s="72">
        <f t="shared" si="18"/>
        <v>61078.776753831262</v>
      </c>
      <c r="AH32" s="72">
        <f t="shared" si="18"/>
        <v>61252.18259179833</v>
      </c>
      <c r="AI32" s="72">
        <f t="shared" si="18"/>
        <v>61760.174419822433</v>
      </c>
      <c r="AJ32" s="72">
        <f t="shared" ref="AJ32:BO32" si="19">AJ23-AJ31</f>
        <v>62228.298262536686</v>
      </c>
      <c r="AK32" s="72">
        <f t="shared" si="19"/>
        <v>62350.132924791986</v>
      </c>
      <c r="AL32" s="72">
        <f t="shared" si="19"/>
        <v>62357.064771698453</v>
      </c>
      <c r="AM32" s="72">
        <f t="shared" si="19"/>
        <v>62777.664416782893</v>
      </c>
      <c r="AN32" s="72">
        <f t="shared" si="19"/>
        <v>64692.72001158823</v>
      </c>
      <c r="AO32" s="72">
        <f t="shared" si="19"/>
        <v>65039.285097023923</v>
      </c>
      <c r="AP32" s="72">
        <f t="shared" si="19"/>
        <v>65389.656163820335</v>
      </c>
      <c r="AQ32" s="72">
        <f t="shared" si="19"/>
        <v>65501.518996761079</v>
      </c>
      <c r="AR32" s="72">
        <f t="shared" si="19"/>
        <v>65815.998208826175</v>
      </c>
      <c r="AS32" s="72">
        <f t="shared" si="19"/>
        <v>65899.853710199604</v>
      </c>
      <c r="AT32" s="72">
        <f t="shared" si="19"/>
        <v>66112.021971896029</v>
      </c>
      <c r="AU32" s="72">
        <f t="shared" si="19"/>
        <v>66348.279880600428</v>
      </c>
      <c r="AV32" s="72">
        <f t="shared" si="19"/>
        <v>66408.922507706273</v>
      </c>
      <c r="AW32" s="72">
        <f t="shared" si="19"/>
        <v>63093.182787091617</v>
      </c>
      <c r="AX32" s="72">
        <f t="shared" si="19"/>
        <v>63129.478420084961</v>
      </c>
      <c r="AY32" s="72">
        <f t="shared" si="19"/>
        <v>63129.478420084961</v>
      </c>
      <c r="AZ32" s="72">
        <f t="shared" si="19"/>
        <v>64701.242472575119</v>
      </c>
      <c r="BA32" s="72">
        <f t="shared" si="19"/>
        <v>64556.556102162031</v>
      </c>
      <c r="BB32" s="72">
        <f t="shared" si="19"/>
        <v>64556.556102162031</v>
      </c>
      <c r="BC32" s="72">
        <f t="shared" si="19"/>
        <v>64556.556102162031</v>
      </c>
      <c r="BD32" s="72">
        <f t="shared" si="19"/>
        <v>65006.280675306683</v>
      </c>
      <c r="BE32" s="72">
        <f t="shared" si="19"/>
        <v>65309.425334436535</v>
      </c>
      <c r="BF32" s="72">
        <f t="shared" si="19"/>
        <v>65548.600560487044</v>
      </c>
      <c r="BG32" s="72">
        <f t="shared" si="19"/>
        <v>65864.220887932577</v>
      </c>
      <c r="BH32" s="72">
        <f t="shared" si="19"/>
        <v>66129.216870697564</v>
      </c>
      <c r="BI32" s="72">
        <f t="shared" si="19"/>
        <v>66377.995571665335</v>
      </c>
      <c r="BJ32" s="72">
        <f t="shared" si="19"/>
        <v>66648.202703174422</v>
      </c>
      <c r="BK32" s="72">
        <f t="shared" si="19"/>
        <v>66759.304846971296</v>
      </c>
      <c r="BL32" s="72">
        <f t="shared" si="19"/>
        <v>68538.699426198626</v>
      </c>
      <c r="BM32" s="72">
        <f t="shared" si="19"/>
        <v>68735.14377191852</v>
      </c>
      <c r="BN32" s="72">
        <f t="shared" si="19"/>
        <v>68950.19684034698</v>
      </c>
      <c r="BO32" s="72">
        <f t="shared" si="19"/>
        <v>69127.848440230955</v>
      </c>
      <c r="BP32" s="72">
        <f t="shared" ref="BP32:CU32" si="20">BP23-BP31</f>
        <v>69215.075307599836</v>
      </c>
      <c r="BQ32" s="72">
        <f t="shared" si="20"/>
        <v>69374.478021022427</v>
      </c>
      <c r="BR32" s="72">
        <f t="shared" si="20"/>
        <v>69550.052678848268</v>
      </c>
      <c r="BS32" s="72">
        <f t="shared" si="20"/>
        <v>69783.320511868107</v>
      </c>
      <c r="BT32" s="72">
        <f t="shared" si="20"/>
        <v>69935.741902868642</v>
      </c>
      <c r="BU32" s="72">
        <f t="shared" si="20"/>
        <v>70000.12842291547</v>
      </c>
      <c r="BV32" s="72">
        <f t="shared" si="20"/>
        <v>70130.304269897068</v>
      </c>
      <c r="BW32" s="72">
        <f t="shared" si="20"/>
        <v>70265.291736871804</v>
      </c>
      <c r="BX32" s="72">
        <f t="shared" si="20"/>
        <v>71949.966254962666</v>
      </c>
      <c r="BY32" s="72">
        <f t="shared" si="20"/>
        <v>72056.861045635669</v>
      </c>
      <c r="BZ32" s="72">
        <f t="shared" si="20"/>
        <v>72175.544591593061</v>
      </c>
      <c r="CA32" s="72">
        <f t="shared" si="20"/>
        <v>72301.725201854497</v>
      </c>
      <c r="CB32" s="72">
        <f t="shared" si="20"/>
        <v>71454.127051685529</v>
      </c>
      <c r="CC32" s="72">
        <f t="shared" si="20"/>
        <v>71503.920442281058</v>
      </c>
      <c r="CD32" s="72">
        <f t="shared" si="20"/>
        <v>71527.485554238476</v>
      </c>
      <c r="CE32" s="72">
        <f t="shared" si="20"/>
        <v>71537.67263330378</v>
      </c>
      <c r="CF32" s="72">
        <f t="shared" si="20"/>
        <v>71537.67263330378</v>
      </c>
      <c r="CG32" s="72">
        <f t="shared" si="20"/>
        <v>71537.67263330378</v>
      </c>
      <c r="CH32" s="72">
        <f t="shared" si="20"/>
        <v>71537.67263330378</v>
      </c>
      <c r="CI32" s="72">
        <f t="shared" si="20"/>
        <v>71537.67263330378</v>
      </c>
      <c r="CJ32" s="72">
        <f t="shared" si="20"/>
        <v>71537.67263330378</v>
      </c>
      <c r="CK32" s="72">
        <f t="shared" si="20"/>
        <v>71537.67263330378</v>
      </c>
      <c r="CL32" s="72">
        <f t="shared" si="20"/>
        <v>71537.67263330378</v>
      </c>
      <c r="CM32" s="72">
        <f t="shared" si="20"/>
        <v>71537.67263330378</v>
      </c>
      <c r="CN32" s="72">
        <f t="shared" si="20"/>
        <v>71537.67263330378</v>
      </c>
      <c r="CO32" s="72">
        <f t="shared" si="20"/>
        <v>71537.67263330378</v>
      </c>
      <c r="CP32" s="72">
        <f t="shared" si="20"/>
        <v>71537.67263330378</v>
      </c>
      <c r="CQ32" s="72">
        <f t="shared" si="20"/>
        <v>71537.67263330378</v>
      </c>
      <c r="CR32" s="72">
        <f t="shared" si="20"/>
        <v>71537.67263330378</v>
      </c>
      <c r="CS32" s="72">
        <f t="shared" si="20"/>
        <v>71537.67263330378</v>
      </c>
      <c r="CT32" s="72">
        <f t="shared" si="20"/>
        <v>71537.67263330378</v>
      </c>
      <c r="CU32" s="72">
        <f t="shared" si="20"/>
        <v>71537.67263330378</v>
      </c>
      <c r="CV32" s="72">
        <f t="shared" ref="CV32:EA32" si="21">CV23-CV31</f>
        <v>71537.67263330378</v>
      </c>
      <c r="CW32" s="72">
        <f t="shared" si="21"/>
        <v>71537.67263330378</v>
      </c>
      <c r="CX32" s="72">
        <f t="shared" si="21"/>
        <v>71537.67263330378</v>
      </c>
      <c r="CY32" s="72">
        <f t="shared" si="21"/>
        <v>71537.67263330378</v>
      </c>
      <c r="CZ32" s="72">
        <f t="shared" si="21"/>
        <v>71537.67263330378</v>
      </c>
      <c r="DA32" s="72">
        <f t="shared" si="21"/>
        <v>71537.67263330378</v>
      </c>
      <c r="DB32" s="72">
        <f t="shared" si="21"/>
        <v>71537.67263330378</v>
      </c>
      <c r="DC32" s="72">
        <f t="shared" si="21"/>
        <v>71537.67263330378</v>
      </c>
      <c r="DD32" s="72">
        <f t="shared" si="21"/>
        <v>71537.67263330378</v>
      </c>
      <c r="DE32" s="72">
        <f t="shared" si="21"/>
        <v>71537.67263330378</v>
      </c>
      <c r="DF32" s="72">
        <f t="shared" si="21"/>
        <v>71537.67263330378</v>
      </c>
      <c r="DG32" s="72">
        <f t="shared" si="21"/>
        <v>71537.67263330378</v>
      </c>
      <c r="DH32" s="72">
        <f t="shared" si="21"/>
        <v>71537.67263330378</v>
      </c>
      <c r="DI32" s="72">
        <f t="shared" si="21"/>
        <v>71537.67263330378</v>
      </c>
      <c r="DJ32" s="72">
        <f t="shared" si="21"/>
        <v>71537.67263330378</v>
      </c>
      <c r="DK32" s="72">
        <f t="shared" si="21"/>
        <v>71537.67263330378</v>
      </c>
      <c r="DL32" s="72">
        <f t="shared" si="21"/>
        <v>71537.67263330378</v>
      </c>
      <c r="DM32" s="72">
        <f t="shared" si="21"/>
        <v>71537.67263330378</v>
      </c>
      <c r="DN32" s="72">
        <f t="shared" si="21"/>
        <v>71537.67263330378</v>
      </c>
      <c r="DO32" s="72">
        <f t="shared" si="21"/>
        <v>71537.67263330378</v>
      </c>
      <c r="DP32" s="72">
        <f t="shared" si="21"/>
        <v>71537.67263330378</v>
      </c>
      <c r="DQ32" s="72">
        <f t="shared" si="21"/>
        <v>71537.67263330378</v>
      </c>
      <c r="DR32" s="72">
        <f t="shared" si="21"/>
        <v>71537.67263330378</v>
      </c>
      <c r="DS32" s="72">
        <f t="shared" si="21"/>
        <v>71537.67263330378</v>
      </c>
    </row>
    <row r="33" spans="1:123" ht="15" customHeight="1" x14ac:dyDescent="0.2">
      <c r="B33" s="20" t="s">
        <v>913</v>
      </c>
      <c r="D33" s="72">
        <f t="shared" ref="D33:AI33" si="22">D32-D25-D26-D27-D37</f>
        <v>-567244.15466666664</v>
      </c>
      <c r="E33" s="72">
        <f t="shared" si="22"/>
        <v>-444359.15466666664</v>
      </c>
      <c r="F33" s="72">
        <f t="shared" si="22"/>
        <v>-399359.15466666664</v>
      </c>
      <c r="G33" s="72">
        <f t="shared" si="22"/>
        <v>-264390.70874903636</v>
      </c>
      <c r="H33" s="72">
        <f t="shared" si="22"/>
        <v>-288287.31593536626</v>
      </c>
      <c r="I33" s="72">
        <f t="shared" si="22"/>
        <v>10386.91392405441</v>
      </c>
      <c r="J33" s="72">
        <f t="shared" si="22"/>
        <v>15729.789836990494</v>
      </c>
      <c r="K33" s="72">
        <f t="shared" si="22"/>
        <v>23296.136047573047</v>
      </c>
      <c r="L33" s="72">
        <f t="shared" si="22"/>
        <v>63632.83278784815</v>
      </c>
      <c r="M33" s="72">
        <f t="shared" si="22"/>
        <v>61582.91677248395</v>
      </c>
      <c r="N33" s="72">
        <f t="shared" si="22"/>
        <v>55182.91677248395</v>
      </c>
      <c r="O33" s="72">
        <f t="shared" si="22"/>
        <v>55182.91677248395</v>
      </c>
      <c r="P33" s="72">
        <f t="shared" si="22"/>
        <v>58326.444877464273</v>
      </c>
      <c r="Q33" s="72">
        <f t="shared" si="22"/>
        <v>58326.444877464273</v>
      </c>
      <c r="R33" s="72">
        <f t="shared" si="22"/>
        <v>58326.444877464273</v>
      </c>
      <c r="S33" s="72">
        <f t="shared" si="22"/>
        <v>58326.444877464273</v>
      </c>
      <c r="T33" s="72">
        <f t="shared" si="22"/>
        <v>58732.976582821415</v>
      </c>
      <c r="U33" s="72">
        <f t="shared" si="22"/>
        <v>58820.376890284781</v>
      </c>
      <c r="V33" s="72">
        <f t="shared" si="22"/>
        <v>59225.787955024512</v>
      </c>
      <c r="W33" s="72">
        <f t="shared" si="22"/>
        <v>59652.152850076629</v>
      </c>
      <c r="X33" s="72">
        <f t="shared" si="22"/>
        <v>59760.572844835595</v>
      </c>
      <c r="Y33" s="72">
        <f t="shared" si="22"/>
        <v>59844.4804929534</v>
      </c>
      <c r="Z33" s="72">
        <f t="shared" si="22"/>
        <v>59885.528838795202</v>
      </c>
      <c r="AA33" s="72">
        <f t="shared" si="22"/>
        <v>56816.501156780825</v>
      </c>
      <c r="AB33" s="72">
        <f t="shared" si="22"/>
        <v>59960.029261761156</v>
      </c>
      <c r="AC33" s="72">
        <f t="shared" si="22"/>
        <v>59960.029261761156</v>
      </c>
      <c r="AD33" s="72">
        <f t="shared" si="22"/>
        <v>59887.325950484075</v>
      </c>
      <c r="AE33" s="72">
        <f t="shared" si="22"/>
        <v>59887.325950484075</v>
      </c>
      <c r="AF33" s="72">
        <f t="shared" si="22"/>
        <v>60516.427839324599</v>
      </c>
      <c r="AG33" s="72">
        <f t="shared" si="22"/>
        <v>61078.776753831262</v>
      </c>
      <c r="AH33" s="72">
        <f t="shared" si="22"/>
        <v>61252.18259179833</v>
      </c>
      <c r="AI33" s="72">
        <f t="shared" si="22"/>
        <v>61760.174419822433</v>
      </c>
      <c r="AJ33" s="72">
        <f t="shared" ref="AJ33:BO33" si="23">AJ32-AJ25-AJ26-AJ27-AJ37</f>
        <v>62228.298262536686</v>
      </c>
      <c r="AK33" s="72">
        <f t="shared" si="23"/>
        <v>62350.132924791986</v>
      </c>
      <c r="AL33" s="72">
        <f t="shared" si="23"/>
        <v>62357.064771698453</v>
      </c>
      <c r="AM33" s="72">
        <f t="shared" si="23"/>
        <v>62777.664416782893</v>
      </c>
      <c r="AN33" s="72">
        <f t="shared" si="23"/>
        <v>64692.72001158823</v>
      </c>
      <c r="AO33" s="72">
        <f t="shared" si="23"/>
        <v>65039.285097023923</v>
      </c>
      <c r="AP33" s="72">
        <f t="shared" si="23"/>
        <v>65389.656163820335</v>
      </c>
      <c r="AQ33" s="72">
        <f t="shared" si="23"/>
        <v>65501.518996761079</v>
      </c>
      <c r="AR33" s="72">
        <f t="shared" si="23"/>
        <v>65815.998208826175</v>
      </c>
      <c r="AS33" s="72">
        <f t="shared" si="23"/>
        <v>65899.853710199604</v>
      </c>
      <c r="AT33" s="72">
        <f t="shared" si="23"/>
        <v>66112.021971896029</v>
      </c>
      <c r="AU33" s="72">
        <f t="shared" si="23"/>
        <v>66348.279880600428</v>
      </c>
      <c r="AV33" s="72">
        <f t="shared" si="23"/>
        <v>66408.922507706273</v>
      </c>
      <c r="AW33" s="72">
        <f t="shared" si="23"/>
        <v>63093.182787091617</v>
      </c>
      <c r="AX33" s="72">
        <f t="shared" si="23"/>
        <v>63129.478420084961</v>
      </c>
      <c r="AY33" s="72">
        <f t="shared" si="23"/>
        <v>63129.478420084961</v>
      </c>
      <c r="AZ33" s="72">
        <f t="shared" si="23"/>
        <v>64701.242472575119</v>
      </c>
      <c r="BA33" s="72">
        <f t="shared" si="23"/>
        <v>64556.556102162031</v>
      </c>
      <c r="BB33" s="72">
        <f t="shared" si="23"/>
        <v>64556.556102162031</v>
      </c>
      <c r="BC33" s="72">
        <f t="shared" si="23"/>
        <v>64556.556102162031</v>
      </c>
      <c r="BD33" s="72">
        <f t="shared" si="23"/>
        <v>65006.280675306683</v>
      </c>
      <c r="BE33" s="72">
        <f t="shared" si="23"/>
        <v>65309.425334436535</v>
      </c>
      <c r="BF33" s="72">
        <f t="shared" si="23"/>
        <v>65548.600560487044</v>
      </c>
      <c r="BG33" s="72">
        <f t="shared" si="23"/>
        <v>65864.220887932577</v>
      </c>
      <c r="BH33" s="72">
        <f t="shared" si="23"/>
        <v>66129.216870697564</v>
      </c>
      <c r="BI33" s="72">
        <f t="shared" si="23"/>
        <v>66377.995571665335</v>
      </c>
      <c r="BJ33" s="72">
        <f t="shared" si="23"/>
        <v>66648.202703174422</v>
      </c>
      <c r="BK33" s="72">
        <f t="shared" si="23"/>
        <v>66759.304846971296</v>
      </c>
      <c r="BL33" s="72">
        <f t="shared" si="23"/>
        <v>68538.699426198626</v>
      </c>
      <c r="BM33" s="72">
        <f t="shared" si="23"/>
        <v>68735.14377191852</v>
      </c>
      <c r="BN33" s="72">
        <f t="shared" si="23"/>
        <v>68950.19684034698</v>
      </c>
      <c r="BO33" s="72">
        <f t="shared" si="23"/>
        <v>69127.848440230955</v>
      </c>
      <c r="BP33" s="72">
        <f t="shared" ref="BP33:CU33" si="24">BP32-BP25-BP26-BP27-BP37</f>
        <v>69215.075307599836</v>
      </c>
      <c r="BQ33" s="72">
        <f t="shared" si="24"/>
        <v>69374.478021022427</v>
      </c>
      <c r="BR33" s="72">
        <f t="shared" si="24"/>
        <v>69550.052678848268</v>
      </c>
      <c r="BS33" s="72">
        <f t="shared" si="24"/>
        <v>69783.320511868107</v>
      </c>
      <c r="BT33" s="72">
        <f t="shared" si="24"/>
        <v>69935.741902868642</v>
      </c>
      <c r="BU33" s="72">
        <f t="shared" si="24"/>
        <v>70000.12842291547</v>
      </c>
      <c r="BV33" s="72">
        <f t="shared" si="24"/>
        <v>70130.304269897068</v>
      </c>
      <c r="BW33" s="72">
        <f t="shared" si="24"/>
        <v>70265.291736871804</v>
      </c>
      <c r="BX33" s="72">
        <f t="shared" si="24"/>
        <v>71949.966254962666</v>
      </c>
      <c r="BY33" s="72">
        <f t="shared" si="24"/>
        <v>72056.861045635669</v>
      </c>
      <c r="BZ33" s="72">
        <f t="shared" si="24"/>
        <v>72175.544591593061</v>
      </c>
      <c r="CA33" s="72">
        <f t="shared" si="24"/>
        <v>72301.725201854497</v>
      </c>
      <c r="CB33" s="72">
        <f t="shared" si="24"/>
        <v>71454.127051685529</v>
      </c>
      <c r="CC33" s="72">
        <f t="shared" si="24"/>
        <v>71503.920442281058</v>
      </c>
      <c r="CD33" s="72">
        <f t="shared" si="24"/>
        <v>71527.485554238476</v>
      </c>
      <c r="CE33" s="72">
        <f t="shared" si="24"/>
        <v>71537.67263330378</v>
      </c>
      <c r="CF33" s="72">
        <f t="shared" si="24"/>
        <v>71537.67263330378</v>
      </c>
      <c r="CG33" s="72">
        <f t="shared" si="24"/>
        <v>71537.67263330378</v>
      </c>
      <c r="CH33" s="72">
        <f t="shared" si="24"/>
        <v>71537.67263330378</v>
      </c>
      <c r="CI33" s="72">
        <f t="shared" si="24"/>
        <v>71537.67263330378</v>
      </c>
      <c r="CJ33" s="72">
        <f t="shared" si="24"/>
        <v>71537.67263330378</v>
      </c>
      <c r="CK33" s="72">
        <f t="shared" si="24"/>
        <v>71537.67263330378</v>
      </c>
      <c r="CL33" s="72">
        <f t="shared" si="24"/>
        <v>71537.67263330378</v>
      </c>
      <c r="CM33" s="72">
        <f t="shared" si="24"/>
        <v>71537.67263330378</v>
      </c>
      <c r="CN33" s="72">
        <f t="shared" si="24"/>
        <v>71537.67263330378</v>
      </c>
      <c r="CO33" s="72">
        <f t="shared" si="24"/>
        <v>71537.67263330378</v>
      </c>
      <c r="CP33" s="72">
        <f t="shared" si="24"/>
        <v>71537.67263330378</v>
      </c>
      <c r="CQ33" s="72">
        <f t="shared" si="24"/>
        <v>71537.67263330378</v>
      </c>
      <c r="CR33" s="72">
        <f t="shared" si="24"/>
        <v>71537.67263330378</v>
      </c>
      <c r="CS33" s="72">
        <f t="shared" si="24"/>
        <v>71537.67263330378</v>
      </c>
      <c r="CT33" s="72">
        <f t="shared" si="24"/>
        <v>71537.67263330378</v>
      </c>
      <c r="CU33" s="72">
        <f t="shared" si="24"/>
        <v>71537.67263330378</v>
      </c>
      <c r="CV33" s="72">
        <f t="shared" ref="CV33:EA33" si="25">CV32-CV25-CV26-CV27-CV37</f>
        <v>71537.67263330378</v>
      </c>
      <c r="CW33" s="72">
        <f t="shared" si="25"/>
        <v>71537.67263330378</v>
      </c>
      <c r="CX33" s="72">
        <f t="shared" si="25"/>
        <v>71537.67263330378</v>
      </c>
      <c r="CY33" s="72">
        <f t="shared" si="25"/>
        <v>71537.67263330378</v>
      </c>
      <c r="CZ33" s="72">
        <f t="shared" si="25"/>
        <v>71537.67263330378</v>
      </c>
      <c r="DA33" s="72">
        <f t="shared" si="25"/>
        <v>71537.67263330378</v>
      </c>
      <c r="DB33" s="72">
        <f t="shared" si="25"/>
        <v>71537.67263330378</v>
      </c>
      <c r="DC33" s="72">
        <f t="shared" si="25"/>
        <v>71537.67263330378</v>
      </c>
      <c r="DD33" s="72">
        <f t="shared" si="25"/>
        <v>71537.67263330378</v>
      </c>
      <c r="DE33" s="72">
        <f t="shared" si="25"/>
        <v>71537.67263330378</v>
      </c>
      <c r="DF33" s="72">
        <f t="shared" si="25"/>
        <v>71537.67263330378</v>
      </c>
      <c r="DG33" s="72">
        <f t="shared" si="25"/>
        <v>71537.67263330378</v>
      </c>
      <c r="DH33" s="72">
        <f t="shared" si="25"/>
        <v>71537.67263330378</v>
      </c>
      <c r="DI33" s="72">
        <f t="shared" si="25"/>
        <v>71537.67263330378</v>
      </c>
      <c r="DJ33" s="72">
        <f t="shared" si="25"/>
        <v>71537.67263330378</v>
      </c>
      <c r="DK33" s="72">
        <f t="shared" si="25"/>
        <v>71537.67263330378</v>
      </c>
      <c r="DL33" s="72">
        <f t="shared" si="25"/>
        <v>71537.67263330378</v>
      </c>
      <c r="DM33" s="72">
        <f t="shared" si="25"/>
        <v>71537.67263330378</v>
      </c>
      <c r="DN33" s="72">
        <f t="shared" si="25"/>
        <v>71537.67263330378</v>
      </c>
      <c r="DO33" s="72">
        <f t="shared" si="25"/>
        <v>71537.67263330378</v>
      </c>
      <c r="DP33" s="72">
        <f t="shared" si="25"/>
        <v>71537.67263330378</v>
      </c>
      <c r="DQ33" s="72">
        <f t="shared" si="25"/>
        <v>71537.67263330378</v>
      </c>
      <c r="DR33" s="72">
        <f t="shared" si="25"/>
        <v>71537.67263330378</v>
      </c>
      <c r="DS33" s="72">
        <f t="shared" si="25"/>
        <v>71537.67263330378</v>
      </c>
    </row>
    <row r="34" spans="1:123" ht="15" customHeight="1" x14ac:dyDescent="0.2">
      <c r="B34" s="37" t="s">
        <v>914</v>
      </c>
      <c r="D34" s="77">
        <f>D33</f>
        <v>-567244.15466666664</v>
      </c>
      <c r="E34" s="77">
        <f t="shared" ref="E34:AJ34" si="26">D34+E33</f>
        <v>-1011603.3093333333</v>
      </c>
      <c r="F34" s="77">
        <f t="shared" si="26"/>
        <v>-1410962.4639999999</v>
      </c>
      <c r="G34" s="77">
        <f t="shared" si="26"/>
        <v>-1675353.1727490362</v>
      </c>
      <c r="H34" s="77">
        <f t="shared" si="26"/>
        <v>-1963640.4886844025</v>
      </c>
      <c r="I34" s="77">
        <f t="shared" si="26"/>
        <v>-1953253.5747603481</v>
      </c>
      <c r="J34" s="77">
        <f t="shared" si="26"/>
        <v>-1937523.7849233577</v>
      </c>
      <c r="K34" s="77">
        <f t="shared" si="26"/>
        <v>-1914227.6488757846</v>
      </c>
      <c r="L34" s="77">
        <f t="shared" si="26"/>
        <v>-1850594.8160879365</v>
      </c>
      <c r="M34" s="77">
        <f t="shared" si="26"/>
        <v>-1789011.8993154527</v>
      </c>
      <c r="N34" s="77">
        <f t="shared" si="26"/>
        <v>-1733828.9825429688</v>
      </c>
      <c r="O34" s="77">
        <f t="shared" si="26"/>
        <v>-1678646.065770485</v>
      </c>
      <c r="P34" s="77">
        <f t="shared" si="26"/>
        <v>-1620319.6208930206</v>
      </c>
      <c r="Q34" s="77">
        <f t="shared" si="26"/>
        <v>-1561993.1760155563</v>
      </c>
      <c r="R34" s="77">
        <f t="shared" si="26"/>
        <v>-1503666.731138092</v>
      </c>
      <c r="S34" s="77">
        <f t="shared" si="26"/>
        <v>-1445340.2862606277</v>
      </c>
      <c r="T34" s="77">
        <f t="shared" si="26"/>
        <v>-1386607.3096778062</v>
      </c>
      <c r="U34" s="77">
        <f t="shared" si="26"/>
        <v>-1327786.9327875215</v>
      </c>
      <c r="V34" s="77">
        <f t="shared" si="26"/>
        <v>-1268561.144832497</v>
      </c>
      <c r="W34" s="77">
        <f t="shared" si="26"/>
        <v>-1208908.9919824204</v>
      </c>
      <c r="X34" s="77">
        <f t="shared" si="26"/>
        <v>-1149148.4191375847</v>
      </c>
      <c r="Y34" s="77">
        <f t="shared" si="26"/>
        <v>-1089303.9386446313</v>
      </c>
      <c r="Z34" s="77">
        <f t="shared" si="26"/>
        <v>-1029418.4098058362</v>
      </c>
      <c r="AA34" s="77">
        <f t="shared" si="26"/>
        <v>-972601.90864905529</v>
      </c>
      <c r="AB34" s="77">
        <f t="shared" si="26"/>
        <v>-912641.87938729418</v>
      </c>
      <c r="AC34" s="77">
        <f t="shared" si="26"/>
        <v>-852681.85012553306</v>
      </c>
      <c r="AD34" s="77">
        <f t="shared" si="26"/>
        <v>-792794.52417504904</v>
      </c>
      <c r="AE34" s="77">
        <f t="shared" si="26"/>
        <v>-732907.19822456501</v>
      </c>
      <c r="AF34" s="77">
        <f t="shared" si="26"/>
        <v>-672390.77038524044</v>
      </c>
      <c r="AG34" s="77">
        <f t="shared" si="26"/>
        <v>-611311.99363140913</v>
      </c>
      <c r="AH34" s="77">
        <f t="shared" si="26"/>
        <v>-550059.81103961077</v>
      </c>
      <c r="AI34" s="77">
        <f t="shared" si="26"/>
        <v>-488299.63661978836</v>
      </c>
      <c r="AJ34" s="77">
        <f t="shared" si="26"/>
        <v>-426071.33835725166</v>
      </c>
      <c r="AK34" s="77">
        <f t="shared" ref="AK34:BP34" si="27">AJ34+AK33</f>
        <v>-363721.20543245965</v>
      </c>
      <c r="AL34" s="77">
        <f t="shared" si="27"/>
        <v>-301364.14066076122</v>
      </c>
      <c r="AM34" s="77">
        <f t="shared" si="27"/>
        <v>-238586.47624397831</v>
      </c>
      <c r="AN34" s="77">
        <f t="shared" si="27"/>
        <v>-173893.75623239006</v>
      </c>
      <c r="AO34" s="77">
        <f t="shared" si="27"/>
        <v>-108854.47113536614</v>
      </c>
      <c r="AP34" s="77">
        <f t="shared" si="27"/>
        <v>-43464.814971545806</v>
      </c>
      <c r="AQ34" s="77">
        <f t="shared" si="27"/>
        <v>22036.704025215273</v>
      </c>
      <c r="AR34" s="77">
        <f t="shared" si="27"/>
        <v>87852.702234041441</v>
      </c>
      <c r="AS34" s="77">
        <f t="shared" si="27"/>
        <v>153752.55594424106</v>
      </c>
      <c r="AT34" s="77">
        <f t="shared" si="27"/>
        <v>219864.57791613709</v>
      </c>
      <c r="AU34" s="77">
        <f t="shared" si="27"/>
        <v>286212.85779673752</v>
      </c>
      <c r="AV34" s="77">
        <f t="shared" si="27"/>
        <v>352621.78030444379</v>
      </c>
      <c r="AW34" s="77">
        <f t="shared" si="27"/>
        <v>415714.96309153538</v>
      </c>
      <c r="AX34" s="77">
        <f t="shared" si="27"/>
        <v>478844.44151162036</v>
      </c>
      <c r="AY34" s="77">
        <f t="shared" si="27"/>
        <v>541973.91993170534</v>
      </c>
      <c r="AZ34" s="77">
        <f t="shared" si="27"/>
        <v>606675.16240428051</v>
      </c>
      <c r="BA34" s="77">
        <f t="shared" si="27"/>
        <v>671231.7185064425</v>
      </c>
      <c r="BB34" s="77">
        <f t="shared" si="27"/>
        <v>735788.27460860449</v>
      </c>
      <c r="BC34" s="77">
        <f t="shared" si="27"/>
        <v>800344.83071076649</v>
      </c>
      <c r="BD34" s="77">
        <f t="shared" si="27"/>
        <v>865351.11138607317</v>
      </c>
      <c r="BE34" s="77">
        <f t="shared" si="27"/>
        <v>930660.53672050976</v>
      </c>
      <c r="BF34" s="77">
        <f t="shared" si="27"/>
        <v>996209.13728099677</v>
      </c>
      <c r="BG34" s="77">
        <f t="shared" si="27"/>
        <v>1062073.3581689293</v>
      </c>
      <c r="BH34" s="77">
        <f t="shared" si="27"/>
        <v>1128202.575039627</v>
      </c>
      <c r="BI34" s="77">
        <f t="shared" si="27"/>
        <v>1194580.5706112923</v>
      </c>
      <c r="BJ34" s="77">
        <f t="shared" si="27"/>
        <v>1261228.7733144667</v>
      </c>
      <c r="BK34" s="77">
        <f t="shared" si="27"/>
        <v>1327988.078161438</v>
      </c>
      <c r="BL34" s="77">
        <f t="shared" si="27"/>
        <v>1396526.7775876366</v>
      </c>
      <c r="BM34" s="77">
        <f t="shared" si="27"/>
        <v>1465261.9213595551</v>
      </c>
      <c r="BN34" s="77">
        <f t="shared" si="27"/>
        <v>1534212.1181999021</v>
      </c>
      <c r="BO34" s="77">
        <f t="shared" si="27"/>
        <v>1603339.9666401332</v>
      </c>
      <c r="BP34" s="77">
        <f t="shared" si="27"/>
        <v>1672555.0419477329</v>
      </c>
      <c r="BQ34" s="77">
        <f t="shared" ref="BQ34:CV34" si="28">BP34+BQ33</f>
        <v>1741929.5199687553</v>
      </c>
      <c r="BR34" s="77">
        <f t="shared" si="28"/>
        <v>1811479.5726476037</v>
      </c>
      <c r="BS34" s="77">
        <f t="shared" si="28"/>
        <v>1881262.8931594719</v>
      </c>
      <c r="BT34" s="77">
        <f t="shared" si="28"/>
        <v>1951198.6350623406</v>
      </c>
      <c r="BU34" s="77">
        <f t="shared" si="28"/>
        <v>2021198.7634852561</v>
      </c>
      <c r="BV34" s="77">
        <f t="shared" si="28"/>
        <v>2091329.0677551532</v>
      </c>
      <c r="BW34" s="77">
        <f t="shared" si="28"/>
        <v>2161594.3594920249</v>
      </c>
      <c r="BX34" s="77">
        <f t="shared" si="28"/>
        <v>2233544.3257469875</v>
      </c>
      <c r="BY34" s="77">
        <f t="shared" si="28"/>
        <v>2305601.1867926233</v>
      </c>
      <c r="BZ34" s="77">
        <f t="shared" si="28"/>
        <v>2377776.7313842163</v>
      </c>
      <c r="CA34" s="77">
        <f t="shared" si="28"/>
        <v>2450078.4565860708</v>
      </c>
      <c r="CB34" s="77">
        <f t="shared" si="28"/>
        <v>2521532.5836377563</v>
      </c>
      <c r="CC34" s="77">
        <f t="shared" si="28"/>
        <v>2593036.5040800376</v>
      </c>
      <c r="CD34" s="77">
        <f t="shared" si="28"/>
        <v>2664563.9896342759</v>
      </c>
      <c r="CE34" s="77">
        <f t="shared" si="28"/>
        <v>2736101.6622675797</v>
      </c>
      <c r="CF34" s="77">
        <f t="shared" si="28"/>
        <v>2807639.3349008835</v>
      </c>
      <c r="CG34" s="77">
        <f t="shared" si="28"/>
        <v>2879177.0075341873</v>
      </c>
      <c r="CH34" s="77">
        <f t="shared" si="28"/>
        <v>2950714.6801674911</v>
      </c>
      <c r="CI34" s="77">
        <f t="shared" si="28"/>
        <v>3022252.3528007949</v>
      </c>
      <c r="CJ34" s="77">
        <f t="shared" si="28"/>
        <v>3093790.0254340987</v>
      </c>
      <c r="CK34" s="77">
        <f t="shared" si="28"/>
        <v>3165327.6980674025</v>
      </c>
      <c r="CL34" s="77">
        <f t="shared" si="28"/>
        <v>3236865.3707007063</v>
      </c>
      <c r="CM34" s="77">
        <f t="shared" si="28"/>
        <v>3308403.0433340101</v>
      </c>
      <c r="CN34" s="77">
        <f t="shared" si="28"/>
        <v>3379940.7159673139</v>
      </c>
      <c r="CO34" s="77">
        <f t="shared" si="28"/>
        <v>3451478.3886006176</v>
      </c>
      <c r="CP34" s="77">
        <f t="shared" si="28"/>
        <v>3523016.0612339214</v>
      </c>
      <c r="CQ34" s="77">
        <f t="shared" si="28"/>
        <v>3594553.7338672252</v>
      </c>
      <c r="CR34" s="77">
        <f t="shared" si="28"/>
        <v>3666091.406500529</v>
      </c>
      <c r="CS34" s="77">
        <f t="shared" si="28"/>
        <v>3737629.0791338328</v>
      </c>
      <c r="CT34" s="77">
        <f t="shared" si="28"/>
        <v>3809166.7517671366</v>
      </c>
      <c r="CU34" s="77">
        <f t="shared" si="28"/>
        <v>3880704.4244004404</v>
      </c>
      <c r="CV34" s="77">
        <f t="shared" si="28"/>
        <v>3952242.0970337442</v>
      </c>
      <c r="CW34" s="77">
        <f t="shared" ref="CW34:EB34" si="29">CV34+CW33</f>
        <v>4023779.769667048</v>
      </c>
      <c r="CX34" s="77">
        <f t="shared" si="29"/>
        <v>4095317.4423003518</v>
      </c>
      <c r="CY34" s="77">
        <f t="shared" si="29"/>
        <v>4166855.1149336556</v>
      </c>
      <c r="CZ34" s="77">
        <f t="shared" si="29"/>
        <v>4238392.7875669589</v>
      </c>
      <c r="DA34" s="77">
        <f t="shared" si="29"/>
        <v>4309930.4602002623</v>
      </c>
      <c r="DB34" s="77">
        <f t="shared" si="29"/>
        <v>4381468.1328335656</v>
      </c>
      <c r="DC34" s="77">
        <f t="shared" si="29"/>
        <v>4453005.8054668689</v>
      </c>
      <c r="DD34" s="77">
        <f t="shared" si="29"/>
        <v>4524543.4781001722</v>
      </c>
      <c r="DE34" s="77">
        <f t="shared" si="29"/>
        <v>4596081.1507334756</v>
      </c>
      <c r="DF34" s="77">
        <f t="shared" si="29"/>
        <v>4667618.8233667789</v>
      </c>
      <c r="DG34" s="77">
        <f t="shared" si="29"/>
        <v>4739156.4960000822</v>
      </c>
      <c r="DH34" s="77">
        <f t="shared" si="29"/>
        <v>4810694.1686333856</v>
      </c>
      <c r="DI34" s="77">
        <f t="shared" si="29"/>
        <v>4882231.8412666889</v>
      </c>
      <c r="DJ34" s="77">
        <f t="shared" si="29"/>
        <v>4953769.5138999922</v>
      </c>
      <c r="DK34" s="77">
        <f t="shared" si="29"/>
        <v>5025307.1865332955</v>
      </c>
      <c r="DL34" s="77">
        <f t="shared" si="29"/>
        <v>5096844.8591665989</v>
      </c>
      <c r="DM34" s="77">
        <f t="shared" si="29"/>
        <v>5168382.5317999022</v>
      </c>
      <c r="DN34" s="77">
        <f t="shared" si="29"/>
        <v>5239920.2044332055</v>
      </c>
      <c r="DO34" s="77">
        <f t="shared" si="29"/>
        <v>5311457.8770665089</v>
      </c>
      <c r="DP34" s="77">
        <f t="shared" si="29"/>
        <v>5382995.5496998122</v>
      </c>
      <c r="DQ34" s="77">
        <f t="shared" si="29"/>
        <v>5454533.2223331155</v>
      </c>
      <c r="DR34" s="77">
        <f t="shared" si="29"/>
        <v>5526070.8949664189</v>
      </c>
      <c r="DS34" s="77">
        <f t="shared" si="29"/>
        <v>5597608.5675997222</v>
      </c>
    </row>
    <row r="35" spans="1:123" ht="15" customHeight="1" x14ac:dyDescent="0.2">
      <c r="B35" s="37" t="s">
        <v>915</v>
      </c>
      <c r="D35" s="77">
        <f>D33/(1+SUP_CONTROL!$C$32)^D4</f>
        <v>-556793.54892887629</v>
      </c>
      <c r="E35" s="77">
        <f>E33/(1+SUP_CONTROL!$C$32)^E4</f>
        <v>-428136.70571748068</v>
      </c>
      <c r="F35" s="77">
        <f>F33/(1+SUP_CONTROL!$C$32)^F4</f>
        <v>-377690.5695046013</v>
      </c>
      <c r="G35" s="77">
        <f>G33/(1+SUP_CONTROL!$C$32)^G4</f>
        <v>-245438.59228809903</v>
      </c>
      <c r="H35" s="77">
        <f>H33/(1+SUP_CONTROL!$C$32)^H4</f>
        <v>-262691.70700947708</v>
      </c>
      <c r="I35" s="77">
        <f>I33/(1+SUP_CONTROL!$C$32)^I4</f>
        <v>9290.3382442498933</v>
      </c>
      <c r="J35" s="77">
        <f>J33/(1+SUP_CONTROL!$C$32)^J4</f>
        <v>13809.949142154803</v>
      </c>
      <c r="K35" s="77">
        <f>K33/(1+SUP_CONTROL!$C$32)^K4</f>
        <v>20076.001457837436</v>
      </c>
      <c r="L35" s="77">
        <f>L33/(1+SUP_CONTROL!$C$32)^L4</f>
        <v>53826.823040951269</v>
      </c>
      <c r="M35" s="77">
        <f>M33/(1+SUP_CONTROL!$C$32)^M4</f>
        <v>51133.074970658978</v>
      </c>
      <c r="N35" s="77">
        <f>N33/(1+SUP_CONTROL!$C$32)^N4</f>
        <v>44974.927654051702</v>
      </c>
      <c r="O35" s="77">
        <f>O33/(1+SUP_CONTROL!$C$32)^O4</f>
        <v>44146.333417987102</v>
      </c>
      <c r="P35" s="77">
        <f>P33/(1+SUP_CONTROL!$C$32)^P4</f>
        <v>45801.495490155168</v>
      </c>
      <c r="Q35" s="77">
        <f>Q33/(1+SUP_CONTROL!$C$32)^Q4</f>
        <v>44957.673006254787</v>
      </c>
      <c r="R35" s="77">
        <f>R33/(1+SUP_CONTROL!$C$32)^R4</f>
        <v>44129.396660678409</v>
      </c>
      <c r="S35" s="77">
        <f>S33/(1+SUP_CONTROL!$C$32)^S4</f>
        <v>43316.380039611038</v>
      </c>
      <c r="T35" s="77">
        <f>T33/(1+SUP_CONTROL!$C$32)^T4</f>
        <v>42814.69221420223</v>
      </c>
      <c r="U35" s="77">
        <f>U33/(1+SUP_CONTROL!$C$32)^U4</f>
        <v>42088.435580426943</v>
      </c>
      <c r="V35" s="77">
        <f>V33/(1+SUP_CONTROL!$C$32)^V4</f>
        <v>41597.764651096841</v>
      </c>
      <c r="W35" s="77">
        <f>W33/(1+SUP_CONTROL!$C$32)^W4</f>
        <v>41125.333579292514</v>
      </c>
      <c r="X35" s="77">
        <f>X33/(1+SUP_CONTROL!$C$32)^X4</f>
        <v>40441.031944240342</v>
      </c>
      <c r="Y35" s="77">
        <f>Y33/(1+SUP_CONTROL!$C$32)^Y4</f>
        <v>39751.703465836268</v>
      </c>
      <c r="Z35" s="77">
        <f>Z33/(1+SUP_CONTROL!$C$32)^Z4</f>
        <v>39046.10317216767</v>
      </c>
      <c r="AA35" s="77">
        <f>AA33/(1+SUP_CONTROL!$C$32)^AA4</f>
        <v>36362.560740339635</v>
      </c>
      <c r="AB35" s="77">
        <f>AB33/(1+SUP_CONTROL!$C$32)^AB4</f>
        <v>37667.428770488295</v>
      </c>
      <c r="AC35" s="77">
        <f>AC33/(1+SUP_CONTROL!$C$32)^AC4</f>
        <v>36973.464021802618</v>
      </c>
      <c r="AD35" s="77">
        <f>AD33/(1+SUP_CONTROL!$C$32)^AD4</f>
        <v>36248.279042117298</v>
      </c>
      <c r="AE35" s="77">
        <f>AE33/(1+SUP_CONTROL!$C$32)^AE4</f>
        <v>35580.45995605694</v>
      </c>
      <c r="AF35" s="77">
        <f>AF33/(1+SUP_CONTROL!$C$32)^AF4</f>
        <v>35291.822517321394</v>
      </c>
      <c r="AG35" s="77">
        <f>AG33/(1+SUP_CONTROL!$C$32)^AG4</f>
        <v>34963.53198184965</v>
      </c>
      <c r="AH35" s="77">
        <f>AH33/(1+SUP_CONTROL!$C$32)^AH4</f>
        <v>34416.816914341784</v>
      </c>
      <c r="AI35" s="77">
        <f>AI33/(1+SUP_CONTROL!$C$32)^AI4</f>
        <v>34062.9151315161</v>
      </c>
      <c r="AJ35" s="77">
        <f>AJ33/(1+SUP_CONTROL!$C$32)^AJ4</f>
        <v>33688.788150074593</v>
      </c>
      <c r="AK35" s="77">
        <f>AK33/(1+SUP_CONTROL!$C$32)^AK4</f>
        <v>33132.866719411424</v>
      </c>
      <c r="AL35" s="77">
        <f>AL33/(1+SUP_CONTROL!$C$32)^AL4</f>
        <v>32526.060058929736</v>
      </c>
      <c r="AM35" s="77">
        <f>AM33/(1+SUP_CONTROL!$C$32)^AM4</f>
        <v>32142.164181392716</v>
      </c>
      <c r="AN35" s="77">
        <f>AN33/(1+SUP_CONTROL!$C$32)^AN4</f>
        <v>32512.43807593919</v>
      </c>
      <c r="AO35" s="77">
        <f>AO33/(1+SUP_CONTROL!$C$32)^AO4</f>
        <v>32084.40952609291</v>
      </c>
      <c r="AP35" s="77">
        <f>AP33/(1+SUP_CONTROL!$C$32)^AP4</f>
        <v>31662.959939858229</v>
      </c>
      <c r="AQ35" s="77">
        <f>AQ33/(1+SUP_CONTROL!$C$32)^AQ4</f>
        <v>31132.786601988122</v>
      </c>
      <c r="AR35" s="77">
        <f>AR33/(1+SUP_CONTROL!$C$32)^AR4</f>
        <v>30705.930412857055</v>
      </c>
      <c r="AS35" s="77">
        <f>AS33/(1+SUP_CONTROL!$C$32)^AS4</f>
        <v>30178.621973155303</v>
      </c>
      <c r="AT35" s="77">
        <f>AT33/(1+SUP_CONTROL!$C$32)^AT4</f>
        <v>29717.998735912544</v>
      </c>
      <c r="AU35" s="77">
        <f>AU33/(1+SUP_CONTROL!$C$32)^AU4</f>
        <v>29274.733731575678</v>
      </c>
      <c r="AV35" s="77">
        <f>AV33/(1+SUP_CONTROL!$C$32)^AV4</f>
        <v>28761.655826718539</v>
      </c>
      <c r="AW35" s="77">
        <f>AW33/(1+SUP_CONTROL!$C$32)^AW4</f>
        <v>26822.178790986316</v>
      </c>
      <c r="AX35" s="77">
        <f>AX33/(1+SUP_CONTROL!$C$32)^AX4</f>
        <v>26343.166909453761</v>
      </c>
      <c r="AY35" s="77">
        <f>AY33/(1+SUP_CONTROL!$C$32)^AY4</f>
        <v>25857.834360866662</v>
      </c>
      <c r="AZ35" s="77">
        <f>AZ33/(1+SUP_CONTROL!$C$32)^AZ4</f>
        <v>26013.376948121659</v>
      </c>
      <c r="BA35" s="77">
        <f>BA33/(1+SUP_CONTROL!$C$32)^BA4</f>
        <v>25477.02030225093</v>
      </c>
      <c r="BB35" s="77">
        <f>BB33/(1+SUP_CONTROL!$C$32)^BB4</f>
        <v>25007.645179806583</v>
      </c>
      <c r="BC35" s="77">
        <f>BC33/(1+SUP_CONTROL!$C$32)^BC4</f>
        <v>24546.917575908596</v>
      </c>
      <c r="BD35" s="77">
        <f>BD33/(1+SUP_CONTROL!$C$32)^BD4</f>
        <v>24262.530510971566</v>
      </c>
      <c r="BE35" s="77">
        <f>BE33/(1+SUP_CONTROL!$C$32)^BE4</f>
        <v>23926.589787217297</v>
      </c>
      <c r="BF35" s="77">
        <f>BF33/(1+SUP_CONTROL!$C$32)^BF4</f>
        <v>23571.788252677721</v>
      </c>
      <c r="BG35" s="77">
        <f>BG33/(1+SUP_CONTROL!$C$32)^BG4</f>
        <v>23248.922593342864</v>
      </c>
      <c r="BH35" s="77">
        <f>BH33/(1+SUP_CONTROL!$C$32)^BH4</f>
        <v>22912.412415722822</v>
      </c>
      <c r="BI35" s="77">
        <f>BI33/(1+SUP_CONTROL!$C$32)^BI4</f>
        <v>22574.894926679914</v>
      </c>
      <c r="BJ35" s="77">
        <f>BJ33/(1+SUP_CONTROL!$C$32)^BJ4</f>
        <v>22249.190355626142</v>
      </c>
      <c r="BK35" s="77">
        <f>BK33/(1+SUP_CONTROL!$C$32)^BK4</f>
        <v>21875.689012255414</v>
      </c>
      <c r="BL35" s="77">
        <f>BL33/(1+SUP_CONTROL!$C$32)^BL4</f>
        <v>22044.992715105142</v>
      </c>
      <c r="BM35" s="77">
        <f>BM33/(1+SUP_CONTROL!$C$32)^BM4</f>
        <v>21700.868312541905</v>
      </c>
      <c r="BN35" s="77">
        <f>BN33/(1+SUP_CONTROL!$C$32)^BN4</f>
        <v>21367.70809065472</v>
      </c>
      <c r="BO35" s="77">
        <f>BO33/(1+SUP_CONTROL!$C$32)^BO4</f>
        <v>21028.080806255024</v>
      </c>
      <c r="BP35" s="77">
        <f>BP33/(1+SUP_CONTROL!$C$32)^BP4</f>
        <v>20666.715388413177</v>
      </c>
      <c r="BQ35" s="77">
        <f>BQ33/(1+SUP_CONTROL!$C$32)^BQ4</f>
        <v>20332.681462883305</v>
      </c>
      <c r="BR35" s="77">
        <f>BR33/(1+SUP_CONTROL!$C$32)^BR4</f>
        <v>20008.593326968919</v>
      </c>
      <c r="BS35" s="77">
        <f>BS33/(1+SUP_CONTROL!$C$32)^BS4</f>
        <v>19705.837190693659</v>
      </c>
      <c r="BT35" s="77">
        <f>BT33/(1+SUP_CONTROL!$C$32)^BT4</f>
        <v>19385.035987481755</v>
      </c>
      <c r="BU35" s="77">
        <f>BU33/(1+SUP_CONTROL!$C$32)^BU4</f>
        <v>19045.41443762392</v>
      </c>
      <c r="BV35" s="77">
        <f>BV33/(1+SUP_CONTROL!$C$32)^BV4</f>
        <v>18729.297128663311</v>
      </c>
      <c r="BW35" s="77">
        <f>BW33/(1+SUP_CONTROL!$C$32)^BW4</f>
        <v>18419.624637070381</v>
      </c>
      <c r="BX35" s="77">
        <f>BX33/(1+SUP_CONTROL!$C$32)^BX4</f>
        <v>18513.762242023717</v>
      </c>
      <c r="BY35" s="77">
        <f>BY33/(1+SUP_CONTROL!$C$32)^BY4</f>
        <v>18199.673317105196</v>
      </c>
      <c r="BZ35" s="77">
        <f>BZ33/(1+SUP_CONTROL!$C$32)^BZ4</f>
        <v>17893.796262112955</v>
      </c>
      <c r="CA35" s="77">
        <f>CA33/(1+SUP_CONTROL!$C$32)^CA4</f>
        <v>17594.836862782133</v>
      </c>
      <c r="CB35" s="77">
        <f>CB33/(1+SUP_CONTROL!$C$32)^CB4</f>
        <v>17068.213542116056</v>
      </c>
      <c r="CC35" s="77">
        <f>CC33/(1+SUP_CONTROL!$C$32)^CC4</f>
        <v>16765.432812449395</v>
      </c>
      <c r="CD35" s="77">
        <f>CD33/(1+SUP_CONTROL!$C$32)^CD4</f>
        <v>16461.978848687766</v>
      </c>
      <c r="CE35" s="77">
        <f>CE33/(1+SUP_CONTROL!$C$32)^CE4</f>
        <v>16160.993424476248</v>
      </c>
      <c r="CF35" s="77">
        <f>CF33/(1+SUP_CONTROL!$C$32)^CF4</f>
        <v>15863.251844909913</v>
      </c>
      <c r="CG35" s="77">
        <f>CG33/(1+SUP_CONTROL!$C$32)^CG4</f>
        <v>15570.99569844006</v>
      </c>
      <c r="CH35" s="77">
        <f>CH33/(1+SUP_CONTROL!$C$32)^CH4</f>
        <v>15284.123924353908</v>
      </c>
      <c r="CI35" s="77">
        <f>CI33/(1+SUP_CONTROL!$C$32)^CI4</f>
        <v>15002.537323827692</v>
      </c>
      <c r="CJ35" s="77">
        <f>CJ33/(1+SUP_CONTROL!$C$32)^CJ4</f>
        <v>14726.138525624228</v>
      </c>
      <c r="CK35" s="77">
        <f>CK33/(1+SUP_CONTROL!$C$32)^CK4</f>
        <v>14454.831952422393</v>
      </c>
      <c r="CL35" s="77">
        <f>CL33/(1+SUP_CONTROL!$C$32)^CL4</f>
        <v>14188.523787766995</v>
      </c>
      <c r="CM35" s="77">
        <f>CM33/(1+SUP_CONTROL!$C$32)^CM4</f>
        <v>13927.121943627508</v>
      </c>
      <c r="CN35" s="77">
        <f>CN33/(1+SUP_CONTROL!$C$32)^CN4</f>
        <v>13670.536028554467</v>
      </c>
      <c r="CO35" s="77">
        <f>CO33/(1+SUP_CONTROL!$C$32)^CO4</f>
        <v>13418.677316422592</v>
      </c>
      <c r="CP35" s="77">
        <f>CP33/(1+SUP_CONTROL!$C$32)^CP4</f>
        <v>13171.45871574971</v>
      </c>
      <c r="CQ35" s="77">
        <f>CQ33/(1+SUP_CONTROL!$C$32)^CQ4</f>
        <v>12928.794739580982</v>
      </c>
      <c r="CR35" s="77">
        <f>CR33/(1+SUP_CONTROL!$C$32)^CR4</f>
        <v>12690.601475927913</v>
      </c>
      <c r="CS35" s="77">
        <f>CS33/(1+SUP_CONTROL!$C$32)^CS4</f>
        <v>12456.796558752032</v>
      </c>
      <c r="CT35" s="77">
        <f>CT33/(1+SUP_CONTROL!$C$32)^CT4</f>
        <v>12227.299139483108</v>
      </c>
      <c r="CU35" s="77">
        <f>CU33/(1+SUP_CONTROL!$C$32)^CU4</f>
        <v>12002.029859062141</v>
      </c>
      <c r="CV35" s="77">
        <f>CV33/(1+SUP_CONTROL!$C$32)^CV4</f>
        <v>11780.910820499366</v>
      </c>
      <c r="CW35" s="77">
        <f>CW33/(1+SUP_CONTROL!$C$32)^CW4</f>
        <v>11563.865561937899</v>
      </c>
      <c r="CX35" s="77">
        <f>CX33/(1+SUP_CONTROL!$C$32)^CX4</f>
        <v>11350.819030213583</v>
      </c>
      <c r="CY35" s="77">
        <f>CY33/(1+SUP_CONTROL!$C$32)^CY4</f>
        <v>11141.697554901992</v>
      </c>
      <c r="CZ35" s="77">
        <f>CZ33/(1+SUP_CONTROL!$C$32)^CZ4</f>
        <v>10936.42882284356</v>
      </c>
      <c r="DA35" s="77">
        <f>DA33/(1+SUP_CONTROL!$C$32)^DA4</f>
        <v>10734.94185313806</v>
      </c>
      <c r="DB35" s="77">
        <f>DB33/(1+SUP_CONTROL!$C$32)^DB4</f>
        <v>10537.166972599754</v>
      </c>
      <c r="DC35" s="77">
        <f>DC33/(1+SUP_CONTROL!$C$32)^DC4</f>
        <v>10343.035791664774</v>
      </c>
      <c r="DD35" s="77">
        <f>DD33/(1+SUP_CONTROL!$C$32)^DD4</f>
        <v>10152.481180742318</v>
      </c>
      <c r="DE35" s="77">
        <f>DE33/(1+SUP_CONTROL!$C$32)^DE4</f>
        <v>9965.4372470016133</v>
      </c>
      <c r="DF35" s="77">
        <f>DF33/(1+SUP_CONTROL!$C$32)^DF4</f>
        <v>9781.8393115864747</v>
      </c>
      <c r="DG35" s="77">
        <f>DG33/(1+SUP_CONTROL!$C$32)^DG4</f>
        <v>9601.6238872496997</v>
      </c>
      <c r="DH35" s="77">
        <f>DH33/(1+SUP_CONTROL!$C$32)^DH4</f>
        <v>9424.7286563994821</v>
      </c>
      <c r="DI35" s="77">
        <f>DI33/(1+SUP_CONTROL!$C$32)^DI4</f>
        <v>9251.0924495503077</v>
      </c>
      <c r="DJ35" s="77">
        <f>DJ33/(1+SUP_CONTROL!$C$32)^DJ4</f>
        <v>9080.6552241708541</v>
      </c>
      <c r="DK35" s="77">
        <f>DK33/(1+SUP_CONTROL!$C$32)^DK4</f>
        <v>8913.3580439215802</v>
      </c>
      <c r="DL35" s="77">
        <f>DL33/(1+SUP_CONTROL!$C$32)^DL4</f>
        <v>8749.1430582748362</v>
      </c>
      <c r="DM35" s="77">
        <f>DM33/(1+SUP_CONTROL!$C$32)^DM4</f>
        <v>8587.9534825104347</v>
      </c>
      <c r="DN35" s="77">
        <f>DN33/(1+SUP_CONTROL!$C$32)^DN4</f>
        <v>8429.733578079793</v>
      </c>
      <c r="DO35" s="77">
        <f>DO33/(1+SUP_CONTROL!$C$32)^DO4</f>
        <v>8274.4286333318069</v>
      </c>
      <c r="DP35" s="77">
        <f>DP33/(1+SUP_CONTROL!$C$32)^DP4</f>
        <v>8121.9849445938435</v>
      </c>
      <c r="DQ35" s="77">
        <f>DQ33/(1+SUP_CONTROL!$C$32)^DQ4</f>
        <v>7972.3497976012814</v>
      </c>
      <c r="DR35" s="77">
        <f>DR33/(1+SUP_CONTROL!$C$32)^DR4</f>
        <v>7825.4714492691683</v>
      </c>
      <c r="DS35" s="77">
        <f>DS33/(1+SUP_CONTROL!$C$32)^DS4</f>
        <v>7681.2991097997501</v>
      </c>
    </row>
    <row r="36" spans="1:123" ht="15" customHeight="1" x14ac:dyDescent="0.2">
      <c r="B36" s="37" t="s">
        <v>916</v>
      </c>
      <c r="D36" s="77">
        <f>D35</f>
        <v>-556793.54892887629</v>
      </c>
      <c r="E36" s="77">
        <f t="shared" ref="E36:AJ36" si="30">D36+E35</f>
        <v>-984930.25464635692</v>
      </c>
      <c r="F36" s="77">
        <f t="shared" si="30"/>
        <v>-1362620.8241509581</v>
      </c>
      <c r="G36" s="77">
        <f t="shared" si="30"/>
        <v>-1608059.4164390571</v>
      </c>
      <c r="H36" s="77">
        <f t="shared" si="30"/>
        <v>-1870751.1234485342</v>
      </c>
      <c r="I36" s="77">
        <f t="shared" si="30"/>
        <v>-1861460.7852042844</v>
      </c>
      <c r="J36" s="77">
        <f t="shared" si="30"/>
        <v>-1847650.8360621296</v>
      </c>
      <c r="K36" s="77">
        <f t="shared" si="30"/>
        <v>-1827574.8346042922</v>
      </c>
      <c r="L36" s="77">
        <f t="shared" si="30"/>
        <v>-1773748.0115633409</v>
      </c>
      <c r="M36" s="77">
        <f t="shared" si="30"/>
        <v>-1722614.936592682</v>
      </c>
      <c r="N36" s="77">
        <f t="shared" si="30"/>
        <v>-1677640.0089386303</v>
      </c>
      <c r="O36" s="77">
        <f t="shared" si="30"/>
        <v>-1633493.6755206431</v>
      </c>
      <c r="P36" s="77">
        <f t="shared" si="30"/>
        <v>-1587692.1800304879</v>
      </c>
      <c r="Q36" s="77">
        <f t="shared" si="30"/>
        <v>-1542734.5070242332</v>
      </c>
      <c r="R36" s="77">
        <f t="shared" si="30"/>
        <v>-1498605.1103635549</v>
      </c>
      <c r="S36" s="77">
        <f t="shared" si="30"/>
        <v>-1455288.7303239438</v>
      </c>
      <c r="T36" s="77">
        <f t="shared" si="30"/>
        <v>-1412474.0381097416</v>
      </c>
      <c r="U36" s="77">
        <f t="shared" si="30"/>
        <v>-1370385.6025293148</v>
      </c>
      <c r="V36" s="77">
        <f t="shared" si="30"/>
        <v>-1328787.8378782179</v>
      </c>
      <c r="W36" s="77">
        <f t="shared" si="30"/>
        <v>-1287662.5042989254</v>
      </c>
      <c r="X36" s="77">
        <f t="shared" si="30"/>
        <v>-1247221.472354685</v>
      </c>
      <c r="Y36" s="77">
        <f t="shared" si="30"/>
        <v>-1207469.7688888486</v>
      </c>
      <c r="Z36" s="77">
        <f t="shared" si="30"/>
        <v>-1168423.6657166809</v>
      </c>
      <c r="AA36" s="77">
        <f t="shared" si="30"/>
        <v>-1132061.1049763414</v>
      </c>
      <c r="AB36" s="77">
        <f t="shared" si="30"/>
        <v>-1094393.676205853</v>
      </c>
      <c r="AC36" s="77">
        <f t="shared" si="30"/>
        <v>-1057420.2121840504</v>
      </c>
      <c r="AD36" s="77">
        <f t="shared" si="30"/>
        <v>-1021171.9331419331</v>
      </c>
      <c r="AE36" s="77">
        <f t="shared" si="30"/>
        <v>-985591.47318587615</v>
      </c>
      <c r="AF36" s="77">
        <f t="shared" si="30"/>
        <v>-950299.65066855471</v>
      </c>
      <c r="AG36" s="77">
        <f t="shared" si="30"/>
        <v>-915336.11868670501</v>
      </c>
      <c r="AH36" s="77">
        <f t="shared" si="30"/>
        <v>-880919.30177236325</v>
      </c>
      <c r="AI36" s="77">
        <f t="shared" si="30"/>
        <v>-846856.38664084719</v>
      </c>
      <c r="AJ36" s="77">
        <f t="shared" si="30"/>
        <v>-813167.59849077265</v>
      </c>
      <c r="AK36" s="77">
        <f t="shared" ref="AK36:BP36" si="31">AJ36+AK35</f>
        <v>-780034.7317713612</v>
      </c>
      <c r="AL36" s="77">
        <f t="shared" si="31"/>
        <v>-747508.67171243147</v>
      </c>
      <c r="AM36" s="77">
        <f t="shared" si="31"/>
        <v>-715366.50753103872</v>
      </c>
      <c r="AN36" s="77">
        <f t="shared" si="31"/>
        <v>-682854.06945509952</v>
      </c>
      <c r="AO36" s="77">
        <f t="shared" si="31"/>
        <v>-650769.65992900659</v>
      </c>
      <c r="AP36" s="77">
        <f t="shared" si="31"/>
        <v>-619106.69998914842</v>
      </c>
      <c r="AQ36" s="77">
        <f t="shared" si="31"/>
        <v>-587973.91338716028</v>
      </c>
      <c r="AR36" s="77">
        <f t="shared" si="31"/>
        <v>-557267.98297430319</v>
      </c>
      <c r="AS36" s="77">
        <f t="shared" si="31"/>
        <v>-527089.36100114789</v>
      </c>
      <c r="AT36" s="77">
        <f t="shared" si="31"/>
        <v>-497371.36226523534</v>
      </c>
      <c r="AU36" s="77">
        <f t="shared" si="31"/>
        <v>-468096.62853365968</v>
      </c>
      <c r="AV36" s="77">
        <f t="shared" si="31"/>
        <v>-439334.97270694113</v>
      </c>
      <c r="AW36" s="77">
        <f t="shared" si="31"/>
        <v>-412512.79391595483</v>
      </c>
      <c r="AX36" s="77">
        <f t="shared" si="31"/>
        <v>-386169.62700650108</v>
      </c>
      <c r="AY36" s="77">
        <f t="shared" si="31"/>
        <v>-360311.79264563438</v>
      </c>
      <c r="AZ36" s="77">
        <f t="shared" si="31"/>
        <v>-334298.41569751274</v>
      </c>
      <c r="BA36" s="77">
        <f t="shared" si="31"/>
        <v>-308821.39539526182</v>
      </c>
      <c r="BB36" s="77">
        <f t="shared" si="31"/>
        <v>-283813.75021545525</v>
      </c>
      <c r="BC36" s="77">
        <f t="shared" si="31"/>
        <v>-259266.83263954666</v>
      </c>
      <c r="BD36" s="77">
        <f t="shared" si="31"/>
        <v>-235004.3021285751</v>
      </c>
      <c r="BE36" s="77">
        <f t="shared" si="31"/>
        <v>-211077.71234135781</v>
      </c>
      <c r="BF36" s="77">
        <f t="shared" si="31"/>
        <v>-187505.9240886801</v>
      </c>
      <c r="BG36" s="77">
        <f t="shared" si="31"/>
        <v>-164257.00149533723</v>
      </c>
      <c r="BH36" s="77">
        <f t="shared" si="31"/>
        <v>-141344.58907961441</v>
      </c>
      <c r="BI36" s="77">
        <f t="shared" si="31"/>
        <v>-118769.69415293449</v>
      </c>
      <c r="BJ36" s="77">
        <f t="shared" si="31"/>
        <v>-96520.503797308353</v>
      </c>
      <c r="BK36" s="77">
        <f t="shared" si="31"/>
        <v>-74644.814785052935</v>
      </c>
      <c r="BL36" s="77">
        <f t="shared" si="31"/>
        <v>-52599.822069947797</v>
      </c>
      <c r="BM36" s="77">
        <f t="shared" si="31"/>
        <v>-30898.953757405892</v>
      </c>
      <c r="BN36" s="77">
        <f t="shared" si="31"/>
        <v>-9531.2456667511724</v>
      </c>
      <c r="BO36" s="77">
        <f t="shared" si="31"/>
        <v>11496.835139503852</v>
      </c>
      <c r="BP36" s="77">
        <f t="shared" si="31"/>
        <v>32163.550527917028</v>
      </c>
      <c r="BQ36" s="77">
        <f t="shared" ref="BQ36:CV36" si="32">BP36+BQ35</f>
        <v>52496.231990800334</v>
      </c>
      <c r="BR36" s="77">
        <f t="shared" si="32"/>
        <v>72504.825317769253</v>
      </c>
      <c r="BS36" s="77">
        <f t="shared" si="32"/>
        <v>92210.662508462905</v>
      </c>
      <c r="BT36" s="77">
        <f t="shared" si="32"/>
        <v>111595.69849594466</v>
      </c>
      <c r="BU36" s="77">
        <f t="shared" si="32"/>
        <v>130641.11293356857</v>
      </c>
      <c r="BV36" s="77">
        <f t="shared" si="32"/>
        <v>149370.41006223188</v>
      </c>
      <c r="BW36" s="77">
        <f t="shared" si="32"/>
        <v>167790.03469930225</v>
      </c>
      <c r="BX36" s="77">
        <f t="shared" si="32"/>
        <v>186303.79694132597</v>
      </c>
      <c r="BY36" s="77">
        <f t="shared" si="32"/>
        <v>204503.47025843116</v>
      </c>
      <c r="BZ36" s="77">
        <f t="shared" si="32"/>
        <v>222397.26652054413</v>
      </c>
      <c r="CA36" s="77">
        <f t="shared" si="32"/>
        <v>239992.10338332626</v>
      </c>
      <c r="CB36" s="77">
        <f t="shared" si="32"/>
        <v>257060.31692544231</v>
      </c>
      <c r="CC36" s="77">
        <f t="shared" si="32"/>
        <v>273825.74973789172</v>
      </c>
      <c r="CD36" s="77">
        <f t="shared" si="32"/>
        <v>290287.7285865795</v>
      </c>
      <c r="CE36" s="77">
        <f t="shared" si="32"/>
        <v>306448.72201105574</v>
      </c>
      <c r="CF36" s="77">
        <f t="shared" si="32"/>
        <v>322311.97385596565</v>
      </c>
      <c r="CG36" s="77">
        <f t="shared" si="32"/>
        <v>337882.96955440572</v>
      </c>
      <c r="CH36" s="77">
        <f t="shared" si="32"/>
        <v>353167.09347875963</v>
      </c>
      <c r="CI36" s="77">
        <f t="shared" si="32"/>
        <v>368169.63080258731</v>
      </c>
      <c r="CJ36" s="77">
        <f t="shared" si="32"/>
        <v>382895.76932821155</v>
      </c>
      <c r="CK36" s="77">
        <f t="shared" si="32"/>
        <v>397350.60128063394</v>
      </c>
      <c r="CL36" s="77">
        <f t="shared" si="32"/>
        <v>411539.12506840093</v>
      </c>
      <c r="CM36" s="77">
        <f t="shared" si="32"/>
        <v>425466.24701202841</v>
      </c>
      <c r="CN36" s="77">
        <f t="shared" si="32"/>
        <v>439136.7830405829</v>
      </c>
      <c r="CO36" s="77">
        <f t="shared" si="32"/>
        <v>452555.46035700548</v>
      </c>
      <c r="CP36" s="77">
        <f t="shared" si="32"/>
        <v>465726.9190727552</v>
      </c>
      <c r="CQ36" s="77">
        <f t="shared" si="32"/>
        <v>478655.71381233621</v>
      </c>
      <c r="CR36" s="77">
        <f t="shared" si="32"/>
        <v>491346.31528826413</v>
      </c>
      <c r="CS36" s="77">
        <f t="shared" si="32"/>
        <v>503803.11184701615</v>
      </c>
      <c r="CT36" s="77">
        <f t="shared" si="32"/>
        <v>516030.41098649928</v>
      </c>
      <c r="CU36" s="77">
        <f t="shared" si="32"/>
        <v>528032.44084556145</v>
      </c>
      <c r="CV36" s="77">
        <f t="shared" si="32"/>
        <v>539813.35166606086</v>
      </c>
      <c r="CW36" s="77">
        <f t="shared" ref="CW36:EB36" si="33">CV36+CW35</f>
        <v>551377.21722799877</v>
      </c>
      <c r="CX36" s="77">
        <f t="shared" si="33"/>
        <v>562728.03625821241</v>
      </c>
      <c r="CY36" s="77">
        <f t="shared" si="33"/>
        <v>573869.73381311435</v>
      </c>
      <c r="CZ36" s="77">
        <f t="shared" si="33"/>
        <v>584806.16263595794</v>
      </c>
      <c r="DA36" s="77">
        <f t="shared" si="33"/>
        <v>595541.10448909597</v>
      </c>
      <c r="DB36" s="77">
        <f t="shared" si="33"/>
        <v>606078.27146169578</v>
      </c>
      <c r="DC36" s="77">
        <f t="shared" si="33"/>
        <v>616421.30725336052</v>
      </c>
      <c r="DD36" s="77">
        <f t="shared" si="33"/>
        <v>626573.78843410278</v>
      </c>
      <c r="DE36" s="77">
        <f t="shared" si="33"/>
        <v>636539.22568110435</v>
      </c>
      <c r="DF36" s="77">
        <f t="shared" si="33"/>
        <v>646321.06499269081</v>
      </c>
      <c r="DG36" s="77">
        <f t="shared" si="33"/>
        <v>655922.68887994054</v>
      </c>
      <c r="DH36" s="77">
        <f t="shared" si="33"/>
        <v>665347.41753634007</v>
      </c>
      <c r="DI36" s="77">
        <f t="shared" si="33"/>
        <v>674598.50998589036</v>
      </c>
      <c r="DJ36" s="77">
        <f t="shared" si="33"/>
        <v>683679.16521006124</v>
      </c>
      <c r="DK36" s="77">
        <f t="shared" si="33"/>
        <v>692592.52325398277</v>
      </c>
      <c r="DL36" s="77">
        <f t="shared" si="33"/>
        <v>701341.66631225764</v>
      </c>
      <c r="DM36" s="77">
        <f t="shared" si="33"/>
        <v>709929.61979476805</v>
      </c>
      <c r="DN36" s="77">
        <f t="shared" si="33"/>
        <v>718359.35337284789</v>
      </c>
      <c r="DO36" s="77">
        <f t="shared" si="33"/>
        <v>726633.78200617968</v>
      </c>
      <c r="DP36" s="77">
        <f t="shared" si="33"/>
        <v>734755.76695077354</v>
      </c>
      <c r="DQ36" s="77">
        <f t="shared" si="33"/>
        <v>742728.11674837477</v>
      </c>
      <c r="DR36" s="77">
        <f t="shared" si="33"/>
        <v>750553.58819764399</v>
      </c>
      <c r="DS36" s="77">
        <f t="shared" si="33"/>
        <v>758234.88730744377</v>
      </c>
    </row>
    <row r="37" spans="1:123" ht="15" customHeight="1" x14ac:dyDescent="0.2">
      <c r="A37" s="25" t="s">
        <v>917</v>
      </c>
      <c r="B37" s="100" t="s">
        <v>918</v>
      </c>
      <c r="C37" s="26"/>
      <c r="D37">
        <f t="shared" ref="D37:AI37" si="34">D49+D50</f>
        <v>0</v>
      </c>
      <c r="E37">
        <f t="shared" si="34"/>
        <v>0</v>
      </c>
      <c r="F37">
        <f t="shared" si="34"/>
        <v>0</v>
      </c>
      <c r="G37">
        <f t="shared" si="34"/>
        <v>20000</v>
      </c>
      <c r="H37">
        <f t="shared" si="34"/>
        <v>16000</v>
      </c>
      <c r="I37">
        <f t="shared" si="34"/>
        <v>12000</v>
      </c>
      <c r="J37">
        <f t="shared" si="34"/>
        <v>18000</v>
      </c>
      <c r="K37">
        <f t="shared" si="34"/>
        <v>22800</v>
      </c>
      <c r="L37">
        <f t="shared" si="34"/>
        <v>-11600</v>
      </c>
      <c r="M37">
        <f t="shared" si="34"/>
        <v>-6400</v>
      </c>
      <c r="N37">
        <f t="shared" si="34"/>
        <v>0</v>
      </c>
      <c r="O37">
        <f t="shared" si="34"/>
        <v>0</v>
      </c>
      <c r="P37">
        <f t="shared" si="34"/>
        <v>0</v>
      </c>
      <c r="Q37">
        <f t="shared" si="34"/>
        <v>0</v>
      </c>
      <c r="R37">
        <f t="shared" si="34"/>
        <v>0</v>
      </c>
      <c r="S37">
        <f t="shared" si="34"/>
        <v>0</v>
      </c>
      <c r="T37">
        <f t="shared" si="34"/>
        <v>0</v>
      </c>
      <c r="U37">
        <f t="shared" si="34"/>
        <v>0</v>
      </c>
      <c r="V37">
        <f t="shared" si="34"/>
        <v>0</v>
      </c>
      <c r="W37">
        <f t="shared" si="34"/>
        <v>0</v>
      </c>
      <c r="X37">
        <f t="shared" si="34"/>
        <v>0</v>
      </c>
      <c r="Y37">
        <f t="shared" si="34"/>
        <v>0</v>
      </c>
      <c r="Z37">
        <f t="shared" si="34"/>
        <v>0</v>
      </c>
      <c r="AA37">
        <f t="shared" si="34"/>
        <v>0</v>
      </c>
      <c r="AB37">
        <f t="shared" si="34"/>
        <v>0</v>
      </c>
      <c r="AC37">
        <f t="shared" si="34"/>
        <v>0</v>
      </c>
      <c r="AD37">
        <f t="shared" si="34"/>
        <v>0</v>
      </c>
      <c r="AE37">
        <f t="shared" si="34"/>
        <v>0</v>
      </c>
      <c r="AF37">
        <f t="shared" si="34"/>
        <v>0</v>
      </c>
      <c r="AG37">
        <f t="shared" si="34"/>
        <v>0</v>
      </c>
      <c r="AH37">
        <f t="shared" si="34"/>
        <v>0</v>
      </c>
      <c r="AI37">
        <f t="shared" si="34"/>
        <v>0</v>
      </c>
      <c r="AJ37">
        <f t="shared" ref="AJ37:BO37" si="35">AJ49+AJ50</f>
        <v>0</v>
      </c>
      <c r="AK37">
        <f t="shared" si="35"/>
        <v>0</v>
      </c>
      <c r="AL37">
        <f t="shared" si="35"/>
        <v>0</v>
      </c>
      <c r="AM37">
        <f t="shared" si="35"/>
        <v>0</v>
      </c>
      <c r="AN37">
        <f t="shared" si="35"/>
        <v>0</v>
      </c>
      <c r="AO37">
        <f t="shared" si="35"/>
        <v>0</v>
      </c>
      <c r="AP37">
        <f t="shared" si="35"/>
        <v>0</v>
      </c>
      <c r="AQ37">
        <f t="shared" si="35"/>
        <v>0</v>
      </c>
      <c r="AR37">
        <f t="shared" si="35"/>
        <v>0</v>
      </c>
      <c r="AS37">
        <f t="shared" si="35"/>
        <v>0</v>
      </c>
      <c r="AT37">
        <f t="shared" si="35"/>
        <v>0</v>
      </c>
      <c r="AU37">
        <f t="shared" si="35"/>
        <v>0</v>
      </c>
      <c r="AV37">
        <f t="shared" si="35"/>
        <v>0</v>
      </c>
      <c r="AW37">
        <f t="shared" si="35"/>
        <v>0</v>
      </c>
      <c r="AX37">
        <f t="shared" si="35"/>
        <v>0</v>
      </c>
      <c r="AY37">
        <f t="shared" si="35"/>
        <v>0</v>
      </c>
      <c r="AZ37">
        <f t="shared" si="35"/>
        <v>0</v>
      </c>
      <c r="BA37">
        <f t="shared" si="35"/>
        <v>0</v>
      </c>
      <c r="BB37">
        <f t="shared" si="35"/>
        <v>0</v>
      </c>
      <c r="BC37">
        <f t="shared" si="35"/>
        <v>0</v>
      </c>
      <c r="BD37">
        <f t="shared" si="35"/>
        <v>0</v>
      </c>
      <c r="BE37">
        <f t="shared" si="35"/>
        <v>0</v>
      </c>
      <c r="BF37">
        <f t="shared" si="35"/>
        <v>0</v>
      </c>
      <c r="BG37">
        <f t="shared" si="35"/>
        <v>0</v>
      </c>
      <c r="BH37">
        <f t="shared" si="35"/>
        <v>0</v>
      </c>
      <c r="BI37">
        <f t="shared" si="35"/>
        <v>0</v>
      </c>
      <c r="BJ37">
        <f t="shared" si="35"/>
        <v>0</v>
      </c>
      <c r="BK37">
        <f t="shared" si="35"/>
        <v>0</v>
      </c>
      <c r="BL37">
        <f t="shared" si="35"/>
        <v>0</v>
      </c>
      <c r="BM37">
        <f t="shared" si="35"/>
        <v>0</v>
      </c>
      <c r="BN37">
        <f t="shared" si="35"/>
        <v>0</v>
      </c>
      <c r="BO37">
        <f t="shared" si="35"/>
        <v>0</v>
      </c>
      <c r="BP37">
        <f t="shared" ref="BP37:CU37" si="36">BP49+BP50</f>
        <v>0</v>
      </c>
      <c r="BQ37">
        <f t="shared" si="36"/>
        <v>0</v>
      </c>
      <c r="BR37">
        <f t="shared" si="36"/>
        <v>0</v>
      </c>
      <c r="BS37">
        <f t="shared" si="36"/>
        <v>0</v>
      </c>
      <c r="BT37">
        <f t="shared" si="36"/>
        <v>0</v>
      </c>
      <c r="BU37">
        <f t="shared" si="36"/>
        <v>0</v>
      </c>
      <c r="BV37">
        <f t="shared" si="36"/>
        <v>0</v>
      </c>
      <c r="BW37">
        <f t="shared" si="36"/>
        <v>0</v>
      </c>
      <c r="BX37">
        <f t="shared" si="36"/>
        <v>0</v>
      </c>
      <c r="BY37">
        <f t="shared" si="36"/>
        <v>0</v>
      </c>
      <c r="BZ37">
        <f t="shared" si="36"/>
        <v>0</v>
      </c>
      <c r="CA37">
        <f t="shared" si="36"/>
        <v>0</v>
      </c>
      <c r="CB37">
        <f t="shared" si="36"/>
        <v>0</v>
      </c>
      <c r="CC37">
        <f t="shared" si="36"/>
        <v>0</v>
      </c>
      <c r="CD37">
        <f t="shared" si="36"/>
        <v>0</v>
      </c>
      <c r="CE37">
        <f t="shared" si="36"/>
        <v>0</v>
      </c>
      <c r="CF37">
        <f t="shared" si="36"/>
        <v>0</v>
      </c>
      <c r="CG37">
        <f t="shared" si="36"/>
        <v>0</v>
      </c>
      <c r="CH37">
        <f t="shared" si="36"/>
        <v>0</v>
      </c>
      <c r="CI37">
        <f t="shared" si="36"/>
        <v>0</v>
      </c>
      <c r="CJ37">
        <f t="shared" si="36"/>
        <v>0</v>
      </c>
      <c r="CK37">
        <f t="shared" si="36"/>
        <v>0</v>
      </c>
      <c r="CL37">
        <f t="shared" si="36"/>
        <v>0</v>
      </c>
      <c r="CM37">
        <f t="shared" si="36"/>
        <v>0</v>
      </c>
      <c r="CN37">
        <f t="shared" si="36"/>
        <v>0</v>
      </c>
      <c r="CO37">
        <f t="shared" si="36"/>
        <v>0</v>
      </c>
      <c r="CP37">
        <f t="shared" si="36"/>
        <v>0</v>
      </c>
      <c r="CQ37">
        <f t="shared" si="36"/>
        <v>0</v>
      </c>
      <c r="CR37">
        <f t="shared" si="36"/>
        <v>0</v>
      </c>
      <c r="CS37">
        <f t="shared" si="36"/>
        <v>0</v>
      </c>
      <c r="CT37">
        <f t="shared" si="36"/>
        <v>0</v>
      </c>
      <c r="CU37">
        <f t="shared" si="36"/>
        <v>0</v>
      </c>
      <c r="CV37">
        <f t="shared" ref="CV37:DS37" si="37">CV49+CV50</f>
        <v>0</v>
      </c>
      <c r="CW37">
        <f t="shared" si="37"/>
        <v>0</v>
      </c>
      <c r="CX37">
        <f t="shared" si="37"/>
        <v>0</v>
      </c>
      <c r="CY37">
        <f t="shared" si="37"/>
        <v>0</v>
      </c>
      <c r="CZ37">
        <f t="shared" si="37"/>
        <v>0</v>
      </c>
      <c r="DA37">
        <f t="shared" si="37"/>
        <v>0</v>
      </c>
      <c r="DB37">
        <f t="shared" si="37"/>
        <v>0</v>
      </c>
      <c r="DC37">
        <f t="shared" si="37"/>
        <v>0</v>
      </c>
      <c r="DD37">
        <f t="shared" si="37"/>
        <v>0</v>
      </c>
      <c r="DE37">
        <f t="shared" si="37"/>
        <v>0</v>
      </c>
      <c r="DF37">
        <f t="shared" si="37"/>
        <v>0</v>
      </c>
      <c r="DG37">
        <f t="shared" si="37"/>
        <v>0</v>
      </c>
      <c r="DH37">
        <f t="shared" si="37"/>
        <v>0</v>
      </c>
      <c r="DI37">
        <f t="shared" si="37"/>
        <v>0</v>
      </c>
      <c r="DJ37">
        <f t="shared" si="37"/>
        <v>0</v>
      </c>
      <c r="DK37">
        <f t="shared" si="37"/>
        <v>0</v>
      </c>
      <c r="DL37">
        <f t="shared" si="37"/>
        <v>0</v>
      </c>
      <c r="DM37">
        <f t="shared" si="37"/>
        <v>0</v>
      </c>
      <c r="DN37">
        <f t="shared" si="37"/>
        <v>0</v>
      </c>
      <c r="DO37">
        <f t="shared" si="37"/>
        <v>0</v>
      </c>
      <c r="DP37">
        <f t="shared" si="37"/>
        <v>0</v>
      </c>
      <c r="DQ37">
        <f t="shared" si="37"/>
        <v>0</v>
      </c>
      <c r="DR37">
        <f t="shared" si="37"/>
        <v>0</v>
      </c>
      <c r="DS37">
        <f t="shared" si="37"/>
        <v>0</v>
      </c>
    </row>
    <row r="38" spans="1:123" ht="15" customHeight="1" x14ac:dyDescent="0.2">
      <c r="B38" s="20" t="s">
        <v>919</v>
      </c>
      <c r="C38" s="72">
        <f>SUM(D25:AM27)</f>
        <v>1888822.4677499998</v>
      </c>
    </row>
    <row r="39" spans="1:123" ht="15" customHeight="1" x14ac:dyDescent="0.2">
      <c r="B39" s="20" t="s">
        <v>920</v>
      </c>
      <c r="C39" s="72">
        <f>NPV(SUP_CONTROL!$C$32,D33:AM33)</f>
        <v>-715366.50753103883</v>
      </c>
    </row>
    <row r="40" spans="1:123" ht="15" customHeight="1" x14ac:dyDescent="0.2">
      <c r="B40" s="20" t="s">
        <v>921</v>
      </c>
      <c r="C40" s="76">
        <f>IFERROR((1+IRR(D33:AM33,0.01))^12-1,"n/a")</f>
        <v>-7.5460829503995241E-2</v>
      </c>
    </row>
    <row r="41" spans="1:123" ht="15" customHeight="1" x14ac:dyDescent="0.2">
      <c r="B41" s="20" t="s">
        <v>922</v>
      </c>
      <c r="C41" s="83" t="str">
        <f>IF(COUNTIF(D34:AM34,"&lt;0")&gt;=36,"no recupera en 36 m",COUNTIF(D34:AM34,"&lt;0")+1)</f>
        <v>no recupera en 36 m</v>
      </c>
    </row>
    <row r="42" spans="1:123" ht="15" customHeight="1" x14ac:dyDescent="0.2">
      <c r="B42" s="20" t="s">
        <v>923</v>
      </c>
      <c r="C42" s="72">
        <f>SUM(AB23:AM23)</f>
        <v>1024299.8007599653</v>
      </c>
    </row>
    <row r="43" spans="1:123" ht="15" customHeight="1" x14ac:dyDescent="0.2">
      <c r="B43" s="20" t="s">
        <v>924</v>
      </c>
      <c r="C43" s="72">
        <f>NPV(SUP_CONTROL!$C$32,D33:DS33)</f>
        <v>758234.88730744575</v>
      </c>
    </row>
    <row r="44" spans="1:123" ht="15" customHeight="1" x14ac:dyDescent="0.2">
      <c r="B44" s="20" t="s">
        <v>925</v>
      </c>
      <c r="C44" s="76">
        <f>IFERROR((1+IRR(D33:DS33,0.01))^12-1,"n/a")</f>
        <v>0.37840267751853851</v>
      </c>
    </row>
    <row r="45" spans="1:123" ht="15" customHeight="1" x14ac:dyDescent="0.2">
      <c r="B45" s="20" t="s">
        <v>926</v>
      </c>
      <c r="C45" s="83">
        <f>IF(COUNTIF(D34:DS34,"&lt;0")&gt;=120,"no recupera",COUNTIF(D34:DS34,"&lt;0")+1)</f>
        <v>40</v>
      </c>
    </row>
    <row r="46" spans="1:123" ht="15" customHeight="1" x14ac:dyDescent="0.2">
      <c r="B46" s="20" t="s">
        <v>927</v>
      </c>
      <c r="C46" s="83">
        <f>IF(COUNTIF(D36:DS36,"&lt;0")&gt;=120,"no recupera",COUNTIF(D36:DS36,"&lt;0")+1)</f>
        <v>64</v>
      </c>
    </row>
    <row r="48" spans="1:123" ht="15" customHeight="1" x14ac:dyDescent="0.2">
      <c r="B48" s="23" t="s">
        <v>928</v>
      </c>
    </row>
    <row r="49" spans="2:123" ht="15" customHeight="1" x14ac:dyDescent="0.2">
      <c r="B49" s="86" t="s">
        <v>929</v>
      </c>
      <c r="D49">
        <f>D6*3*SUP_OPEX!$D$20+D7*3*SUP_OPEX!$E$20</f>
        <v>0</v>
      </c>
      <c r="E49">
        <f>E6*3*SUP_OPEX!$D$20+E7*3*SUP_OPEX!$E$20</f>
        <v>0</v>
      </c>
      <c r="F49">
        <f>F6*3*SUP_OPEX!$D$20+F7*3*SUP_OPEX!$E$20</f>
        <v>0</v>
      </c>
      <c r="G49">
        <f>G6*3*SUP_OPEX!$D$20+G7*3*SUP_OPEX!$E$20</f>
        <v>12000</v>
      </c>
      <c r="H49">
        <f>H6*3*SUP_OPEX!$D$20+H7*3*SUP_OPEX!$E$20</f>
        <v>12000</v>
      </c>
      <c r="I49">
        <f>I6*3*SUP_OPEX!$D$20+I7*3*SUP_OPEX!$E$20</f>
        <v>12000</v>
      </c>
      <c r="J49">
        <f>J6*3*SUP_OPEX!$D$20+J7*3*SUP_OPEX!$E$20</f>
        <v>15600</v>
      </c>
      <c r="K49">
        <f>K6*3*SUP_OPEX!$D$20+K7*3*SUP_OPEX!$E$20</f>
        <v>19200</v>
      </c>
      <c r="L49">
        <f>L6*3*SUP_OPEX!$D$20+L7*3*SUP_OPEX!$E$20</f>
        <v>0</v>
      </c>
      <c r="M49">
        <f>M6*3*SUP_OPEX!$D$20+M7*3*SUP_OPEX!$E$20</f>
        <v>0</v>
      </c>
      <c r="N49">
        <f>N6*3*SUP_OPEX!$D$20+N7*3*SUP_OPEX!$E$20</f>
        <v>0</v>
      </c>
      <c r="O49">
        <f>O6*3*SUP_OPEX!$D$20+O7*3*SUP_OPEX!$E$20</f>
        <v>0</v>
      </c>
      <c r="P49">
        <f>P6*3*SUP_OPEX!$D$20+P7*3*SUP_OPEX!$E$20</f>
        <v>0</v>
      </c>
      <c r="Q49">
        <f>Q6*3*SUP_OPEX!$D$20+Q7*3*SUP_OPEX!$E$20</f>
        <v>0</v>
      </c>
      <c r="R49">
        <f>R6*3*SUP_OPEX!$D$20+R7*3*SUP_OPEX!$E$20</f>
        <v>0</v>
      </c>
      <c r="S49">
        <f>S6*3*SUP_OPEX!$D$20+S7*3*SUP_OPEX!$E$20</f>
        <v>0</v>
      </c>
      <c r="T49">
        <f>T6*3*SUP_OPEX!$D$20+T7*3*SUP_OPEX!$E$20</f>
        <v>0</v>
      </c>
      <c r="U49">
        <f>U6*3*SUP_OPEX!$D$20+U7*3*SUP_OPEX!$E$20</f>
        <v>0</v>
      </c>
      <c r="V49">
        <f>V6*3*SUP_OPEX!$D$20+V7*3*SUP_OPEX!$E$20</f>
        <v>0</v>
      </c>
      <c r="W49">
        <f>W6*3*SUP_OPEX!$D$20+W7*3*SUP_OPEX!$E$20</f>
        <v>0</v>
      </c>
      <c r="X49">
        <f>X6*3*SUP_OPEX!$D$20+X7*3*SUP_OPEX!$E$20</f>
        <v>0</v>
      </c>
      <c r="Y49">
        <f>Y6*3*SUP_OPEX!$D$20+Y7*3*SUP_OPEX!$E$20</f>
        <v>0</v>
      </c>
      <c r="Z49">
        <f>Z6*3*SUP_OPEX!$D$20+Z7*3*SUP_OPEX!$E$20</f>
        <v>0</v>
      </c>
      <c r="AA49">
        <f>AA6*3*SUP_OPEX!$D$20+AA7*3*SUP_OPEX!$E$20</f>
        <v>0</v>
      </c>
      <c r="AB49">
        <f>AB6*3*SUP_OPEX!$D$20+AB7*3*SUP_OPEX!$E$20</f>
        <v>0</v>
      </c>
      <c r="AC49">
        <f>AC6*3*SUP_OPEX!$D$20+AC7*3*SUP_OPEX!$E$20</f>
        <v>0</v>
      </c>
      <c r="AD49">
        <f>AD6*3*SUP_OPEX!$D$20+AD7*3*SUP_OPEX!$E$20</f>
        <v>0</v>
      </c>
      <c r="AE49">
        <f>AE6*3*SUP_OPEX!$D$20+AE7*3*SUP_OPEX!$E$20</f>
        <v>0</v>
      </c>
      <c r="AF49">
        <f>AF6*3*SUP_OPEX!$D$20+AF7*3*SUP_OPEX!$E$20</f>
        <v>0</v>
      </c>
      <c r="AG49">
        <f>AG6*3*SUP_OPEX!$D$20+AG7*3*SUP_OPEX!$E$20</f>
        <v>0</v>
      </c>
      <c r="AH49">
        <f>AH6*3*SUP_OPEX!$D$20+AH7*3*SUP_OPEX!$E$20</f>
        <v>0</v>
      </c>
      <c r="AI49">
        <f>AI6*3*SUP_OPEX!$D$20+AI7*3*SUP_OPEX!$E$20</f>
        <v>0</v>
      </c>
      <c r="AJ49">
        <f>AJ6*3*SUP_OPEX!$D$20+AJ7*3*SUP_OPEX!$E$20</f>
        <v>0</v>
      </c>
      <c r="AK49">
        <f>AK6*3*SUP_OPEX!$D$20+AK7*3*SUP_OPEX!$E$20</f>
        <v>0</v>
      </c>
      <c r="AL49">
        <f>AL6*3*SUP_OPEX!$D$20+AL7*3*SUP_OPEX!$E$20</f>
        <v>0</v>
      </c>
      <c r="AM49">
        <f>AM6*3*SUP_OPEX!$D$20+AM7*3*SUP_OPEX!$E$20</f>
        <v>0</v>
      </c>
      <c r="AN49">
        <f>AN6*3*SUP_OPEX!$D$20+AN7*3*SUP_OPEX!$E$20</f>
        <v>0</v>
      </c>
      <c r="AO49">
        <f>AO6*3*SUP_OPEX!$D$20+AO7*3*SUP_OPEX!$E$20</f>
        <v>0</v>
      </c>
      <c r="AP49">
        <f>AP6*3*SUP_OPEX!$D$20+AP7*3*SUP_OPEX!$E$20</f>
        <v>0</v>
      </c>
      <c r="AQ49">
        <f>AQ6*3*SUP_OPEX!$D$20+AQ7*3*SUP_OPEX!$E$20</f>
        <v>0</v>
      </c>
      <c r="AR49">
        <f>AR6*3*SUP_OPEX!$D$20+AR7*3*SUP_OPEX!$E$20</f>
        <v>0</v>
      </c>
      <c r="AS49">
        <f>AS6*3*SUP_OPEX!$D$20+AS7*3*SUP_OPEX!$E$20</f>
        <v>0</v>
      </c>
      <c r="AT49">
        <f>AT6*3*SUP_OPEX!$D$20+AT7*3*SUP_OPEX!$E$20</f>
        <v>0</v>
      </c>
      <c r="AU49">
        <f>AU6*3*SUP_OPEX!$D$20+AU7*3*SUP_OPEX!$E$20</f>
        <v>0</v>
      </c>
      <c r="AV49">
        <f>AV6*3*SUP_OPEX!$D$20+AV7*3*SUP_OPEX!$E$20</f>
        <v>0</v>
      </c>
      <c r="AW49">
        <f>AW6*3*SUP_OPEX!$D$20+AW7*3*SUP_OPEX!$E$20</f>
        <v>0</v>
      </c>
      <c r="AX49">
        <f>AX6*3*SUP_OPEX!$D$20+AX7*3*SUP_OPEX!$E$20</f>
        <v>0</v>
      </c>
      <c r="AY49">
        <f>AY6*3*SUP_OPEX!$D$20+AY7*3*SUP_OPEX!$E$20</f>
        <v>0</v>
      </c>
      <c r="AZ49">
        <f>AZ6*3*SUP_OPEX!$D$20+AZ7*3*SUP_OPEX!$E$20</f>
        <v>0</v>
      </c>
      <c r="BA49">
        <f>BA6*3*SUP_OPEX!$D$20+BA7*3*SUP_OPEX!$E$20</f>
        <v>0</v>
      </c>
      <c r="BB49">
        <f>BB6*3*SUP_OPEX!$D$20+BB7*3*SUP_OPEX!$E$20</f>
        <v>0</v>
      </c>
      <c r="BC49">
        <f>BC6*3*SUP_OPEX!$D$20+BC7*3*SUP_OPEX!$E$20</f>
        <v>0</v>
      </c>
      <c r="BD49">
        <f>BD6*3*SUP_OPEX!$D$20+BD7*3*SUP_OPEX!$E$20</f>
        <v>0</v>
      </c>
      <c r="BE49">
        <f>BE6*3*SUP_OPEX!$D$20+BE7*3*SUP_OPEX!$E$20</f>
        <v>0</v>
      </c>
      <c r="BF49">
        <f>BF6*3*SUP_OPEX!$D$20+BF7*3*SUP_OPEX!$E$20</f>
        <v>0</v>
      </c>
      <c r="BG49">
        <f>BG6*3*SUP_OPEX!$D$20+BG7*3*SUP_OPEX!$E$20</f>
        <v>0</v>
      </c>
      <c r="BH49">
        <f>BH6*3*SUP_OPEX!$D$20+BH7*3*SUP_OPEX!$E$20</f>
        <v>0</v>
      </c>
      <c r="BI49">
        <f>BI6*3*SUP_OPEX!$D$20+BI7*3*SUP_OPEX!$E$20</f>
        <v>0</v>
      </c>
      <c r="BJ49">
        <f>BJ6*3*SUP_OPEX!$D$20+BJ7*3*SUP_OPEX!$E$20</f>
        <v>0</v>
      </c>
      <c r="BK49">
        <f>BK6*3*SUP_OPEX!$D$20+BK7*3*SUP_OPEX!$E$20</f>
        <v>0</v>
      </c>
      <c r="BL49">
        <f>BL6*3*SUP_OPEX!$D$20+BL7*3*SUP_OPEX!$E$20</f>
        <v>0</v>
      </c>
      <c r="BM49">
        <f>BM6*3*SUP_OPEX!$D$20+BM7*3*SUP_OPEX!$E$20</f>
        <v>0</v>
      </c>
      <c r="BN49">
        <f>BN6*3*SUP_OPEX!$D$20+BN7*3*SUP_OPEX!$E$20</f>
        <v>0</v>
      </c>
      <c r="BO49">
        <f>BO6*3*SUP_OPEX!$D$20+BO7*3*SUP_OPEX!$E$20</f>
        <v>0</v>
      </c>
      <c r="BP49">
        <f>BP6*3*SUP_OPEX!$D$20+BP7*3*SUP_OPEX!$E$20</f>
        <v>0</v>
      </c>
      <c r="BQ49">
        <f>BQ6*3*SUP_OPEX!$D$20+BQ7*3*SUP_OPEX!$E$20</f>
        <v>0</v>
      </c>
      <c r="BR49">
        <f>BR6*3*SUP_OPEX!$D$20+BR7*3*SUP_OPEX!$E$20</f>
        <v>0</v>
      </c>
      <c r="BS49">
        <f>BS6*3*SUP_OPEX!$D$20+BS7*3*SUP_OPEX!$E$20</f>
        <v>0</v>
      </c>
      <c r="BT49">
        <f>BT6*3*SUP_OPEX!$D$20+BT7*3*SUP_OPEX!$E$20</f>
        <v>0</v>
      </c>
      <c r="BU49">
        <f>BU6*3*SUP_OPEX!$D$20+BU7*3*SUP_OPEX!$E$20</f>
        <v>0</v>
      </c>
      <c r="BV49">
        <f>BV6*3*SUP_OPEX!$D$20+BV7*3*SUP_OPEX!$E$20</f>
        <v>0</v>
      </c>
      <c r="BW49">
        <f>BW6*3*SUP_OPEX!$D$20+BW7*3*SUP_OPEX!$E$20</f>
        <v>0</v>
      </c>
      <c r="BX49">
        <f>BX6*3*SUP_OPEX!$D$20+BX7*3*SUP_OPEX!$E$20</f>
        <v>0</v>
      </c>
      <c r="BY49">
        <f>BY6*3*SUP_OPEX!$D$20+BY7*3*SUP_OPEX!$E$20</f>
        <v>0</v>
      </c>
      <c r="BZ49">
        <f>BZ6*3*SUP_OPEX!$D$20+BZ7*3*SUP_OPEX!$E$20</f>
        <v>0</v>
      </c>
      <c r="CA49">
        <f>CA6*3*SUP_OPEX!$D$20+CA7*3*SUP_OPEX!$E$20</f>
        <v>0</v>
      </c>
      <c r="CB49">
        <f>CB6*3*SUP_OPEX!$D$20+CB7*3*SUP_OPEX!$E$20</f>
        <v>0</v>
      </c>
      <c r="CC49">
        <f>CC6*3*SUP_OPEX!$D$20+CC7*3*SUP_OPEX!$E$20</f>
        <v>0</v>
      </c>
      <c r="CD49">
        <f>CD6*3*SUP_OPEX!$D$20+CD7*3*SUP_OPEX!$E$20</f>
        <v>0</v>
      </c>
      <c r="CE49">
        <f>CE6*3*SUP_OPEX!$D$20+CE7*3*SUP_OPEX!$E$20</f>
        <v>0</v>
      </c>
      <c r="CF49">
        <f>CF6*3*SUP_OPEX!$D$20+CF7*3*SUP_OPEX!$E$20</f>
        <v>0</v>
      </c>
      <c r="CG49">
        <f>CG6*3*SUP_OPEX!$D$20+CG7*3*SUP_OPEX!$E$20</f>
        <v>0</v>
      </c>
      <c r="CH49">
        <f>CH6*3*SUP_OPEX!$D$20+CH7*3*SUP_OPEX!$E$20</f>
        <v>0</v>
      </c>
      <c r="CI49">
        <f>CI6*3*SUP_OPEX!$D$20+CI7*3*SUP_OPEX!$E$20</f>
        <v>0</v>
      </c>
      <c r="CJ49">
        <f>CJ6*3*SUP_OPEX!$D$20+CJ7*3*SUP_OPEX!$E$20</f>
        <v>0</v>
      </c>
      <c r="CK49">
        <f>CK6*3*SUP_OPEX!$D$20+CK7*3*SUP_OPEX!$E$20</f>
        <v>0</v>
      </c>
      <c r="CL49">
        <f>CL6*3*SUP_OPEX!$D$20+CL7*3*SUP_OPEX!$E$20</f>
        <v>0</v>
      </c>
      <c r="CM49">
        <f>CM6*3*SUP_OPEX!$D$20+CM7*3*SUP_OPEX!$E$20</f>
        <v>0</v>
      </c>
      <c r="CN49">
        <f>CN6*3*SUP_OPEX!$D$20+CN7*3*SUP_OPEX!$E$20</f>
        <v>0</v>
      </c>
      <c r="CO49">
        <f>CO6*3*SUP_OPEX!$D$20+CO7*3*SUP_OPEX!$E$20</f>
        <v>0</v>
      </c>
      <c r="CP49">
        <f>CP6*3*SUP_OPEX!$D$20+CP7*3*SUP_OPEX!$E$20</f>
        <v>0</v>
      </c>
      <c r="CQ49">
        <f>CQ6*3*SUP_OPEX!$D$20+CQ7*3*SUP_OPEX!$E$20</f>
        <v>0</v>
      </c>
      <c r="CR49">
        <f>CR6*3*SUP_OPEX!$D$20+CR7*3*SUP_OPEX!$E$20</f>
        <v>0</v>
      </c>
      <c r="CS49">
        <f>CS6*3*SUP_OPEX!$D$20+CS7*3*SUP_OPEX!$E$20</f>
        <v>0</v>
      </c>
      <c r="CT49">
        <f>CT6*3*SUP_OPEX!$D$20+CT7*3*SUP_OPEX!$E$20</f>
        <v>0</v>
      </c>
      <c r="CU49">
        <f>CU6*3*SUP_OPEX!$D$20+CU7*3*SUP_OPEX!$E$20</f>
        <v>0</v>
      </c>
      <c r="CV49">
        <f>CV6*3*SUP_OPEX!$D$20+CV7*3*SUP_OPEX!$E$20</f>
        <v>0</v>
      </c>
      <c r="CW49">
        <f>CW6*3*SUP_OPEX!$D$20+CW7*3*SUP_OPEX!$E$20</f>
        <v>0</v>
      </c>
      <c r="CX49">
        <f>CX6*3*SUP_OPEX!$D$20+CX7*3*SUP_OPEX!$E$20</f>
        <v>0</v>
      </c>
      <c r="CY49">
        <f>CY6*3*SUP_OPEX!$D$20+CY7*3*SUP_OPEX!$E$20</f>
        <v>0</v>
      </c>
      <c r="CZ49">
        <f>CZ6*3*SUP_OPEX!$D$20+CZ7*3*SUP_OPEX!$E$20</f>
        <v>0</v>
      </c>
      <c r="DA49">
        <f>DA6*3*SUP_OPEX!$D$20+DA7*3*SUP_OPEX!$E$20</f>
        <v>0</v>
      </c>
      <c r="DB49">
        <f>DB6*3*SUP_OPEX!$D$20+DB7*3*SUP_OPEX!$E$20</f>
        <v>0</v>
      </c>
      <c r="DC49">
        <f>DC6*3*SUP_OPEX!$D$20+DC7*3*SUP_OPEX!$E$20</f>
        <v>0</v>
      </c>
      <c r="DD49">
        <f>DD6*3*SUP_OPEX!$D$20+DD7*3*SUP_OPEX!$E$20</f>
        <v>0</v>
      </c>
      <c r="DE49">
        <f>DE6*3*SUP_OPEX!$D$20+DE7*3*SUP_OPEX!$E$20</f>
        <v>0</v>
      </c>
      <c r="DF49">
        <f>DF6*3*SUP_OPEX!$D$20+DF7*3*SUP_OPEX!$E$20</f>
        <v>0</v>
      </c>
      <c r="DG49">
        <f>DG6*3*SUP_OPEX!$D$20+DG7*3*SUP_OPEX!$E$20</f>
        <v>0</v>
      </c>
      <c r="DH49">
        <f>DH6*3*SUP_OPEX!$D$20+DH7*3*SUP_OPEX!$E$20</f>
        <v>0</v>
      </c>
      <c r="DI49">
        <f>DI6*3*SUP_OPEX!$D$20+DI7*3*SUP_OPEX!$E$20</f>
        <v>0</v>
      </c>
      <c r="DJ49">
        <f>DJ6*3*SUP_OPEX!$D$20+DJ7*3*SUP_OPEX!$E$20</f>
        <v>0</v>
      </c>
      <c r="DK49">
        <f>DK6*3*SUP_OPEX!$D$20+DK7*3*SUP_OPEX!$E$20</f>
        <v>0</v>
      </c>
      <c r="DL49">
        <f>DL6*3*SUP_OPEX!$D$20+DL7*3*SUP_OPEX!$E$20</f>
        <v>0</v>
      </c>
      <c r="DM49">
        <f>DM6*3*SUP_OPEX!$D$20+DM7*3*SUP_OPEX!$E$20</f>
        <v>0</v>
      </c>
      <c r="DN49">
        <f>DN6*3*SUP_OPEX!$D$20+DN7*3*SUP_OPEX!$E$20</f>
        <v>0</v>
      </c>
      <c r="DO49">
        <f>DO6*3*SUP_OPEX!$D$20+DO7*3*SUP_OPEX!$E$20</f>
        <v>0</v>
      </c>
      <c r="DP49">
        <f>DP6*3*SUP_OPEX!$D$20+DP7*3*SUP_OPEX!$E$20</f>
        <v>0</v>
      </c>
      <c r="DQ49">
        <f>DQ6*3*SUP_OPEX!$D$20+DQ7*3*SUP_OPEX!$E$20</f>
        <v>0</v>
      </c>
      <c r="DR49">
        <f>DR6*3*SUP_OPEX!$D$20+DR7*3*SUP_OPEX!$E$20</f>
        <v>0</v>
      </c>
      <c r="DS49">
        <f>DS6*3*SUP_OPEX!$D$20+DS7*3*SUP_OPEX!$E$20</f>
        <v>0</v>
      </c>
    </row>
    <row r="50" spans="2:123" ht="15" customHeight="1" x14ac:dyDescent="0.2">
      <c r="B50" s="86" t="s">
        <v>930</v>
      </c>
      <c r="D50">
        <f>D6*2*SUP_OPEX!$D$20+D7*2*SUP_OPEX!$E$20</f>
        <v>0</v>
      </c>
      <c r="E50">
        <f>E6*2*SUP_OPEX!$D$20+E7*2*SUP_OPEX!$E$20-(D6*1*SUP_OPEX!$D$20+D7*1*SUP_OPEX!$E$20)</f>
        <v>0</v>
      </c>
      <c r="F50">
        <f>F6*2*SUP_OPEX!$D$20+F7*2*SUP_OPEX!$E$20-(E6*1*SUP_OPEX!$D$20+E7*1*SUP_OPEX!$E$20)-(D6*1*SUP_OPEX!$D$20+D7*1*SUP_OPEX!$E$20)</f>
        <v>0</v>
      </c>
      <c r="G50">
        <f>G6*2*SUP_OPEX!$D$20+G7*2*SUP_OPEX!$E$20-(F6*1*SUP_OPEX!$D$20+F7*1*SUP_OPEX!$E$20)-(E6*1*SUP_OPEX!$D$20+E7*1*SUP_OPEX!$E$20)</f>
        <v>8000</v>
      </c>
      <c r="H50">
        <f>H6*2*SUP_OPEX!$D$20+H7*2*SUP_OPEX!$E$20-(G6*1*SUP_OPEX!$D$20+G7*1*SUP_OPEX!$E$20)-(F6*1*SUP_OPEX!$D$20+F7*1*SUP_OPEX!$E$20)</f>
        <v>4000</v>
      </c>
      <c r="I50">
        <f>I6*2*SUP_OPEX!$D$20+I7*2*SUP_OPEX!$E$20-(H6*1*SUP_OPEX!$D$20+H7*1*SUP_OPEX!$E$20)-(G6*1*SUP_OPEX!$D$20+G7*1*SUP_OPEX!$E$20)</f>
        <v>0</v>
      </c>
      <c r="J50">
        <f>J6*2*SUP_OPEX!$D$20+J7*2*SUP_OPEX!$E$20-(I6*1*SUP_OPEX!$D$20+I7*1*SUP_OPEX!$E$20)-(H6*1*SUP_OPEX!$D$20+H7*1*SUP_OPEX!$E$20)</f>
        <v>2400</v>
      </c>
      <c r="K50">
        <f>K6*2*SUP_OPEX!$D$20+K7*2*SUP_OPEX!$E$20-(J6*1*SUP_OPEX!$D$20+J7*1*SUP_OPEX!$E$20)-(I6*1*SUP_OPEX!$D$20+I7*1*SUP_OPEX!$E$20)</f>
        <v>3600</v>
      </c>
      <c r="L50">
        <f>L6*2*SUP_OPEX!$D$20+L7*2*SUP_OPEX!$E$20-(K6*1*SUP_OPEX!$D$20+K7*1*SUP_OPEX!$E$20)-(J6*1*SUP_OPEX!$D$20+J7*1*SUP_OPEX!$E$20)</f>
        <v>-11600</v>
      </c>
      <c r="M50">
        <f>M6*2*SUP_OPEX!$D$20+M7*2*SUP_OPEX!$E$20-(L6*1*SUP_OPEX!$D$20+L7*1*SUP_OPEX!$E$20)-(K6*1*SUP_OPEX!$D$20+K7*1*SUP_OPEX!$E$20)</f>
        <v>-6400</v>
      </c>
      <c r="N50">
        <f>N6*2*SUP_OPEX!$D$20+N7*2*SUP_OPEX!$E$20-(M6*1*SUP_OPEX!$D$20+M7*1*SUP_OPEX!$E$20)-(L6*1*SUP_OPEX!$D$20+L7*1*SUP_OPEX!$E$20)</f>
        <v>0</v>
      </c>
      <c r="O50">
        <f>O6*2*SUP_OPEX!$D$20+O7*2*SUP_OPEX!$E$20-(N6*1*SUP_OPEX!$D$20+N7*1*SUP_OPEX!$E$20)-(M6*1*SUP_OPEX!$D$20+M7*1*SUP_OPEX!$E$20)</f>
        <v>0</v>
      </c>
      <c r="P50">
        <f>P6*2*SUP_OPEX!$D$20+P7*2*SUP_OPEX!$E$20-(O6*1*SUP_OPEX!$D$20+O7*1*SUP_OPEX!$E$20)-(N6*1*SUP_OPEX!$D$20+N7*1*SUP_OPEX!$E$20)</f>
        <v>0</v>
      </c>
      <c r="Q50">
        <f>Q6*2*SUP_OPEX!$D$20+Q7*2*SUP_OPEX!$E$20-(P6*1*SUP_OPEX!$D$20+P7*1*SUP_OPEX!$E$20)-(O6*1*SUP_OPEX!$D$20+O7*1*SUP_OPEX!$E$20)</f>
        <v>0</v>
      </c>
      <c r="R50">
        <f>R6*2*SUP_OPEX!$D$20+R7*2*SUP_OPEX!$E$20-(Q6*1*SUP_OPEX!$D$20+Q7*1*SUP_OPEX!$E$20)-(P6*1*SUP_OPEX!$D$20+P7*1*SUP_OPEX!$E$20)</f>
        <v>0</v>
      </c>
      <c r="S50">
        <f>S6*2*SUP_OPEX!$D$20+S7*2*SUP_OPEX!$E$20-(R6*1*SUP_OPEX!$D$20+R7*1*SUP_OPEX!$E$20)-(Q6*1*SUP_OPEX!$D$20+Q7*1*SUP_OPEX!$E$20)</f>
        <v>0</v>
      </c>
      <c r="T50">
        <f>T6*2*SUP_OPEX!$D$20+T7*2*SUP_OPEX!$E$20-(S6*1*SUP_OPEX!$D$20+S7*1*SUP_OPEX!$E$20)-(R6*1*SUP_OPEX!$D$20+R7*1*SUP_OPEX!$E$20)</f>
        <v>0</v>
      </c>
      <c r="U50">
        <f>U6*2*SUP_OPEX!$D$20+U7*2*SUP_OPEX!$E$20-(T6*1*SUP_OPEX!$D$20+T7*1*SUP_OPEX!$E$20)-(S6*1*SUP_OPEX!$D$20+S7*1*SUP_OPEX!$E$20)</f>
        <v>0</v>
      </c>
      <c r="V50">
        <f>V6*2*SUP_OPEX!$D$20+V7*2*SUP_OPEX!$E$20-(U6*1*SUP_OPEX!$D$20+U7*1*SUP_OPEX!$E$20)-(T6*1*SUP_OPEX!$D$20+T7*1*SUP_OPEX!$E$20)</f>
        <v>0</v>
      </c>
      <c r="W50">
        <f>W6*2*SUP_OPEX!$D$20+W7*2*SUP_OPEX!$E$20-(V6*1*SUP_OPEX!$D$20+V7*1*SUP_OPEX!$E$20)-(U6*1*SUP_OPEX!$D$20+U7*1*SUP_OPEX!$E$20)</f>
        <v>0</v>
      </c>
      <c r="X50">
        <f>X6*2*SUP_OPEX!$D$20+X7*2*SUP_OPEX!$E$20-(W6*1*SUP_OPEX!$D$20+W7*1*SUP_OPEX!$E$20)-(V6*1*SUP_OPEX!$D$20+V7*1*SUP_OPEX!$E$20)</f>
        <v>0</v>
      </c>
      <c r="Y50">
        <f>Y6*2*SUP_OPEX!$D$20+Y7*2*SUP_OPEX!$E$20-(X6*1*SUP_OPEX!$D$20+X7*1*SUP_OPEX!$E$20)-(W6*1*SUP_OPEX!$D$20+W7*1*SUP_OPEX!$E$20)</f>
        <v>0</v>
      </c>
      <c r="Z50">
        <f>Z6*2*SUP_OPEX!$D$20+Z7*2*SUP_OPEX!$E$20-(Y6*1*SUP_OPEX!$D$20+Y7*1*SUP_OPEX!$E$20)-(X6*1*SUP_OPEX!$D$20+X7*1*SUP_OPEX!$E$20)</f>
        <v>0</v>
      </c>
      <c r="AA50">
        <f>AA6*2*SUP_OPEX!$D$20+AA7*2*SUP_OPEX!$E$20-(Z6*1*SUP_OPEX!$D$20+Z7*1*SUP_OPEX!$E$20)-(Y6*1*SUP_OPEX!$D$20+Y7*1*SUP_OPEX!$E$20)</f>
        <v>0</v>
      </c>
      <c r="AB50">
        <f>AB6*2*SUP_OPEX!$D$20+AB7*2*SUP_OPEX!$E$20-(AA6*1*SUP_OPEX!$D$20+AA7*1*SUP_OPEX!$E$20)-(Z6*1*SUP_OPEX!$D$20+Z7*1*SUP_OPEX!$E$20)</f>
        <v>0</v>
      </c>
      <c r="AC50">
        <f>AC6*2*SUP_OPEX!$D$20+AC7*2*SUP_OPEX!$E$20-(AB6*1*SUP_OPEX!$D$20+AB7*1*SUP_OPEX!$E$20)-(AA6*1*SUP_OPEX!$D$20+AA7*1*SUP_OPEX!$E$20)</f>
        <v>0</v>
      </c>
      <c r="AD50">
        <f>AD6*2*SUP_OPEX!$D$20+AD7*2*SUP_OPEX!$E$20-(AC6*1*SUP_OPEX!$D$20+AC7*1*SUP_OPEX!$E$20)-(AB6*1*SUP_OPEX!$D$20+AB7*1*SUP_OPEX!$E$20)</f>
        <v>0</v>
      </c>
      <c r="AE50">
        <f>AE6*2*SUP_OPEX!$D$20+AE7*2*SUP_OPEX!$E$20-(AD6*1*SUP_OPEX!$D$20+AD7*1*SUP_OPEX!$E$20)-(AC6*1*SUP_OPEX!$D$20+AC7*1*SUP_OPEX!$E$20)</f>
        <v>0</v>
      </c>
      <c r="AF50">
        <f>AF6*2*SUP_OPEX!$D$20+AF7*2*SUP_OPEX!$E$20-(AE6*1*SUP_OPEX!$D$20+AE7*1*SUP_OPEX!$E$20)-(AD6*1*SUP_OPEX!$D$20+AD7*1*SUP_OPEX!$E$20)</f>
        <v>0</v>
      </c>
      <c r="AG50">
        <f>AG6*2*SUP_OPEX!$D$20+AG7*2*SUP_OPEX!$E$20-(AF6*1*SUP_OPEX!$D$20+AF7*1*SUP_OPEX!$E$20)-(AE6*1*SUP_OPEX!$D$20+AE7*1*SUP_OPEX!$E$20)</f>
        <v>0</v>
      </c>
      <c r="AH50">
        <f>AH6*2*SUP_OPEX!$D$20+AH7*2*SUP_OPEX!$E$20-(AG6*1*SUP_OPEX!$D$20+AG7*1*SUP_OPEX!$E$20)-(AF6*1*SUP_OPEX!$D$20+AF7*1*SUP_OPEX!$E$20)</f>
        <v>0</v>
      </c>
      <c r="AI50">
        <f>AI6*2*SUP_OPEX!$D$20+AI7*2*SUP_OPEX!$E$20-(AH6*1*SUP_OPEX!$D$20+AH7*1*SUP_OPEX!$E$20)-(AG6*1*SUP_OPEX!$D$20+AG7*1*SUP_OPEX!$E$20)</f>
        <v>0</v>
      </c>
      <c r="AJ50">
        <f>AJ6*2*SUP_OPEX!$D$20+AJ7*2*SUP_OPEX!$E$20-(AI6*1*SUP_OPEX!$D$20+AI7*1*SUP_OPEX!$E$20)-(AH6*1*SUP_OPEX!$D$20+AH7*1*SUP_OPEX!$E$20)</f>
        <v>0</v>
      </c>
      <c r="AK50">
        <f>AK6*2*SUP_OPEX!$D$20+AK7*2*SUP_OPEX!$E$20-(AJ6*1*SUP_OPEX!$D$20+AJ7*1*SUP_OPEX!$E$20)-(AI6*1*SUP_OPEX!$D$20+AI7*1*SUP_OPEX!$E$20)</f>
        <v>0</v>
      </c>
      <c r="AL50">
        <f>AL6*2*SUP_OPEX!$D$20+AL7*2*SUP_OPEX!$E$20-(AK6*1*SUP_OPEX!$D$20+AK7*1*SUP_OPEX!$E$20)-(AJ6*1*SUP_OPEX!$D$20+AJ7*1*SUP_OPEX!$E$20)</f>
        <v>0</v>
      </c>
      <c r="AM50">
        <f>AM6*2*SUP_OPEX!$D$20+AM7*2*SUP_OPEX!$E$20-(AL6*1*SUP_OPEX!$D$20+AL7*1*SUP_OPEX!$E$20)-(AK6*1*SUP_OPEX!$D$20+AK7*1*SUP_OPEX!$E$20)</f>
        <v>0</v>
      </c>
      <c r="AN50">
        <f>AN6*2*SUP_OPEX!$D$20+AN7*2*SUP_OPEX!$E$20-(AM6*1*SUP_OPEX!$D$20+AM7*1*SUP_OPEX!$E$20)-(AL6*1*SUP_OPEX!$D$20+AL7*1*SUP_OPEX!$E$20)</f>
        <v>0</v>
      </c>
      <c r="AO50">
        <f>AO6*2*SUP_OPEX!$D$20+AO7*2*SUP_OPEX!$E$20-(AN6*1*SUP_OPEX!$D$20+AN7*1*SUP_OPEX!$E$20)-(AM6*1*SUP_OPEX!$D$20+AM7*1*SUP_OPEX!$E$20)</f>
        <v>0</v>
      </c>
      <c r="AP50">
        <f>AP6*2*SUP_OPEX!$D$20+AP7*2*SUP_OPEX!$E$20-(AO6*1*SUP_OPEX!$D$20+AO7*1*SUP_OPEX!$E$20)-(AN6*1*SUP_OPEX!$D$20+AN7*1*SUP_OPEX!$E$20)</f>
        <v>0</v>
      </c>
      <c r="AQ50">
        <f>AQ6*2*SUP_OPEX!$D$20+AQ7*2*SUP_OPEX!$E$20-(AP6*1*SUP_OPEX!$D$20+AP7*1*SUP_OPEX!$E$20)-(AO6*1*SUP_OPEX!$D$20+AO7*1*SUP_OPEX!$E$20)</f>
        <v>0</v>
      </c>
      <c r="AR50">
        <f>AR6*2*SUP_OPEX!$D$20+AR7*2*SUP_OPEX!$E$20-(AQ6*1*SUP_OPEX!$D$20+AQ7*1*SUP_OPEX!$E$20)-(AP6*1*SUP_OPEX!$D$20+AP7*1*SUP_OPEX!$E$20)</f>
        <v>0</v>
      </c>
      <c r="AS50">
        <f>AS6*2*SUP_OPEX!$D$20+AS7*2*SUP_OPEX!$E$20-(AR6*1*SUP_OPEX!$D$20+AR7*1*SUP_OPEX!$E$20)-(AQ6*1*SUP_OPEX!$D$20+AQ7*1*SUP_OPEX!$E$20)</f>
        <v>0</v>
      </c>
      <c r="AT50">
        <f>AT6*2*SUP_OPEX!$D$20+AT7*2*SUP_OPEX!$E$20-(AS6*1*SUP_OPEX!$D$20+AS7*1*SUP_OPEX!$E$20)-(AR6*1*SUP_OPEX!$D$20+AR7*1*SUP_OPEX!$E$20)</f>
        <v>0</v>
      </c>
      <c r="AU50">
        <f>AU6*2*SUP_OPEX!$D$20+AU7*2*SUP_OPEX!$E$20-(AT6*1*SUP_OPEX!$D$20+AT7*1*SUP_OPEX!$E$20)-(AS6*1*SUP_OPEX!$D$20+AS7*1*SUP_OPEX!$E$20)</f>
        <v>0</v>
      </c>
      <c r="AV50">
        <f>AV6*2*SUP_OPEX!$D$20+AV7*2*SUP_OPEX!$E$20-(AU6*1*SUP_OPEX!$D$20+AU7*1*SUP_OPEX!$E$20)-(AT6*1*SUP_OPEX!$D$20+AT7*1*SUP_OPEX!$E$20)</f>
        <v>0</v>
      </c>
      <c r="AW50">
        <f>AW6*2*SUP_OPEX!$D$20+AW7*2*SUP_OPEX!$E$20-(AV6*1*SUP_OPEX!$D$20+AV7*1*SUP_OPEX!$E$20)-(AU6*1*SUP_OPEX!$D$20+AU7*1*SUP_OPEX!$E$20)</f>
        <v>0</v>
      </c>
      <c r="AX50">
        <f>AX6*2*SUP_OPEX!$D$20+AX7*2*SUP_OPEX!$E$20-(AW6*1*SUP_OPEX!$D$20+AW7*1*SUP_OPEX!$E$20)-(AV6*1*SUP_OPEX!$D$20+AV7*1*SUP_OPEX!$E$20)</f>
        <v>0</v>
      </c>
      <c r="AY50">
        <f>AY6*2*SUP_OPEX!$D$20+AY7*2*SUP_OPEX!$E$20-(AX6*1*SUP_OPEX!$D$20+AX7*1*SUP_OPEX!$E$20)-(AW6*1*SUP_OPEX!$D$20+AW7*1*SUP_OPEX!$E$20)</f>
        <v>0</v>
      </c>
      <c r="AZ50">
        <f>AZ6*2*SUP_OPEX!$D$20+AZ7*2*SUP_OPEX!$E$20-(AY6*1*SUP_OPEX!$D$20+AY7*1*SUP_OPEX!$E$20)-(AX6*1*SUP_OPEX!$D$20+AX7*1*SUP_OPEX!$E$20)</f>
        <v>0</v>
      </c>
      <c r="BA50">
        <f>BA6*2*SUP_OPEX!$D$20+BA7*2*SUP_OPEX!$E$20-(AZ6*1*SUP_OPEX!$D$20+AZ7*1*SUP_OPEX!$E$20)-(AY6*1*SUP_OPEX!$D$20+AY7*1*SUP_OPEX!$E$20)</f>
        <v>0</v>
      </c>
      <c r="BB50">
        <f>BB6*2*SUP_OPEX!$D$20+BB7*2*SUP_OPEX!$E$20-(BA6*1*SUP_OPEX!$D$20+BA7*1*SUP_OPEX!$E$20)-(AZ6*1*SUP_OPEX!$D$20+AZ7*1*SUP_OPEX!$E$20)</f>
        <v>0</v>
      </c>
      <c r="BC50">
        <f>BC6*2*SUP_OPEX!$D$20+BC7*2*SUP_OPEX!$E$20-(BB6*1*SUP_OPEX!$D$20+BB7*1*SUP_OPEX!$E$20)-(BA6*1*SUP_OPEX!$D$20+BA7*1*SUP_OPEX!$E$20)</f>
        <v>0</v>
      </c>
      <c r="BD50">
        <f>BD6*2*SUP_OPEX!$D$20+BD7*2*SUP_OPEX!$E$20-(BC6*1*SUP_OPEX!$D$20+BC7*1*SUP_OPEX!$E$20)-(BB6*1*SUP_OPEX!$D$20+BB7*1*SUP_OPEX!$E$20)</f>
        <v>0</v>
      </c>
      <c r="BE50">
        <f>BE6*2*SUP_OPEX!$D$20+BE7*2*SUP_OPEX!$E$20-(BD6*1*SUP_OPEX!$D$20+BD7*1*SUP_OPEX!$E$20)-(BC6*1*SUP_OPEX!$D$20+BC7*1*SUP_OPEX!$E$20)</f>
        <v>0</v>
      </c>
      <c r="BF50">
        <f>BF6*2*SUP_OPEX!$D$20+BF7*2*SUP_OPEX!$E$20-(BE6*1*SUP_OPEX!$D$20+BE7*1*SUP_OPEX!$E$20)-(BD6*1*SUP_OPEX!$D$20+BD7*1*SUP_OPEX!$E$20)</f>
        <v>0</v>
      </c>
      <c r="BG50">
        <f>BG6*2*SUP_OPEX!$D$20+BG7*2*SUP_OPEX!$E$20-(BF6*1*SUP_OPEX!$D$20+BF7*1*SUP_OPEX!$E$20)-(BE6*1*SUP_OPEX!$D$20+BE7*1*SUP_OPEX!$E$20)</f>
        <v>0</v>
      </c>
      <c r="BH50">
        <f>BH6*2*SUP_OPEX!$D$20+BH7*2*SUP_OPEX!$E$20-(BG6*1*SUP_OPEX!$D$20+BG7*1*SUP_OPEX!$E$20)-(BF6*1*SUP_OPEX!$D$20+BF7*1*SUP_OPEX!$E$20)</f>
        <v>0</v>
      </c>
      <c r="BI50">
        <f>BI6*2*SUP_OPEX!$D$20+BI7*2*SUP_OPEX!$E$20-(BH6*1*SUP_OPEX!$D$20+BH7*1*SUP_OPEX!$E$20)-(BG6*1*SUP_OPEX!$D$20+BG7*1*SUP_OPEX!$E$20)</f>
        <v>0</v>
      </c>
      <c r="BJ50">
        <f>BJ6*2*SUP_OPEX!$D$20+BJ7*2*SUP_OPEX!$E$20-(BI6*1*SUP_OPEX!$D$20+BI7*1*SUP_OPEX!$E$20)-(BH6*1*SUP_OPEX!$D$20+BH7*1*SUP_OPEX!$E$20)</f>
        <v>0</v>
      </c>
      <c r="BK50">
        <f>BK6*2*SUP_OPEX!$D$20+BK7*2*SUP_OPEX!$E$20-(BJ6*1*SUP_OPEX!$D$20+BJ7*1*SUP_OPEX!$E$20)-(BI6*1*SUP_OPEX!$D$20+BI7*1*SUP_OPEX!$E$20)</f>
        <v>0</v>
      </c>
      <c r="BL50">
        <f>BL6*2*SUP_OPEX!$D$20+BL7*2*SUP_OPEX!$E$20-(BK6*1*SUP_OPEX!$D$20+BK7*1*SUP_OPEX!$E$20)-(BJ6*1*SUP_OPEX!$D$20+BJ7*1*SUP_OPEX!$E$20)</f>
        <v>0</v>
      </c>
      <c r="BM50">
        <f>BM6*2*SUP_OPEX!$D$20+BM7*2*SUP_OPEX!$E$20-(BL6*1*SUP_OPEX!$D$20+BL7*1*SUP_OPEX!$E$20)-(BK6*1*SUP_OPEX!$D$20+BK7*1*SUP_OPEX!$E$20)</f>
        <v>0</v>
      </c>
      <c r="BN50">
        <f>BN6*2*SUP_OPEX!$D$20+BN7*2*SUP_OPEX!$E$20-(BM6*1*SUP_OPEX!$D$20+BM7*1*SUP_OPEX!$E$20)-(BL6*1*SUP_OPEX!$D$20+BL7*1*SUP_OPEX!$E$20)</f>
        <v>0</v>
      </c>
      <c r="BO50">
        <f>BO6*2*SUP_OPEX!$D$20+BO7*2*SUP_OPEX!$E$20-(BN6*1*SUP_OPEX!$D$20+BN7*1*SUP_OPEX!$E$20)-(BM6*1*SUP_OPEX!$D$20+BM7*1*SUP_OPEX!$E$20)</f>
        <v>0</v>
      </c>
      <c r="BP50">
        <f>BP6*2*SUP_OPEX!$D$20+BP7*2*SUP_OPEX!$E$20-(BO6*1*SUP_OPEX!$D$20+BO7*1*SUP_OPEX!$E$20)-(BN6*1*SUP_OPEX!$D$20+BN7*1*SUP_OPEX!$E$20)</f>
        <v>0</v>
      </c>
      <c r="BQ50">
        <f>BQ6*2*SUP_OPEX!$D$20+BQ7*2*SUP_OPEX!$E$20-(BP6*1*SUP_OPEX!$D$20+BP7*1*SUP_OPEX!$E$20)-(BO6*1*SUP_OPEX!$D$20+BO7*1*SUP_OPEX!$E$20)</f>
        <v>0</v>
      </c>
      <c r="BR50">
        <f>BR6*2*SUP_OPEX!$D$20+BR7*2*SUP_OPEX!$E$20-(BQ6*1*SUP_OPEX!$D$20+BQ7*1*SUP_OPEX!$E$20)-(BP6*1*SUP_OPEX!$D$20+BP7*1*SUP_OPEX!$E$20)</f>
        <v>0</v>
      </c>
      <c r="BS50">
        <f>BS6*2*SUP_OPEX!$D$20+BS7*2*SUP_OPEX!$E$20-(BR6*1*SUP_OPEX!$D$20+BR7*1*SUP_OPEX!$E$20)-(BQ6*1*SUP_OPEX!$D$20+BQ7*1*SUP_OPEX!$E$20)</f>
        <v>0</v>
      </c>
      <c r="BT50">
        <f>BT6*2*SUP_OPEX!$D$20+BT7*2*SUP_OPEX!$E$20-(BS6*1*SUP_OPEX!$D$20+BS7*1*SUP_OPEX!$E$20)-(BR6*1*SUP_OPEX!$D$20+BR7*1*SUP_OPEX!$E$20)</f>
        <v>0</v>
      </c>
      <c r="BU50">
        <f>BU6*2*SUP_OPEX!$D$20+BU7*2*SUP_OPEX!$E$20-(BT6*1*SUP_OPEX!$D$20+BT7*1*SUP_OPEX!$E$20)-(BS6*1*SUP_OPEX!$D$20+BS7*1*SUP_OPEX!$E$20)</f>
        <v>0</v>
      </c>
      <c r="BV50">
        <f>BV6*2*SUP_OPEX!$D$20+BV7*2*SUP_OPEX!$E$20-(BU6*1*SUP_OPEX!$D$20+BU7*1*SUP_OPEX!$E$20)-(BT6*1*SUP_OPEX!$D$20+BT7*1*SUP_OPEX!$E$20)</f>
        <v>0</v>
      </c>
      <c r="BW50">
        <f>BW6*2*SUP_OPEX!$D$20+BW7*2*SUP_OPEX!$E$20-(BV6*1*SUP_OPEX!$D$20+BV7*1*SUP_OPEX!$E$20)-(BU6*1*SUP_OPEX!$D$20+BU7*1*SUP_OPEX!$E$20)</f>
        <v>0</v>
      </c>
      <c r="BX50">
        <f>BX6*2*SUP_OPEX!$D$20+BX7*2*SUP_OPEX!$E$20-(BW6*1*SUP_OPEX!$D$20+BW7*1*SUP_OPEX!$E$20)-(BV6*1*SUP_OPEX!$D$20+BV7*1*SUP_OPEX!$E$20)</f>
        <v>0</v>
      </c>
      <c r="BY50">
        <f>BY6*2*SUP_OPEX!$D$20+BY7*2*SUP_OPEX!$E$20-(BX6*1*SUP_OPEX!$D$20+BX7*1*SUP_OPEX!$E$20)-(BW6*1*SUP_OPEX!$D$20+BW7*1*SUP_OPEX!$E$20)</f>
        <v>0</v>
      </c>
      <c r="BZ50">
        <f>BZ6*2*SUP_OPEX!$D$20+BZ7*2*SUP_OPEX!$E$20-(BY6*1*SUP_OPEX!$D$20+BY7*1*SUP_OPEX!$E$20)-(BX6*1*SUP_OPEX!$D$20+BX7*1*SUP_OPEX!$E$20)</f>
        <v>0</v>
      </c>
      <c r="CA50">
        <f>CA6*2*SUP_OPEX!$D$20+CA7*2*SUP_OPEX!$E$20-(BZ6*1*SUP_OPEX!$D$20+BZ7*1*SUP_OPEX!$E$20)-(BY6*1*SUP_OPEX!$D$20+BY7*1*SUP_OPEX!$E$20)</f>
        <v>0</v>
      </c>
      <c r="CB50">
        <f>CB6*2*SUP_OPEX!$D$20+CB7*2*SUP_OPEX!$E$20-(CA6*1*SUP_OPEX!$D$20+CA7*1*SUP_OPEX!$E$20)-(BZ6*1*SUP_OPEX!$D$20+BZ7*1*SUP_OPEX!$E$20)</f>
        <v>0</v>
      </c>
      <c r="CC50">
        <f>CC6*2*SUP_OPEX!$D$20+CC7*2*SUP_OPEX!$E$20-(CB6*1*SUP_OPEX!$D$20+CB7*1*SUP_OPEX!$E$20)-(CA6*1*SUP_OPEX!$D$20+CA7*1*SUP_OPEX!$E$20)</f>
        <v>0</v>
      </c>
      <c r="CD50">
        <f>CD6*2*SUP_OPEX!$D$20+CD7*2*SUP_OPEX!$E$20-(CC6*1*SUP_OPEX!$D$20+CC7*1*SUP_OPEX!$E$20)-(CB6*1*SUP_OPEX!$D$20+CB7*1*SUP_OPEX!$E$20)</f>
        <v>0</v>
      </c>
      <c r="CE50">
        <f>CE6*2*SUP_OPEX!$D$20+CE7*2*SUP_OPEX!$E$20-(CD6*1*SUP_OPEX!$D$20+CD7*1*SUP_OPEX!$E$20)-(CC6*1*SUP_OPEX!$D$20+CC7*1*SUP_OPEX!$E$20)</f>
        <v>0</v>
      </c>
      <c r="CF50">
        <f>CF6*2*SUP_OPEX!$D$20+CF7*2*SUP_OPEX!$E$20-(CE6*1*SUP_OPEX!$D$20+CE7*1*SUP_OPEX!$E$20)-(CD6*1*SUP_OPEX!$D$20+CD7*1*SUP_OPEX!$E$20)</f>
        <v>0</v>
      </c>
      <c r="CG50">
        <f>CG6*2*SUP_OPEX!$D$20+CG7*2*SUP_OPEX!$E$20-(CF6*1*SUP_OPEX!$D$20+CF7*1*SUP_OPEX!$E$20)-(CE6*1*SUP_OPEX!$D$20+CE7*1*SUP_OPEX!$E$20)</f>
        <v>0</v>
      </c>
      <c r="CH50">
        <f>CH6*2*SUP_OPEX!$D$20+CH7*2*SUP_OPEX!$E$20-(CG6*1*SUP_OPEX!$D$20+CG7*1*SUP_OPEX!$E$20)-(CF6*1*SUP_OPEX!$D$20+CF7*1*SUP_OPEX!$E$20)</f>
        <v>0</v>
      </c>
      <c r="CI50">
        <f>CI6*2*SUP_OPEX!$D$20+CI7*2*SUP_OPEX!$E$20-(CH6*1*SUP_OPEX!$D$20+CH7*1*SUP_OPEX!$E$20)-(CG6*1*SUP_OPEX!$D$20+CG7*1*SUP_OPEX!$E$20)</f>
        <v>0</v>
      </c>
      <c r="CJ50">
        <f>CJ6*2*SUP_OPEX!$D$20+CJ7*2*SUP_OPEX!$E$20-(CI6*1*SUP_OPEX!$D$20+CI7*1*SUP_OPEX!$E$20)-(CH6*1*SUP_OPEX!$D$20+CH7*1*SUP_OPEX!$E$20)</f>
        <v>0</v>
      </c>
      <c r="CK50">
        <f>CK6*2*SUP_OPEX!$D$20+CK7*2*SUP_OPEX!$E$20-(CJ6*1*SUP_OPEX!$D$20+CJ7*1*SUP_OPEX!$E$20)-(CI6*1*SUP_OPEX!$D$20+CI7*1*SUP_OPEX!$E$20)</f>
        <v>0</v>
      </c>
      <c r="CL50">
        <f>CL6*2*SUP_OPEX!$D$20+CL7*2*SUP_OPEX!$E$20-(CK6*1*SUP_OPEX!$D$20+CK7*1*SUP_OPEX!$E$20)-(CJ6*1*SUP_OPEX!$D$20+CJ7*1*SUP_OPEX!$E$20)</f>
        <v>0</v>
      </c>
      <c r="CM50">
        <f>CM6*2*SUP_OPEX!$D$20+CM7*2*SUP_OPEX!$E$20-(CL6*1*SUP_OPEX!$D$20+CL7*1*SUP_OPEX!$E$20)-(CK6*1*SUP_OPEX!$D$20+CK7*1*SUP_OPEX!$E$20)</f>
        <v>0</v>
      </c>
      <c r="CN50">
        <f>CN6*2*SUP_OPEX!$D$20+CN7*2*SUP_OPEX!$E$20-(CM6*1*SUP_OPEX!$D$20+CM7*1*SUP_OPEX!$E$20)-(CL6*1*SUP_OPEX!$D$20+CL7*1*SUP_OPEX!$E$20)</f>
        <v>0</v>
      </c>
      <c r="CO50">
        <f>CO6*2*SUP_OPEX!$D$20+CO7*2*SUP_OPEX!$E$20-(CN6*1*SUP_OPEX!$D$20+CN7*1*SUP_OPEX!$E$20)-(CM6*1*SUP_OPEX!$D$20+CM7*1*SUP_OPEX!$E$20)</f>
        <v>0</v>
      </c>
      <c r="CP50">
        <f>CP6*2*SUP_OPEX!$D$20+CP7*2*SUP_OPEX!$E$20-(CO6*1*SUP_OPEX!$D$20+CO7*1*SUP_OPEX!$E$20)-(CN6*1*SUP_OPEX!$D$20+CN7*1*SUP_OPEX!$E$20)</f>
        <v>0</v>
      </c>
      <c r="CQ50">
        <f>CQ6*2*SUP_OPEX!$D$20+CQ7*2*SUP_OPEX!$E$20-(CP6*1*SUP_OPEX!$D$20+CP7*1*SUP_OPEX!$E$20)-(CO6*1*SUP_OPEX!$D$20+CO7*1*SUP_OPEX!$E$20)</f>
        <v>0</v>
      </c>
      <c r="CR50">
        <f>CR6*2*SUP_OPEX!$D$20+CR7*2*SUP_OPEX!$E$20-(CQ6*1*SUP_OPEX!$D$20+CQ7*1*SUP_OPEX!$E$20)-(CP6*1*SUP_OPEX!$D$20+CP7*1*SUP_OPEX!$E$20)</f>
        <v>0</v>
      </c>
      <c r="CS50">
        <f>CS6*2*SUP_OPEX!$D$20+CS7*2*SUP_OPEX!$E$20-(CR6*1*SUP_OPEX!$D$20+CR7*1*SUP_OPEX!$E$20)-(CQ6*1*SUP_OPEX!$D$20+CQ7*1*SUP_OPEX!$E$20)</f>
        <v>0</v>
      </c>
      <c r="CT50">
        <f>CT6*2*SUP_OPEX!$D$20+CT7*2*SUP_OPEX!$E$20-(CS6*1*SUP_OPEX!$D$20+CS7*1*SUP_OPEX!$E$20)-(CR6*1*SUP_OPEX!$D$20+CR7*1*SUP_OPEX!$E$20)</f>
        <v>0</v>
      </c>
      <c r="CU50">
        <f>CU6*2*SUP_OPEX!$D$20+CU7*2*SUP_OPEX!$E$20-(CT6*1*SUP_OPEX!$D$20+CT7*1*SUP_OPEX!$E$20)-(CS6*1*SUP_OPEX!$D$20+CS7*1*SUP_OPEX!$E$20)</f>
        <v>0</v>
      </c>
      <c r="CV50">
        <f>CV6*2*SUP_OPEX!$D$20+CV7*2*SUP_OPEX!$E$20-(CU6*1*SUP_OPEX!$D$20+CU7*1*SUP_OPEX!$E$20)-(CT6*1*SUP_OPEX!$D$20+CT7*1*SUP_OPEX!$E$20)</f>
        <v>0</v>
      </c>
      <c r="CW50">
        <f>CW6*2*SUP_OPEX!$D$20+CW7*2*SUP_OPEX!$E$20-(CV6*1*SUP_OPEX!$D$20+CV7*1*SUP_OPEX!$E$20)-(CU6*1*SUP_OPEX!$D$20+CU7*1*SUP_OPEX!$E$20)</f>
        <v>0</v>
      </c>
      <c r="CX50">
        <f>CX6*2*SUP_OPEX!$D$20+CX7*2*SUP_OPEX!$E$20-(CW6*1*SUP_OPEX!$D$20+CW7*1*SUP_OPEX!$E$20)-(CV6*1*SUP_OPEX!$D$20+CV7*1*SUP_OPEX!$E$20)</f>
        <v>0</v>
      </c>
      <c r="CY50">
        <f>CY6*2*SUP_OPEX!$D$20+CY7*2*SUP_OPEX!$E$20-(CX6*1*SUP_OPEX!$D$20+CX7*1*SUP_OPEX!$E$20)-(CW6*1*SUP_OPEX!$D$20+CW7*1*SUP_OPEX!$E$20)</f>
        <v>0</v>
      </c>
      <c r="CZ50">
        <f>CZ6*2*SUP_OPEX!$D$20+CZ7*2*SUP_OPEX!$E$20-(CY6*1*SUP_OPEX!$D$20+CY7*1*SUP_OPEX!$E$20)-(CX6*1*SUP_OPEX!$D$20+CX7*1*SUP_OPEX!$E$20)</f>
        <v>0</v>
      </c>
      <c r="DA50">
        <f>DA6*2*SUP_OPEX!$D$20+DA7*2*SUP_OPEX!$E$20-(CZ6*1*SUP_OPEX!$D$20+CZ7*1*SUP_OPEX!$E$20)-(CY6*1*SUP_OPEX!$D$20+CY7*1*SUP_OPEX!$E$20)</f>
        <v>0</v>
      </c>
      <c r="DB50">
        <f>DB6*2*SUP_OPEX!$D$20+DB7*2*SUP_OPEX!$E$20-(DA6*1*SUP_OPEX!$D$20+DA7*1*SUP_OPEX!$E$20)-(CZ6*1*SUP_OPEX!$D$20+CZ7*1*SUP_OPEX!$E$20)</f>
        <v>0</v>
      </c>
      <c r="DC50">
        <f>DC6*2*SUP_OPEX!$D$20+DC7*2*SUP_OPEX!$E$20-(DB6*1*SUP_OPEX!$D$20+DB7*1*SUP_OPEX!$E$20)-(DA6*1*SUP_OPEX!$D$20+DA7*1*SUP_OPEX!$E$20)</f>
        <v>0</v>
      </c>
      <c r="DD50">
        <f>DD6*2*SUP_OPEX!$D$20+DD7*2*SUP_OPEX!$E$20-(DC6*1*SUP_OPEX!$D$20+DC7*1*SUP_OPEX!$E$20)-(DB6*1*SUP_OPEX!$D$20+DB7*1*SUP_OPEX!$E$20)</f>
        <v>0</v>
      </c>
      <c r="DE50">
        <f>DE6*2*SUP_OPEX!$D$20+DE7*2*SUP_OPEX!$E$20-(DD6*1*SUP_OPEX!$D$20+DD7*1*SUP_OPEX!$E$20)-(DC6*1*SUP_OPEX!$D$20+DC7*1*SUP_OPEX!$E$20)</f>
        <v>0</v>
      </c>
      <c r="DF50">
        <f>DF6*2*SUP_OPEX!$D$20+DF7*2*SUP_OPEX!$E$20-(DE6*1*SUP_OPEX!$D$20+DE7*1*SUP_OPEX!$E$20)-(DD6*1*SUP_OPEX!$D$20+DD7*1*SUP_OPEX!$E$20)</f>
        <v>0</v>
      </c>
      <c r="DG50">
        <f>DG6*2*SUP_OPEX!$D$20+DG7*2*SUP_OPEX!$E$20-(DF6*1*SUP_OPEX!$D$20+DF7*1*SUP_OPEX!$E$20)-(DE6*1*SUP_OPEX!$D$20+DE7*1*SUP_OPEX!$E$20)</f>
        <v>0</v>
      </c>
      <c r="DH50">
        <f>DH6*2*SUP_OPEX!$D$20+DH7*2*SUP_OPEX!$E$20-(DG6*1*SUP_OPEX!$D$20+DG7*1*SUP_OPEX!$E$20)-(DF6*1*SUP_OPEX!$D$20+DF7*1*SUP_OPEX!$E$20)</f>
        <v>0</v>
      </c>
      <c r="DI50">
        <f>DI6*2*SUP_OPEX!$D$20+DI7*2*SUP_OPEX!$E$20-(DH6*1*SUP_OPEX!$D$20+DH7*1*SUP_OPEX!$E$20)-(DG6*1*SUP_OPEX!$D$20+DG7*1*SUP_OPEX!$E$20)</f>
        <v>0</v>
      </c>
      <c r="DJ50">
        <f>DJ6*2*SUP_OPEX!$D$20+DJ7*2*SUP_OPEX!$E$20-(DI6*1*SUP_OPEX!$D$20+DI7*1*SUP_OPEX!$E$20)-(DH6*1*SUP_OPEX!$D$20+DH7*1*SUP_OPEX!$E$20)</f>
        <v>0</v>
      </c>
      <c r="DK50">
        <f>DK6*2*SUP_OPEX!$D$20+DK7*2*SUP_OPEX!$E$20-(DJ6*1*SUP_OPEX!$D$20+DJ7*1*SUP_OPEX!$E$20)-(DI6*1*SUP_OPEX!$D$20+DI7*1*SUP_OPEX!$E$20)</f>
        <v>0</v>
      </c>
      <c r="DL50">
        <f>DL6*2*SUP_OPEX!$D$20+DL7*2*SUP_OPEX!$E$20-(DK6*1*SUP_OPEX!$D$20+DK7*1*SUP_OPEX!$E$20)-(DJ6*1*SUP_OPEX!$D$20+DJ7*1*SUP_OPEX!$E$20)</f>
        <v>0</v>
      </c>
      <c r="DM50">
        <f>DM6*2*SUP_OPEX!$D$20+DM7*2*SUP_OPEX!$E$20-(DL6*1*SUP_OPEX!$D$20+DL7*1*SUP_OPEX!$E$20)-(DK6*1*SUP_OPEX!$D$20+DK7*1*SUP_OPEX!$E$20)</f>
        <v>0</v>
      </c>
      <c r="DN50">
        <f>DN6*2*SUP_OPEX!$D$20+DN7*2*SUP_OPEX!$E$20-(DM6*1*SUP_OPEX!$D$20+DM7*1*SUP_OPEX!$E$20)-(DL6*1*SUP_OPEX!$D$20+DL7*1*SUP_OPEX!$E$20)</f>
        <v>0</v>
      </c>
      <c r="DO50">
        <f>DO6*2*SUP_OPEX!$D$20+DO7*2*SUP_OPEX!$E$20-(DN6*1*SUP_OPEX!$D$20+DN7*1*SUP_OPEX!$E$20)-(DM6*1*SUP_OPEX!$D$20+DM7*1*SUP_OPEX!$E$20)</f>
        <v>0</v>
      </c>
      <c r="DP50">
        <f>DP6*2*SUP_OPEX!$D$20+DP7*2*SUP_OPEX!$E$20-(DO6*1*SUP_OPEX!$D$20+DO7*1*SUP_OPEX!$E$20)-(DN6*1*SUP_OPEX!$D$20+DN7*1*SUP_OPEX!$E$20)</f>
        <v>0</v>
      </c>
      <c r="DQ50">
        <f>DQ6*2*SUP_OPEX!$D$20+DQ7*2*SUP_OPEX!$E$20-(DP6*1*SUP_OPEX!$D$20+DP7*1*SUP_OPEX!$E$20)-(DO6*1*SUP_OPEX!$D$20+DO7*1*SUP_OPEX!$E$20)</f>
        <v>0</v>
      </c>
      <c r="DR50">
        <f>DR6*2*SUP_OPEX!$D$20+DR7*2*SUP_OPEX!$E$20-(DQ6*1*SUP_OPEX!$D$20+DQ7*1*SUP_OPEX!$E$20)-(DP6*1*SUP_OPEX!$D$20+DP7*1*SUP_OPEX!$E$20)</f>
        <v>0</v>
      </c>
      <c r="DS50">
        <f>DS6*2*SUP_OPEX!$D$20+DS7*2*SUP_OPEX!$E$20-(DR6*1*SUP_OPEX!$D$20+DR7*1*SUP_OPEX!$E$20)-(DQ6*1*SUP_OPEX!$D$20+DQ7*1*SUP_OPEX!$E$20)</f>
        <v>0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ED7D31"/>
  </sheetPr>
  <dimension ref="A1:DS42"/>
  <sheetViews>
    <sheetView zoomScaleNormal="100" workbookViewId="0">
      <selection activeCell="J30" sqref="J30"/>
    </sheetView>
  </sheetViews>
  <sheetFormatPr baseColWidth="10" defaultColWidth="8.6640625" defaultRowHeight="15" x14ac:dyDescent="0.2"/>
  <cols>
    <col min="1" max="1" width="37" customWidth="1"/>
    <col min="2" max="2" width="56" customWidth="1"/>
    <col min="4" max="123" width="10" customWidth="1"/>
  </cols>
  <sheetData>
    <row r="1" spans="1:123" ht="15" customHeight="1" x14ac:dyDescent="0.2">
      <c r="A1" s="24" t="s">
        <v>931</v>
      </c>
      <c r="B1" s="14"/>
      <c r="C1" s="14"/>
      <c r="D1" s="14"/>
      <c r="E1" s="14"/>
      <c r="F1" s="14"/>
      <c r="G1" s="14"/>
      <c r="H1" s="14"/>
      <c r="I1" s="14"/>
    </row>
    <row r="2" spans="1:123" ht="15" customHeight="1" x14ac:dyDescent="0.2">
      <c r="A2" s="23" t="s">
        <v>932</v>
      </c>
    </row>
    <row r="3" spans="1:123" ht="15" customHeight="1" x14ac:dyDescent="0.2">
      <c r="A3" s="23" t="s">
        <v>89</v>
      </c>
    </row>
    <row r="4" spans="1:123" ht="15" customHeight="1" x14ac:dyDescent="0.2">
      <c r="B4" s="20" t="s">
        <v>632</v>
      </c>
      <c r="D4" s="87">
        <v>1</v>
      </c>
      <c r="E4" s="87">
        <v>2</v>
      </c>
      <c r="F4" s="87">
        <v>3</v>
      </c>
      <c r="G4" s="87">
        <v>4</v>
      </c>
      <c r="H4" s="87">
        <v>5</v>
      </c>
      <c r="I4" s="87">
        <v>6</v>
      </c>
      <c r="J4" s="87">
        <v>7</v>
      </c>
      <c r="K4" s="87">
        <v>8</v>
      </c>
      <c r="L4" s="87">
        <v>9</v>
      </c>
      <c r="M4" s="87">
        <v>10</v>
      </c>
      <c r="N4" s="87">
        <v>11</v>
      </c>
      <c r="O4" s="87">
        <v>12</v>
      </c>
      <c r="P4" s="87">
        <v>13</v>
      </c>
      <c r="Q4" s="87">
        <v>14</v>
      </c>
      <c r="R4" s="87">
        <v>15</v>
      </c>
      <c r="S4" s="87">
        <v>16</v>
      </c>
      <c r="T4" s="87">
        <v>17</v>
      </c>
      <c r="U4" s="87">
        <v>18</v>
      </c>
      <c r="V4" s="87">
        <v>19</v>
      </c>
      <c r="W4" s="87">
        <v>20</v>
      </c>
      <c r="X4" s="87">
        <v>21</v>
      </c>
      <c r="Y4" s="87">
        <v>22</v>
      </c>
      <c r="Z4" s="87">
        <v>23</v>
      </c>
      <c r="AA4" s="87">
        <v>24</v>
      </c>
      <c r="AB4" s="87">
        <v>25</v>
      </c>
      <c r="AC4" s="87">
        <v>26</v>
      </c>
      <c r="AD4" s="87">
        <v>27</v>
      </c>
      <c r="AE4" s="87">
        <v>28</v>
      </c>
      <c r="AF4" s="87">
        <v>29</v>
      </c>
      <c r="AG4" s="87">
        <v>30</v>
      </c>
      <c r="AH4" s="87">
        <v>31</v>
      </c>
      <c r="AI4" s="87">
        <v>32</v>
      </c>
      <c r="AJ4" s="87">
        <v>33</v>
      </c>
      <c r="AK4" s="87">
        <v>34</v>
      </c>
      <c r="AL4" s="87">
        <v>35</v>
      </c>
      <c r="AM4" s="87">
        <v>36</v>
      </c>
      <c r="AN4" s="87">
        <v>37</v>
      </c>
      <c r="AO4" s="87">
        <v>38</v>
      </c>
      <c r="AP4" s="87">
        <v>39</v>
      </c>
      <c r="AQ4" s="87">
        <v>40</v>
      </c>
      <c r="AR4" s="87">
        <v>41</v>
      </c>
      <c r="AS4" s="87">
        <v>42</v>
      </c>
      <c r="AT4" s="87">
        <v>43</v>
      </c>
      <c r="AU4" s="87">
        <v>44</v>
      </c>
      <c r="AV4" s="87">
        <v>45</v>
      </c>
      <c r="AW4" s="87">
        <v>46</v>
      </c>
      <c r="AX4" s="87">
        <v>47</v>
      </c>
      <c r="AY4" s="87">
        <v>48</v>
      </c>
      <c r="AZ4" s="87">
        <v>49</v>
      </c>
      <c r="BA4" s="87">
        <v>50</v>
      </c>
      <c r="BB4" s="87">
        <v>51</v>
      </c>
      <c r="BC4" s="87">
        <v>52</v>
      </c>
      <c r="BD4" s="87">
        <v>53</v>
      </c>
      <c r="BE4" s="87">
        <v>54</v>
      </c>
      <c r="BF4" s="87">
        <v>55</v>
      </c>
      <c r="BG4" s="87">
        <v>56</v>
      </c>
      <c r="BH4" s="87">
        <v>57</v>
      </c>
      <c r="BI4" s="87">
        <v>58</v>
      </c>
      <c r="BJ4" s="87">
        <v>59</v>
      </c>
      <c r="BK4" s="87">
        <v>60</v>
      </c>
      <c r="BL4" s="87">
        <v>61</v>
      </c>
      <c r="BM4" s="87">
        <v>62</v>
      </c>
      <c r="BN4" s="87">
        <v>63</v>
      </c>
      <c r="BO4" s="87">
        <v>64</v>
      </c>
      <c r="BP4" s="87">
        <v>65</v>
      </c>
      <c r="BQ4" s="87">
        <v>66</v>
      </c>
      <c r="BR4" s="87">
        <v>67</v>
      </c>
      <c r="BS4" s="87">
        <v>68</v>
      </c>
      <c r="BT4" s="87">
        <v>69</v>
      </c>
      <c r="BU4" s="87">
        <v>70</v>
      </c>
      <c r="BV4" s="87">
        <v>71</v>
      </c>
      <c r="BW4" s="87">
        <v>72</v>
      </c>
      <c r="BX4" s="87">
        <v>73</v>
      </c>
      <c r="BY4" s="87">
        <v>74</v>
      </c>
      <c r="BZ4" s="87">
        <v>75</v>
      </c>
      <c r="CA4" s="87">
        <v>76</v>
      </c>
      <c r="CB4" s="87">
        <v>77</v>
      </c>
      <c r="CC4" s="87">
        <v>78</v>
      </c>
      <c r="CD4" s="87">
        <v>79</v>
      </c>
      <c r="CE4" s="87">
        <v>80</v>
      </c>
      <c r="CF4" s="87">
        <v>81</v>
      </c>
      <c r="CG4" s="87">
        <v>82</v>
      </c>
      <c r="CH4" s="87">
        <v>83</v>
      </c>
      <c r="CI4" s="87">
        <v>84</v>
      </c>
      <c r="CJ4" s="87">
        <v>85</v>
      </c>
      <c r="CK4" s="87">
        <v>86</v>
      </c>
      <c r="CL4" s="87">
        <v>87</v>
      </c>
      <c r="CM4" s="87">
        <v>88</v>
      </c>
      <c r="CN4" s="87">
        <v>89</v>
      </c>
      <c r="CO4" s="87">
        <v>90</v>
      </c>
      <c r="CP4" s="87">
        <v>91</v>
      </c>
      <c r="CQ4" s="87">
        <v>92</v>
      </c>
      <c r="CR4" s="87">
        <v>93</v>
      </c>
      <c r="CS4" s="87">
        <v>94</v>
      </c>
      <c r="CT4" s="87">
        <v>95</v>
      </c>
      <c r="CU4" s="87">
        <v>96</v>
      </c>
      <c r="CV4" s="87">
        <v>97</v>
      </c>
      <c r="CW4" s="87">
        <v>98</v>
      </c>
      <c r="CX4" s="87">
        <v>99</v>
      </c>
      <c r="CY4" s="87">
        <v>100</v>
      </c>
      <c r="CZ4" s="87">
        <v>101</v>
      </c>
      <c r="DA4" s="87">
        <v>102</v>
      </c>
      <c r="DB4" s="87">
        <v>103</v>
      </c>
      <c r="DC4" s="87">
        <v>104</v>
      </c>
      <c r="DD4" s="87">
        <v>105</v>
      </c>
      <c r="DE4" s="87">
        <v>106</v>
      </c>
      <c r="DF4" s="87">
        <v>107</v>
      </c>
      <c r="DG4" s="87">
        <v>108</v>
      </c>
      <c r="DH4" s="87">
        <v>109</v>
      </c>
      <c r="DI4" s="87">
        <v>110</v>
      </c>
      <c r="DJ4" s="87">
        <v>111</v>
      </c>
      <c r="DK4" s="87">
        <v>112</v>
      </c>
      <c r="DL4" s="87">
        <v>113</v>
      </c>
      <c r="DM4" s="87">
        <v>114</v>
      </c>
      <c r="DN4" s="87">
        <v>115</v>
      </c>
      <c r="DO4" s="87">
        <v>116</v>
      </c>
      <c r="DP4" s="87">
        <v>117</v>
      </c>
      <c r="DQ4" s="87">
        <v>118</v>
      </c>
      <c r="DR4" s="87">
        <v>119</v>
      </c>
      <c r="DS4" s="87">
        <v>120</v>
      </c>
    </row>
    <row r="5" spans="1:123" ht="15" customHeight="1" x14ac:dyDescent="0.2">
      <c r="A5" s="25" t="s">
        <v>895</v>
      </c>
      <c r="B5" s="26"/>
      <c r="C5" s="26"/>
    </row>
    <row r="6" spans="1:123" ht="15" customHeight="1" x14ac:dyDescent="0.2">
      <c r="B6" s="37" t="s">
        <v>933</v>
      </c>
      <c r="D6" s="88">
        <f>IF(D4&gt;=SUP_CONTROL!$C$17,1,0)</f>
        <v>0</v>
      </c>
      <c r="E6" s="88">
        <f>IF(E4&gt;=SUP_CONTROL!$C$17,1,0)</f>
        <v>0</v>
      </c>
      <c r="F6" s="88">
        <f>IF(F4&gt;=SUP_CONTROL!$C$17,1,0)</f>
        <v>0</v>
      </c>
      <c r="G6" s="88">
        <f>IF(G4&gt;=SUP_CONTROL!$C$17,1,0)</f>
        <v>0</v>
      </c>
      <c r="H6" s="88">
        <f>IF(H4&gt;=SUP_CONTROL!$C$17,1,0)</f>
        <v>0</v>
      </c>
      <c r="I6" s="88">
        <f>IF(I4&gt;=SUP_CONTROL!$C$17,1,0)</f>
        <v>0</v>
      </c>
      <c r="J6" s="88">
        <f>IF(J4&gt;=SUP_CONTROL!$C$17,1,0)</f>
        <v>1</v>
      </c>
      <c r="K6" s="88">
        <f>IF(K4&gt;=SUP_CONTROL!$C$17,1,0)</f>
        <v>1</v>
      </c>
      <c r="L6" s="88">
        <f>IF(L4&gt;=SUP_CONTROL!$C$17,1,0)</f>
        <v>1</v>
      </c>
      <c r="M6" s="88">
        <f>IF(M4&gt;=SUP_CONTROL!$C$17,1,0)</f>
        <v>1</v>
      </c>
      <c r="N6" s="88">
        <f>IF(N4&gt;=SUP_CONTROL!$C$17,1,0)</f>
        <v>1</v>
      </c>
      <c r="O6" s="88">
        <f>IF(O4&gt;=SUP_CONTROL!$C$17,1,0)</f>
        <v>1</v>
      </c>
      <c r="P6" s="88">
        <f>IF(P4&gt;=SUP_CONTROL!$C$17,1,0)</f>
        <v>1</v>
      </c>
      <c r="Q6" s="88">
        <f>IF(Q4&gt;=SUP_CONTROL!$C$17,1,0)</f>
        <v>1</v>
      </c>
      <c r="R6" s="88">
        <f>IF(R4&gt;=SUP_CONTROL!$C$17,1,0)</f>
        <v>1</v>
      </c>
      <c r="S6" s="88">
        <f>IF(S4&gt;=SUP_CONTROL!$C$17,1,0)</f>
        <v>1</v>
      </c>
      <c r="T6" s="88">
        <f>IF(T4&gt;=SUP_CONTROL!$C$17,1,0)</f>
        <v>1</v>
      </c>
      <c r="U6" s="88">
        <f>IF(U4&gt;=SUP_CONTROL!$C$17,1,0)</f>
        <v>1</v>
      </c>
      <c r="V6" s="88">
        <f>IF(V4&gt;=SUP_CONTROL!$C$17,1,0)</f>
        <v>1</v>
      </c>
      <c r="W6" s="88">
        <f>IF(W4&gt;=SUP_CONTROL!$C$17,1,0)</f>
        <v>1</v>
      </c>
      <c r="X6" s="88">
        <f>IF(X4&gt;=SUP_CONTROL!$C$17,1,0)</f>
        <v>1</v>
      </c>
      <c r="Y6" s="88">
        <f>IF(Y4&gt;=SUP_CONTROL!$C$17,1,0)</f>
        <v>1</v>
      </c>
      <c r="Z6" s="88">
        <f>IF(Z4&gt;=SUP_CONTROL!$C$17,1,0)</f>
        <v>1</v>
      </c>
      <c r="AA6" s="88">
        <f>IF(AA4&gt;=SUP_CONTROL!$C$17,1,0)</f>
        <v>1</v>
      </c>
      <c r="AB6" s="88">
        <f>IF(AB4&gt;=SUP_CONTROL!$C$17,1,0)</f>
        <v>1</v>
      </c>
      <c r="AC6" s="88">
        <f>IF(AC4&gt;=SUP_CONTROL!$C$17,1,0)</f>
        <v>1</v>
      </c>
      <c r="AD6" s="88">
        <f>IF(AD4&gt;=SUP_CONTROL!$C$17,1,0)</f>
        <v>1</v>
      </c>
      <c r="AE6" s="88">
        <f>IF(AE4&gt;=SUP_CONTROL!$C$17,1,0)</f>
        <v>1</v>
      </c>
      <c r="AF6" s="88">
        <f>IF(AF4&gt;=SUP_CONTROL!$C$17,1,0)</f>
        <v>1</v>
      </c>
      <c r="AG6" s="88">
        <f>IF(AG4&gt;=SUP_CONTROL!$C$17,1,0)</f>
        <v>1</v>
      </c>
      <c r="AH6" s="88">
        <f>IF(AH4&gt;=SUP_CONTROL!$C$17,1,0)</f>
        <v>1</v>
      </c>
      <c r="AI6" s="88">
        <f>IF(AI4&gt;=SUP_CONTROL!$C$17,1,0)</f>
        <v>1</v>
      </c>
      <c r="AJ6" s="88">
        <f>IF(AJ4&gt;=SUP_CONTROL!$C$17,1,0)</f>
        <v>1</v>
      </c>
      <c r="AK6" s="88">
        <f>IF(AK4&gt;=SUP_CONTROL!$C$17,1,0)</f>
        <v>1</v>
      </c>
      <c r="AL6" s="88">
        <f>IF(AL4&gt;=SUP_CONTROL!$C$17,1,0)</f>
        <v>1</v>
      </c>
      <c r="AM6" s="88">
        <f>IF(AM4&gt;=SUP_CONTROL!$C$17,1,0)</f>
        <v>1</v>
      </c>
      <c r="AN6" s="88">
        <f>IF(AN4&gt;=SUP_CONTROL!$C$17,1,0)</f>
        <v>1</v>
      </c>
      <c r="AO6" s="88">
        <f>IF(AO4&gt;=SUP_CONTROL!$C$17,1,0)</f>
        <v>1</v>
      </c>
      <c r="AP6" s="88">
        <f>IF(AP4&gt;=SUP_CONTROL!$C$17,1,0)</f>
        <v>1</v>
      </c>
      <c r="AQ6" s="88">
        <f>IF(AQ4&gt;=SUP_CONTROL!$C$17,1,0)</f>
        <v>1</v>
      </c>
      <c r="AR6" s="88">
        <f>IF(AR4&gt;=SUP_CONTROL!$C$17,1,0)</f>
        <v>1</v>
      </c>
      <c r="AS6" s="88">
        <f>IF(AS4&gt;=SUP_CONTROL!$C$17,1,0)</f>
        <v>1</v>
      </c>
      <c r="AT6" s="88">
        <f>IF(AT4&gt;=SUP_CONTROL!$C$17,1,0)</f>
        <v>1</v>
      </c>
      <c r="AU6" s="88">
        <f>IF(AU4&gt;=SUP_CONTROL!$C$17,1,0)</f>
        <v>1</v>
      </c>
      <c r="AV6" s="88">
        <f>IF(AV4&gt;=SUP_CONTROL!$C$17,1,0)</f>
        <v>1</v>
      </c>
      <c r="AW6" s="88">
        <f>IF(AW4&gt;=SUP_CONTROL!$C$17,1,0)</f>
        <v>1</v>
      </c>
      <c r="AX6" s="88">
        <f>IF(AX4&gt;=SUP_CONTROL!$C$17,1,0)</f>
        <v>1</v>
      </c>
      <c r="AY6" s="88">
        <f>IF(AY4&gt;=SUP_CONTROL!$C$17,1,0)</f>
        <v>1</v>
      </c>
      <c r="AZ6" s="88">
        <f>IF(AZ4&gt;=SUP_CONTROL!$C$17,1,0)</f>
        <v>1</v>
      </c>
      <c r="BA6" s="88">
        <f>IF(BA4&gt;=SUP_CONTROL!$C$17,1,0)</f>
        <v>1</v>
      </c>
      <c r="BB6" s="88">
        <f>IF(BB4&gt;=SUP_CONTROL!$C$17,1,0)</f>
        <v>1</v>
      </c>
      <c r="BC6" s="88">
        <f>IF(BC4&gt;=SUP_CONTROL!$C$17,1,0)</f>
        <v>1</v>
      </c>
      <c r="BD6" s="88">
        <f>IF(BD4&gt;=SUP_CONTROL!$C$17,1,0)</f>
        <v>1</v>
      </c>
      <c r="BE6" s="88">
        <f>IF(BE4&gt;=SUP_CONTROL!$C$17,1,0)</f>
        <v>1</v>
      </c>
      <c r="BF6" s="88">
        <f>IF(BF4&gt;=SUP_CONTROL!$C$17,1,0)</f>
        <v>1</v>
      </c>
      <c r="BG6" s="88">
        <f>IF(BG4&gt;=SUP_CONTROL!$C$17,1,0)</f>
        <v>1</v>
      </c>
      <c r="BH6" s="88">
        <f>IF(BH4&gt;=SUP_CONTROL!$C$17,1,0)</f>
        <v>1</v>
      </c>
      <c r="BI6" s="88">
        <f>IF(BI4&gt;=SUP_CONTROL!$C$17,1,0)</f>
        <v>1</v>
      </c>
      <c r="BJ6" s="88">
        <f>IF(BJ4&gt;=SUP_CONTROL!$C$17,1,0)</f>
        <v>1</v>
      </c>
      <c r="BK6" s="88">
        <f>IF(BK4&gt;=SUP_CONTROL!$C$17,1,0)</f>
        <v>1</v>
      </c>
      <c r="BL6" s="88">
        <f>IF(BL4&gt;=SUP_CONTROL!$C$17,1,0)</f>
        <v>1</v>
      </c>
      <c r="BM6" s="88">
        <f>IF(BM4&gt;=SUP_CONTROL!$C$17,1,0)</f>
        <v>1</v>
      </c>
      <c r="BN6" s="88">
        <f>IF(BN4&gt;=SUP_CONTROL!$C$17,1,0)</f>
        <v>1</v>
      </c>
      <c r="BO6" s="88">
        <f>IF(BO4&gt;=SUP_CONTROL!$C$17,1,0)</f>
        <v>1</v>
      </c>
      <c r="BP6" s="88">
        <f>IF(BP4&gt;=SUP_CONTROL!$C$17,1,0)</f>
        <v>1</v>
      </c>
      <c r="BQ6" s="88">
        <f>IF(BQ4&gt;=SUP_CONTROL!$C$17,1,0)</f>
        <v>1</v>
      </c>
      <c r="BR6" s="88">
        <f>IF(BR4&gt;=SUP_CONTROL!$C$17,1,0)</f>
        <v>1</v>
      </c>
      <c r="BS6" s="88">
        <f>IF(BS4&gt;=SUP_CONTROL!$C$17,1,0)</f>
        <v>1</v>
      </c>
      <c r="BT6" s="88">
        <f>IF(BT4&gt;=SUP_CONTROL!$C$17,1,0)</f>
        <v>1</v>
      </c>
      <c r="BU6" s="88">
        <f>IF(BU4&gt;=SUP_CONTROL!$C$17,1,0)</f>
        <v>1</v>
      </c>
      <c r="BV6" s="88">
        <f>IF(BV4&gt;=SUP_CONTROL!$C$17,1,0)</f>
        <v>1</v>
      </c>
      <c r="BW6" s="88">
        <f>IF(BW4&gt;=SUP_CONTROL!$C$17,1,0)</f>
        <v>1</v>
      </c>
      <c r="BX6" s="88">
        <f>IF(BX4&gt;=SUP_CONTROL!$C$17,1,0)</f>
        <v>1</v>
      </c>
      <c r="BY6" s="88">
        <f>IF(BY4&gt;=SUP_CONTROL!$C$17,1,0)</f>
        <v>1</v>
      </c>
      <c r="BZ6" s="88">
        <f>IF(BZ4&gt;=SUP_CONTROL!$C$17,1,0)</f>
        <v>1</v>
      </c>
      <c r="CA6" s="88">
        <f>IF(CA4&gt;=SUP_CONTROL!$C$17,1,0)</f>
        <v>1</v>
      </c>
      <c r="CB6" s="88">
        <f>IF(CB4&gt;=SUP_CONTROL!$C$17,1,0)</f>
        <v>1</v>
      </c>
      <c r="CC6" s="88">
        <f>IF(CC4&gt;=SUP_CONTROL!$C$17,1,0)</f>
        <v>1</v>
      </c>
      <c r="CD6" s="88">
        <f>IF(CD4&gt;=SUP_CONTROL!$C$17,1,0)</f>
        <v>1</v>
      </c>
      <c r="CE6" s="88">
        <f>IF(CE4&gt;=SUP_CONTROL!$C$17,1,0)</f>
        <v>1</v>
      </c>
      <c r="CF6" s="88">
        <f>IF(CF4&gt;=SUP_CONTROL!$C$17,1,0)</f>
        <v>1</v>
      </c>
      <c r="CG6" s="88">
        <f>IF(CG4&gt;=SUP_CONTROL!$C$17,1,0)</f>
        <v>1</v>
      </c>
      <c r="CH6" s="88">
        <f>IF(CH4&gt;=SUP_CONTROL!$C$17,1,0)</f>
        <v>1</v>
      </c>
      <c r="CI6" s="88">
        <f>IF(CI4&gt;=SUP_CONTROL!$C$17,1,0)</f>
        <v>1</v>
      </c>
      <c r="CJ6" s="88">
        <f>IF(CJ4&gt;=SUP_CONTROL!$C$17,1,0)</f>
        <v>1</v>
      </c>
      <c r="CK6" s="88">
        <f>IF(CK4&gt;=SUP_CONTROL!$C$17,1,0)</f>
        <v>1</v>
      </c>
      <c r="CL6" s="88">
        <f>IF(CL4&gt;=SUP_CONTROL!$C$17,1,0)</f>
        <v>1</v>
      </c>
      <c r="CM6" s="88">
        <f>IF(CM4&gt;=SUP_CONTROL!$C$17,1,0)</f>
        <v>1</v>
      </c>
      <c r="CN6" s="88">
        <f>IF(CN4&gt;=SUP_CONTROL!$C$17,1,0)</f>
        <v>1</v>
      </c>
      <c r="CO6" s="88">
        <f>IF(CO4&gt;=SUP_CONTROL!$C$17,1,0)</f>
        <v>1</v>
      </c>
      <c r="CP6" s="88">
        <f>IF(CP4&gt;=SUP_CONTROL!$C$17,1,0)</f>
        <v>1</v>
      </c>
      <c r="CQ6" s="88">
        <f>IF(CQ4&gt;=SUP_CONTROL!$C$17,1,0)</f>
        <v>1</v>
      </c>
      <c r="CR6" s="88">
        <f>IF(CR4&gt;=SUP_CONTROL!$C$17,1,0)</f>
        <v>1</v>
      </c>
      <c r="CS6" s="88">
        <f>IF(CS4&gt;=SUP_CONTROL!$C$17,1,0)</f>
        <v>1</v>
      </c>
      <c r="CT6" s="88">
        <f>IF(CT4&gt;=SUP_CONTROL!$C$17,1,0)</f>
        <v>1</v>
      </c>
      <c r="CU6" s="88">
        <f>IF(CU4&gt;=SUP_CONTROL!$C$17,1,0)</f>
        <v>1</v>
      </c>
      <c r="CV6" s="88">
        <f>IF(CV4&gt;=SUP_CONTROL!$C$17,1,0)</f>
        <v>1</v>
      </c>
      <c r="CW6" s="88">
        <f>IF(CW4&gt;=SUP_CONTROL!$C$17,1,0)</f>
        <v>1</v>
      </c>
      <c r="CX6" s="88">
        <f>IF(CX4&gt;=SUP_CONTROL!$C$17,1,0)</f>
        <v>1</v>
      </c>
      <c r="CY6" s="88">
        <f>IF(CY4&gt;=SUP_CONTROL!$C$17,1,0)</f>
        <v>1</v>
      </c>
      <c r="CZ6" s="88">
        <f>IF(CZ4&gt;=SUP_CONTROL!$C$17,1,0)</f>
        <v>1</v>
      </c>
      <c r="DA6" s="88">
        <f>IF(DA4&gt;=SUP_CONTROL!$C$17,1,0)</f>
        <v>1</v>
      </c>
      <c r="DB6" s="88">
        <f>IF(DB4&gt;=SUP_CONTROL!$C$17,1,0)</f>
        <v>1</v>
      </c>
      <c r="DC6" s="88">
        <f>IF(DC4&gt;=SUP_CONTROL!$C$17,1,0)</f>
        <v>1</v>
      </c>
      <c r="DD6" s="88">
        <f>IF(DD4&gt;=SUP_CONTROL!$C$17,1,0)</f>
        <v>1</v>
      </c>
      <c r="DE6" s="88">
        <f>IF(DE4&gt;=SUP_CONTROL!$C$17,1,0)</f>
        <v>1</v>
      </c>
      <c r="DF6" s="88">
        <f>IF(DF4&gt;=SUP_CONTROL!$C$17,1,0)</f>
        <v>1</v>
      </c>
      <c r="DG6" s="88">
        <f>IF(DG4&gt;=SUP_CONTROL!$C$17,1,0)</f>
        <v>1</v>
      </c>
      <c r="DH6" s="88">
        <f>IF(DH4&gt;=SUP_CONTROL!$C$17,1,0)</f>
        <v>1</v>
      </c>
      <c r="DI6" s="88">
        <f>IF(DI4&gt;=SUP_CONTROL!$C$17,1,0)</f>
        <v>1</v>
      </c>
      <c r="DJ6" s="88">
        <f>IF(DJ4&gt;=SUP_CONTROL!$C$17,1,0)</f>
        <v>1</v>
      </c>
      <c r="DK6" s="88">
        <f>IF(DK4&gt;=SUP_CONTROL!$C$17,1,0)</f>
        <v>1</v>
      </c>
      <c r="DL6" s="88">
        <f>IF(DL4&gt;=SUP_CONTROL!$C$17,1,0)</f>
        <v>1</v>
      </c>
      <c r="DM6" s="88">
        <f>IF(DM4&gt;=SUP_CONTROL!$C$17,1,0)</f>
        <v>1</v>
      </c>
      <c r="DN6" s="88">
        <f>IF(DN4&gt;=SUP_CONTROL!$C$17,1,0)</f>
        <v>1</v>
      </c>
      <c r="DO6" s="88">
        <f>IF(DO4&gt;=SUP_CONTROL!$C$17,1,0)</f>
        <v>1</v>
      </c>
      <c r="DP6" s="88">
        <f>IF(DP4&gt;=SUP_CONTROL!$C$17,1,0)</f>
        <v>1</v>
      </c>
      <c r="DQ6" s="88">
        <f>IF(DQ4&gt;=SUP_CONTROL!$C$17,1,0)</f>
        <v>1</v>
      </c>
      <c r="DR6" s="88">
        <f>IF(DR4&gt;=SUP_CONTROL!$C$17,1,0)</f>
        <v>1</v>
      </c>
      <c r="DS6" s="88">
        <f>IF(DS4&gt;=SUP_CONTROL!$C$17,1,0)</f>
        <v>1</v>
      </c>
    </row>
    <row r="7" spans="1:123" ht="15" customHeight="1" x14ac:dyDescent="0.2">
      <c r="B7" s="37" t="s">
        <v>934</v>
      </c>
      <c r="D7" s="89">
        <f>IF(D6=0,0,IF(D4=SUP_CONTROL!$C$17,SUP_OPEX!$C$38,IF(D4=SUP_CONTROL!$C$17+1,SUP_OPEX!$C$39,1)))</f>
        <v>0</v>
      </c>
      <c r="E7" s="89">
        <f>IF(E6=0,0,IF(E4=SUP_CONTROL!$C$17,SUP_OPEX!$C$38,IF(E4=SUP_CONTROL!$C$17+1,SUP_OPEX!$C$39,1)))</f>
        <v>0</v>
      </c>
      <c r="F7" s="89">
        <f>IF(F6=0,0,IF(F4=SUP_CONTROL!$C$17,SUP_OPEX!$C$38,IF(F4=SUP_CONTROL!$C$17+1,SUP_OPEX!$C$39,1)))</f>
        <v>0</v>
      </c>
      <c r="G7" s="89">
        <f>IF(G6=0,0,IF(G4=SUP_CONTROL!$C$17,SUP_OPEX!$C$38,IF(G4=SUP_CONTROL!$C$17+1,SUP_OPEX!$C$39,1)))</f>
        <v>0</v>
      </c>
      <c r="H7" s="89">
        <f>IF(H6=0,0,IF(H4=SUP_CONTROL!$C$17,SUP_OPEX!$C$38,IF(H4=SUP_CONTROL!$C$17+1,SUP_OPEX!$C$39,1)))</f>
        <v>0</v>
      </c>
      <c r="I7" s="89">
        <f>IF(I6=0,0,IF(I4=SUP_CONTROL!$C$17,SUP_OPEX!$C$38,IF(I4=SUP_CONTROL!$C$17+1,SUP_OPEX!$C$39,1)))</f>
        <v>0</v>
      </c>
      <c r="J7" s="89">
        <f>IF(J6=0,0,IF(J4=SUP_CONTROL!$C$17,SUP_OPEX!$C$38,IF(J4=SUP_CONTROL!$C$17+1,SUP_OPEX!$C$39,1)))</f>
        <v>0.7</v>
      </c>
      <c r="K7" s="89">
        <f>IF(K6=0,0,IF(K4=SUP_CONTROL!$C$17,SUP_OPEX!$C$38,IF(K4=SUP_CONTROL!$C$17+1,SUP_OPEX!$C$39,1)))</f>
        <v>0.85</v>
      </c>
      <c r="L7" s="89">
        <f>IF(L6=0,0,IF(L4=SUP_CONTROL!$C$17,SUP_OPEX!$C$38,IF(L4=SUP_CONTROL!$C$17+1,SUP_OPEX!$C$39,1)))</f>
        <v>1</v>
      </c>
      <c r="M7" s="89">
        <f>IF(M6=0,0,IF(M4=SUP_CONTROL!$C$17,SUP_OPEX!$C$38,IF(M4=SUP_CONTROL!$C$17+1,SUP_OPEX!$C$39,1)))</f>
        <v>1</v>
      </c>
      <c r="N7" s="89">
        <f>IF(N6=0,0,IF(N4=SUP_CONTROL!$C$17,SUP_OPEX!$C$38,IF(N4=SUP_CONTROL!$C$17+1,SUP_OPEX!$C$39,1)))</f>
        <v>1</v>
      </c>
      <c r="O7" s="89">
        <f>IF(O6=0,0,IF(O4=SUP_CONTROL!$C$17,SUP_OPEX!$C$38,IF(O4=SUP_CONTROL!$C$17+1,SUP_OPEX!$C$39,1)))</f>
        <v>1</v>
      </c>
      <c r="P7" s="89">
        <f>IF(P6=0,0,IF(P4=SUP_CONTROL!$C$17,SUP_OPEX!$C$38,IF(P4=SUP_CONTROL!$C$17+1,SUP_OPEX!$C$39,1)))</f>
        <v>1</v>
      </c>
      <c r="Q7" s="89">
        <f>IF(Q6=0,0,IF(Q4=SUP_CONTROL!$C$17,SUP_OPEX!$C$38,IF(Q4=SUP_CONTROL!$C$17+1,SUP_OPEX!$C$39,1)))</f>
        <v>1</v>
      </c>
      <c r="R7" s="89">
        <f>IF(R6=0,0,IF(R4=SUP_CONTROL!$C$17,SUP_OPEX!$C$38,IF(R4=SUP_CONTROL!$C$17+1,SUP_OPEX!$C$39,1)))</f>
        <v>1</v>
      </c>
      <c r="S7" s="89">
        <f>IF(S6=0,0,IF(S4=SUP_CONTROL!$C$17,SUP_OPEX!$C$38,IF(S4=SUP_CONTROL!$C$17+1,SUP_OPEX!$C$39,1)))</f>
        <v>1</v>
      </c>
      <c r="T7" s="89">
        <f>IF(T6=0,0,IF(T4=SUP_CONTROL!$C$17,SUP_OPEX!$C$38,IF(T4=SUP_CONTROL!$C$17+1,SUP_OPEX!$C$39,1)))</f>
        <v>1</v>
      </c>
      <c r="U7" s="89">
        <f>IF(U6=0,0,IF(U4=SUP_CONTROL!$C$17,SUP_OPEX!$C$38,IF(U4=SUP_CONTROL!$C$17+1,SUP_OPEX!$C$39,1)))</f>
        <v>1</v>
      </c>
      <c r="V7" s="89">
        <f>IF(V6=0,0,IF(V4=SUP_CONTROL!$C$17,SUP_OPEX!$C$38,IF(V4=SUP_CONTROL!$C$17+1,SUP_OPEX!$C$39,1)))</f>
        <v>1</v>
      </c>
      <c r="W7" s="89">
        <f>IF(W6=0,0,IF(W4=SUP_CONTROL!$C$17,SUP_OPEX!$C$38,IF(W4=SUP_CONTROL!$C$17+1,SUP_OPEX!$C$39,1)))</f>
        <v>1</v>
      </c>
      <c r="X7" s="89">
        <f>IF(X6=0,0,IF(X4=SUP_CONTROL!$C$17,SUP_OPEX!$C$38,IF(X4=SUP_CONTROL!$C$17+1,SUP_OPEX!$C$39,1)))</f>
        <v>1</v>
      </c>
      <c r="Y7" s="89">
        <f>IF(Y6=0,0,IF(Y4=SUP_CONTROL!$C$17,SUP_OPEX!$C$38,IF(Y4=SUP_CONTROL!$C$17+1,SUP_OPEX!$C$39,1)))</f>
        <v>1</v>
      </c>
      <c r="Z7" s="89">
        <f>IF(Z6=0,0,IF(Z4=SUP_CONTROL!$C$17,SUP_OPEX!$C$38,IF(Z4=SUP_CONTROL!$C$17+1,SUP_OPEX!$C$39,1)))</f>
        <v>1</v>
      </c>
      <c r="AA7" s="89">
        <f>IF(AA6=0,0,IF(AA4=SUP_CONTROL!$C$17,SUP_OPEX!$C$38,IF(AA4=SUP_CONTROL!$C$17+1,SUP_OPEX!$C$39,1)))</f>
        <v>1</v>
      </c>
      <c r="AB7" s="89">
        <f>IF(AB6=0,0,IF(AB4=SUP_CONTROL!$C$17,SUP_OPEX!$C$38,IF(AB4=SUP_CONTROL!$C$17+1,SUP_OPEX!$C$39,1)))</f>
        <v>1</v>
      </c>
      <c r="AC7" s="89">
        <f>IF(AC6=0,0,IF(AC4=SUP_CONTROL!$C$17,SUP_OPEX!$C$38,IF(AC4=SUP_CONTROL!$C$17+1,SUP_OPEX!$C$39,1)))</f>
        <v>1</v>
      </c>
      <c r="AD7" s="89">
        <f>IF(AD6=0,0,IF(AD4=SUP_CONTROL!$C$17,SUP_OPEX!$C$38,IF(AD4=SUP_CONTROL!$C$17+1,SUP_OPEX!$C$39,1)))</f>
        <v>1</v>
      </c>
      <c r="AE7" s="89">
        <f>IF(AE6=0,0,IF(AE4=SUP_CONTROL!$C$17,SUP_OPEX!$C$38,IF(AE4=SUP_CONTROL!$C$17+1,SUP_OPEX!$C$39,1)))</f>
        <v>1</v>
      </c>
      <c r="AF7" s="89">
        <f>IF(AF6=0,0,IF(AF4=SUP_CONTROL!$C$17,SUP_OPEX!$C$38,IF(AF4=SUP_CONTROL!$C$17+1,SUP_OPEX!$C$39,1)))</f>
        <v>1</v>
      </c>
      <c r="AG7" s="89">
        <f>IF(AG6=0,0,IF(AG4=SUP_CONTROL!$C$17,SUP_OPEX!$C$38,IF(AG4=SUP_CONTROL!$C$17+1,SUP_OPEX!$C$39,1)))</f>
        <v>1</v>
      </c>
      <c r="AH7" s="89">
        <f>IF(AH6=0,0,IF(AH4=SUP_CONTROL!$C$17,SUP_OPEX!$C$38,IF(AH4=SUP_CONTROL!$C$17+1,SUP_OPEX!$C$39,1)))</f>
        <v>1</v>
      </c>
      <c r="AI7" s="89">
        <f>IF(AI6=0,0,IF(AI4=SUP_CONTROL!$C$17,SUP_OPEX!$C$38,IF(AI4=SUP_CONTROL!$C$17+1,SUP_OPEX!$C$39,1)))</f>
        <v>1</v>
      </c>
      <c r="AJ7" s="89">
        <f>IF(AJ6=0,0,IF(AJ4=SUP_CONTROL!$C$17,SUP_OPEX!$C$38,IF(AJ4=SUP_CONTROL!$C$17+1,SUP_OPEX!$C$39,1)))</f>
        <v>1</v>
      </c>
      <c r="AK7" s="89">
        <f>IF(AK6=0,0,IF(AK4=SUP_CONTROL!$C$17,SUP_OPEX!$C$38,IF(AK4=SUP_CONTROL!$C$17+1,SUP_OPEX!$C$39,1)))</f>
        <v>1</v>
      </c>
      <c r="AL7" s="89">
        <f>IF(AL6=0,0,IF(AL4=SUP_CONTROL!$C$17,SUP_OPEX!$C$38,IF(AL4=SUP_CONTROL!$C$17+1,SUP_OPEX!$C$39,1)))</f>
        <v>1</v>
      </c>
      <c r="AM7" s="89">
        <f>IF(AM6=0,0,IF(AM4=SUP_CONTROL!$C$17,SUP_OPEX!$C$38,IF(AM4=SUP_CONTROL!$C$17+1,SUP_OPEX!$C$39,1)))</f>
        <v>1</v>
      </c>
      <c r="AN7" s="89">
        <f>IF(AN6=0,0,IF(AN4=SUP_CONTROL!$C$17,SUP_OPEX!$C$38,IF(AN4=SUP_CONTROL!$C$17+1,SUP_OPEX!$C$39,1)))</f>
        <v>1</v>
      </c>
      <c r="AO7" s="89">
        <f>IF(AO6=0,0,IF(AO4=SUP_CONTROL!$C$17,SUP_OPEX!$C$38,IF(AO4=SUP_CONTROL!$C$17+1,SUP_OPEX!$C$39,1)))</f>
        <v>1</v>
      </c>
      <c r="AP7" s="89">
        <f>IF(AP6=0,0,IF(AP4=SUP_CONTROL!$C$17,SUP_OPEX!$C$38,IF(AP4=SUP_CONTROL!$C$17+1,SUP_OPEX!$C$39,1)))</f>
        <v>1</v>
      </c>
      <c r="AQ7" s="89">
        <f>IF(AQ6=0,0,IF(AQ4=SUP_CONTROL!$C$17,SUP_OPEX!$C$38,IF(AQ4=SUP_CONTROL!$C$17+1,SUP_OPEX!$C$39,1)))</f>
        <v>1</v>
      </c>
      <c r="AR7" s="89">
        <f>IF(AR6=0,0,IF(AR4=SUP_CONTROL!$C$17,SUP_OPEX!$C$38,IF(AR4=SUP_CONTROL!$C$17+1,SUP_OPEX!$C$39,1)))</f>
        <v>1</v>
      </c>
      <c r="AS7" s="89">
        <f>IF(AS6=0,0,IF(AS4=SUP_CONTROL!$C$17,SUP_OPEX!$C$38,IF(AS4=SUP_CONTROL!$C$17+1,SUP_OPEX!$C$39,1)))</f>
        <v>1</v>
      </c>
      <c r="AT7" s="89">
        <f>IF(AT6=0,0,IF(AT4=SUP_CONTROL!$C$17,SUP_OPEX!$C$38,IF(AT4=SUP_CONTROL!$C$17+1,SUP_OPEX!$C$39,1)))</f>
        <v>1</v>
      </c>
      <c r="AU7" s="89">
        <f>IF(AU6=0,0,IF(AU4=SUP_CONTROL!$C$17,SUP_OPEX!$C$38,IF(AU4=SUP_CONTROL!$C$17+1,SUP_OPEX!$C$39,1)))</f>
        <v>1</v>
      </c>
      <c r="AV7" s="89">
        <f>IF(AV6=0,0,IF(AV4=SUP_CONTROL!$C$17,SUP_OPEX!$C$38,IF(AV4=SUP_CONTROL!$C$17+1,SUP_OPEX!$C$39,1)))</f>
        <v>1</v>
      </c>
      <c r="AW7" s="89">
        <f>IF(AW6=0,0,IF(AW4=SUP_CONTROL!$C$17,SUP_OPEX!$C$38,IF(AW4=SUP_CONTROL!$C$17+1,SUP_OPEX!$C$39,1)))</f>
        <v>1</v>
      </c>
      <c r="AX7" s="89">
        <f>IF(AX6=0,0,IF(AX4=SUP_CONTROL!$C$17,SUP_OPEX!$C$38,IF(AX4=SUP_CONTROL!$C$17+1,SUP_OPEX!$C$39,1)))</f>
        <v>1</v>
      </c>
      <c r="AY7" s="89">
        <f>IF(AY6=0,0,IF(AY4=SUP_CONTROL!$C$17,SUP_OPEX!$C$38,IF(AY4=SUP_CONTROL!$C$17+1,SUP_OPEX!$C$39,1)))</f>
        <v>1</v>
      </c>
      <c r="AZ7" s="89">
        <f>IF(AZ6=0,0,IF(AZ4=SUP_CONTROL!$C$17,SUP_OPEX!$C$38,IF(AZ4=SUP_CONTROL!$C$17+1,SUP_OPEX!$C$39,1)))</f>
        <v>1</v>
      </c>
      <c r="BA7" s="89">
        <f>IF(BA6=0,0,IF(BA4=SUP_CONTROL!$C$17,SUP_OPEX!$C$38,IF(BA4=SUP_CONTROL!$C$17+1,SUP_OPEX!$C$39,1)))</f>
        <v>1</v>
      </c>
      <c r="BB7" s="89">
        <f>IF(BB6=0,0,IF(BB4=SUP_CONTROL!$C$17,SUP_OPEX!$C$38,IF(BB4=SUP_CONTROL!$C$17+1,SUP_OPEX!$C$39,1)))</f>
        <v>1</v>
      </c>
      <c r="BC7" s="89">
        <f>IF(BC6=0,0,IF(BC4=SUP_CONTROL!$C$17,SUP_OPEX!$C$38,IF(BC4=SUP_CONTROL!$C$17+1,SUP_OPEX!$C$39,1)))</f>
        <v>1</v>
      </c>
      <c r="BD7" s="89">
        <f>IF(BD6=0,0,IF(BD4=SUP_CONTROL!$C$17,SUP_OPEX!$C$38,IF(BD4=SUP_CONTROL!$C$17+1,SUP_OPEX!$C$39,1)))</f>
        <v>1</v>
      </c>
      <c r="BE7" s="89">
        <f>IF(BE6=0,0,IF(BE4=SUP_CONTROL!$C$17,SUP_OPEX!$C$38,IF(BE4=SUP_CONTROL!$C$17+1,SUP_OPEX!$C$39,1)))</f>
        <v>1</v>
      </c>
      <c r="BF7" s="89">
        <f>IF(BF6=0,0,IF(BF4=SUP_CONTROL!$C$17,SUP_OPEX!$C$38,IF(BF4=SUP_CONTROL!$C$17+1,SUP_OPEX!$C$39,1)))</f>
        <v>1</v>
      </c>
      <c r="BG7" s="89">
        <f>IF(BG6=0,0,IF(BG4=SUP_CONTROL!$C$17,SUP_OPEX!$C$38,IF(BG4=SUP_CONTROL!$C$17+1,SUP_OPEX!$C$39,1)))</f>
        <v>1</v>
      </c>
      <c r="BH7" s="89">
        <f>IF(BH6=0,0,IF(BH4=SUP_CONTROL!$C$17,SUP_OPEX!$C$38,IF(BH4=SUP_CONTROL!$C$17+1,SUP_OPEX!$C$39,1)))</f>
        <v>1</v>
      </c>
      <c r="BI7" s="89">
        <f>IF(BI6=0,0,IF(BI4=SUP_CONTROL!$C$17,SUP_OPEX!$C$38,IF(BI4=SUP_CONTROL!$C$17+1,SUP_OPEX!$C$39,1)))</f>
        <v>1</v>
      </c>
      <c r="BJ7" s="89">
        <f>IF(BJ6=0,0,IF(BJ4=SUP_CONTROL!$C$17,SUP_OPEX!$C$38,IF(BJ4=SUP_CONTROL!$C$17+1,SUP_OPEX!$C$39,1)))</f>
        <v>1</v>
      </c>
      <c r="BK7" s="89">
        <f>IF(BK6=0,0,IF(BK4=SUP_CONTROL!$C$17,SUP_OPEX!$C$38,IF(BK4=SUP_CONTROL!$C$17+1,SUP_OPEX!$C$39,1)))</f>
        <v>1</v>
      </c>
      <c r="BL7" s="89">
        <f>IF(BL6=0,0,IF(BL4=SUP_CONTROL!$C$17,SUP_OPEX!$C$38,IF(BL4=SUP_CONTROL!$C$17+1,SUP_OPEX!$C$39,1)))</f>
        <v>1</v>
      </c>
      <c r="BM7" s="89">
        <f>IF(BM6=0,0,IF(BM4=SUP_CONTROL!$C$17,SUP_OPEX!$C$38,IF(BM4=SUP_CONTROL!$C$17+1,SUP_OPEX!$C$39,1)))</f>
        <v>1</v>
      </c>
      <c r="BN7" s="89">
        <f>IF(BN6=0,0,IF(BN4=SUP_CONTROL!$C$17,SUP_OPEX!$C$38,IF(BN4=SUP_CONTROL!$C$17+1,SUP_OPEX!$C$39,1)))</f>
        <v>1</v>
      </c>
      <c r="BO7" s="89">
        <f>IF(BO6=0,0,IF(BO4=SUP_CONTROL!$C$17,SUP_OPEX!$C$38,IF(BO4=SUP_CONTROL!$C$17+1,SUP_OPEX!$C$39,1)))</f>
        <v>1</v>
      </c>
      <c r="BP7" s="89">
        <f>IF(BP6=0,0,IF(BP4=SUP_CONTROL!$C$17,SUP_OPEX!$C$38,IF(BP4=SUP_CONTROL!$C$17+1,SUP_OPEX!$C$39,1)))</f>
        <v>1</v>
      </c>
      <c r="BQ7" s="89">
        <f>IF(BQ6=0,0,IF(BQ4=SUP_CONTROL!$C$17,SUP_OPEX!$C$38,IF(BQ4=SUP_CONTROL!$C$17+1,SUP_OPEX!$C$39,1)))</f>
        <v>1</v>
      </c>
      <c r="BR7" s="89">
        <f>IF(BR6=0,0,IF(BR4=SUP_CONTROL!$C$17,SUP_OPEX!$C$38,IF(BR4=SUP_CONTROL!$C$17+1,SUP_OPEX!$C$39,1)))</f>
        <v>1</v>
      </c>
      <c r="BS7" s="89">
        <f>IF(BS6=0,0,IF(BS4=SUP_CONTROL!$C$17,SUP_OPEX!$C$38,IF(BS4=SUP_CONTROL!$C$17+1,SUP_OPEX!$C$39,1)))</f>
        <v>1</v>
      </c>
      <c r="BT7" s="89">
        <f>IF(BT6=0,0,IF(BT4=SUP_CONTROL!$C$17,SUP_OPEX!$C$38,IF(BT4=SUP_CONTROL!$C$17+1,SUP_OPEX!$C$39,1)))</f>
        <v>1</v>
      </c>
      <c r="BU7" s="89">
        <f>IF(BU6=0,0,IF(BU4=SUP_CONTROL!$C$17,SUP_OPEX!$C$38,IF(BU4=SUP_CONTROL!$C$17+1,SUP_OPEX!$C$39,1)))</f>
        <v>1</v>
      </c>
      <c r="BV7" s="89">
        <f>IF(BV6=0,0,IF(BV4=SUP_CONTROL!$C$17,SUP_OPEX!$C$38,IF(BV4=SUP_CONTROL!$C$17+1,SUP_OPEX!$C$39,1)))</f>
        <v>1</v>
      </c>
      <c r="BW7" s="89">
        <f>IF(BW6=0,0,IF(BW4=SUP_CONTROL!$C$17,SUP_OPEX!$C$38,IF(BW4=SUP_CONTROL!$C$17+1,SUP_OPEX!$C$39,1)))</f>
        <v>1</v>
      </c>
      <c r="BX7" s="89">
        <f>IF(BX6=0,0,IF(BX4=SUP_CONTROL!$C$17,SUP_OPEX!$C$38,IF(BX4=SUP_CONTROL!$C$17+1,SUP_OPEX!$C$39,1)))</f>
        <v>1</v>
      </c>
      <c r="BY7" s="89">
        <f>IF(BY6=0,0,IF(BY4=SUP_CONTROL!$C$17,SUP_OPEX!$C$38,IF(BY4=SUP_CONTROL!$C$17+1,SUP_OPEX!$C$39,1)))</f>
        <v>1</v>
      </c>
      <c r="BZ7" s="89">
        <f>IF(BZ6=0,0,IF(BZ4=SUP_CONTROL!$C$17,SUP_OPEX!$C$38,IF(BZ4=SUP_CONTROL!$C$17+1,SUP_OPEX!$C$39,1)))</f>
        <v>1</v>
      </c>
      <c r="CA7" s="89">
        <f>IF(CA6=0,0,IF(CA4=SUP_CONTROL!$C$17,SUP_OPEX!$C$38,IF(CA4=SUP_CONTROL!$C$17+1,SUP_OPEX!$C$39,1)))</f>
        <v>1</v>
      </c>
      <c r="CB7" s="89">
        <f>IF(CB6=0,0,IF(CB4=SUP_CONTROL!$C$17,SUP_OPEX!$C$38,IF(CB4=SUP_CONTROL!$C$17+1,SUP_OPEX!$C$39,1)))</f>
        <v>1</v>
      </c>
      <c r="CC7" s="89">
        <f>IF(CC6=0,0,IF(CC4=SUP_CONTROL!$C$17,SUP_OPEX!$C$38,IF(CC4=SUP_CONTROL!$C$17+1,SUP_OPEX!$C$39,1)))</f>
        <v>1</v>
      </c>
      <c r="CD7" s="89">
        <f>IF(CD6=0,0,IF(CD4=SUP_CONTROL!$C$17,SUP_OPEX!$C$38,IF(CD4=SUP_CONTROL!$C$17+1,SUP_OPEX!$C$39,1)))</f>
        <v>1</v>
      </c>
      <c r="CE7" s="89">
        <f>IF(CE6=0,0,IF(CE4=SUP_CONTROL!$C$17,SUP_OPEX!$C$38,IF(CE4=SUP_CONTROL!$C$17+1,SUP_OPEX!$C$39,1)))</f>
        <v>1</v>
      </c>
      <c r="CF7" s="89">
        <f>IF(CF6=0,0,IF(CF4=SUP_CONTROL!$C$17,SUP_OPEX!$C$38,IF(CF4=SUP_CONTROL!$C$17+1,SUP_OPEX!$C$39,1)))</f>
        <v>1</v>
      </c>
      <c r="CG7" s="89">
        <f>IF(CG6=0,0,IF(CG4=SUP_CONTROL!$C$17,SUP_OPEX!$C$38,IF(CG4=SUP_CONTROL!$C$17+1,SUP_OPEX!$C$39,1)))</f>
        <v>1</v>
      </c>
      <c r="CH7" s="89">
        <f>IF(CH6=0,0,IF(CH4=SUP_CONTROL!$C$17,SUP_OPEX!$C$38,IF(CH4=SUP_CONTROL!$C$17+1,SUP_OPEX!$C$39,1)))</f>
        <v>1</v>
      </c>
      <c r="CI7" s="89">
        <f>IF(CI6=0,0,IF(CI4=SUP_CONTROL!$C$17,SUP_OPEX!$C$38,IF(CI4=SUP_CONTROL!$C$17+1,SUP_OPEX!$C$39,1)))</f>
        <v>1</v>
      </c>
      <c r="CJ7" s="89">
        <f>IF(CJ6=0,0,IF(CJ4=SUP_CONTROL!$C$17,SUP_OPEX!$C$38,IF(CJ4=SUP_CONTROL!$C$17+1,SUP_OPEX!$C$39,1)))</f>
        <v>1</v>
      </c>
      <c r="CK7" s="89">
        <f>IF(CK6=0,0,IF(CK4=SUP_CONTROL!$C$17,SUP_OPEX!$C$38,IF(CK4=SUP_CONTROL!$C$17+1,SUP_OPEX!$C$39,1)))</f>
        <v>1</v>
      </c>
      <c r="CL7" s="89">
        <f>IF(CL6=0,0,IF(CL4=SUP_CONTROL!$C$17,SUP_OPEX!$C$38,IF(CL4=SUP_CONTROL!$C$17+1,SUP_OPEX!$C$39,1)))</f>
        <v>1</v>
      </c>
      <c r="CM7" s="89">
        <f>IF(CM6=0,0,IF(CM4=SUP_CONTROL!$C$17,SUP_OPEX!$C$38,IF(CM4=SUP_CONTROL!$C$17+1,SUP_OPEX!$C$39,1)))</f>
        <v>1</v>
      </c>
      <c r="CN7" s="89">
        <f>IF(CN6=0,0,IF(CN4=SUP_CONTROL!$C$17,SUP_OPEX!$C$38,IF(CN4=SUP_CONTROL!$C$17+1,SUP_OPEX!$C$39,1)))</f>
        <v>1</v>
      </c>
      <c r="CO7" s="89">
        <f>IF(CO6=0,0,IF(CO4=SUP_CONTROL!$C$17,SUP_OPEX!$C$38,IF(CO4=SUP_CONTROL!$C$17+1,SUP_OPEX!$C$39,1)))</f>
        <v>1</v>
      </c>
      <c r="CP7" s="89">
        <f>IF(CP6=0,0,IF(CP4=SUP_CONTROL!$C$17,SUP_OPEX!$C$38,IF(CP4=SUP_CONTROL!$C$17+1,SUP_OPEX!$C$39,1)))</f>
        <v>1</v>
      </c>
      <c r="CQ7" s="89">
        <f>IF(CQ6=0,0,IF(CQ4=SUP_CONTROL!$C$17,SUP_OPEX!$C$38,IF(CQ4=SUP_CONTROL!$C$17+1,SUP_OPEX!$C$39,1)))</f>
        <v>1</v>
      </c>
      <c r="CR7" s="89">
        <f>IF(CR6=0,0,IF(CR4=SUP_CONTROL!$C$17,SUP_OPEX!$C$38,IF(CR4=SUP_CONTROL!$C$17+1,SUP_OPEX!$C$39,1)))</f>
        <v>1</v>
      </c>
      <c r="CS7" s="89">
        <f>IF(CS6=0,0,IF(CS4=SUP_CONTROL!$C$17,SUP_OPEX!$C$38,IF(CS4=SUP_CONTROL!$C$17+1,SUP_OPEX!$C$39,1)))</f>
        <v>1</v>
      </c>
      <c r="CT7" s="89">
        <f>IF(CT6=0,0,IF(CT4=SUP_CONTROL!$C$17,SUP_OPEX!$C$38,IF(CT4=SUP_CONTROL!$C$17+1,SUP_OPEX!$C$39,1)))</f>
        <v>1</v>
      </c>
      <c r="CU7" s="89">
        <f>IF(CU6=0,0,IF(CU4=SUP_CONTROL!$C$17,SUP_OPEX!$C$38,IF(CU4=SUP_CONTROL!$C$17+1,SUP_OPEX!$C$39,1)))</f>
        <v>1</v>
      </c>
      <c r="CV7" s="89">
        <f>IF(CV6=0,0,IF(CV4=SUP_CONTROL!$C$17,SUP_OPEX!$C$38,IF(CV4=SUP_CONTROL!$C$17+1,SUP_OPEX!$C$39,1)))</f>
        <v>1</v>
      </c>
      <c r="CW7" s="89">
        <f>IF(CW6=0,0,IF(CW4=SUP_CONTROL!$C$17,SUP_OPEX!$C$38,IF(CW4=SUP_CONTROL!$C$17+1,SUP_OPEX!$C$39,1)))</f>
        <v>1</v>
      </c>
      <c r="CX7" s="89">
        <f>IF(CX6=0,0,IF(CX4=SUP_CONTROL!$C$17,SUP_OPEX!$C$38,IF(CX4=SUP_CONTROL!$C$17+1,SUP_OPEX!$C$39,1)))</f>
        <v>1</v>
      </c>
      <c r="CY7" s="89">
        <f>IF(CY6=0,0,IF(CY4=SUP_CONTROL!$C$17,SUP_OPEX!$C$38,IF(CY4=SUP_CONTROL!$C$17+1,SUP_OPEX!$C$39,1)))</f>
        <v>1</v>
      </c>
      <c r="CZ7" s="89">
        <f>IF(CZ6=0,0,IF(CZ4=SUP_CONTROL!$C$17,SUP_OPEX!$C$38,IF(CZ4=SUP_CONTROL!$C$17+1,SUP_OPEX!$C$39,1)))</f>
        <v>1</v>
      </c>
      <c r="DA7" s="89">
        <f>IF(DA6=0,0,IF(DA4=SUP_CONTROL!$C$17,SUP_OPEX!$C$38,IF(DA4=SUP_CONTROL!$C$17+1,SUP_OPEX!$C$39,1)))</f>
        <v>1</v>
      </c>
      <c r="DB7" s="89">
        <f>IF(DB6=0,0,IF(DB4=SUP_CONTROL!$C$17,SUP_OPEX!$C$38,IF(DB4=SUP_CONTROL!$C$17+1,SUP_OPEX!$C$39,1)))</f>
        <v>1</v>
      </c>
      <c r="DC7" s="89">
        <f>IF(DC6=0,0,IF(DC4=SUP_CONTROL!$C$17,SUP_OPEX!$C$38,IF(DC4=SUP_CONTROL!$C$17+1,SUP_OPEX!$C$39,1)))</f>
        <v>1</v>
      </c>
      <c r="DD7" s="89">
        <f>IF(DD6=0,0,IF(DD4=SUP_CONTROL!$C$17,SUP_OPEX!$C$38,IF(DD4=SUP_CONTROL!$C$17+1,SUP_OPEX!$C$39,1)))</f>
        <v>1</v>
      </c>
      <c r="DE7" s="89">
        <f>IF(DE6=0,0,IF(DE4=SUP_CONTROL!$C$17,SUP_OPEX!$C$38,IF(DE4=SUP_CONTROL!$C$17+1,SUP_OPEX!$C$39,1)))</f>
        <v>1</v>
      </c>
      <c r="DF7" s="89">
        <f>IF(DF6=0,0,IF(DF4=SUP_CONTROL!$C$17,SUP_OPEX!$C$38,IF(DF4=SUP_CONTROL!$C$17+1,SUP_OPEX!$C$39,1)))</f>
        <v>1</v>
      </c>
      <c r="DG7" s="89">
        <f>IF(DG6=0,0,IF(DG4=SUP_CONTROL!$C$17,SUP_OPEX!$C$38,IF(DG4=SUP_CONTROL!$C$17+1,SUP_OPEX!$C$39,1)))</f>
        <v>1</v>
      </c>
      <c r="DH7" s="89">
        <f>IF(DH6=0,0,IF(DH4=SUP_CONTROL!$C$17,SUP_OPEX!$C$38,IF(DH4=SUP_CONTROL!$C$17+1,SUP_OPEX!$C$39,1)))</f>
        <v>1</v>
      </c>
      <c r="DI7" s="89">
        <f>IF(DI6=0,0,IF(DI4=SUP_CONTROL!$C$17,SUP_OPEX!$C$38,IF(DI4=SUP_CONTROL!$C$17+1,SUP_OPEX!$C$39,1)))</f>
        <v>1</v>
      </c>
      <c r="DJ7" s="89">
        <f>IF(DJ6=0,0,IF(DJ4=SUP_CONTROL!$C$17,SUP_OPEX!$C$38,IF(DJ4=SUP_CONTROL!$C$17+1,SUP_OPEX!$C$39,1)))</f>
        <v>1</v>
      </c>
      <c r="DK7" s="89">
        <f>IF(DK6=0,0,IF(DK4=SUP_CONTROL!$C$17,SUP_OPEX!$C$38,IF(DK4=SUP_CONTROL!$C$17+1,SUP_OPEX!$C$39,1)))</f>
        <v>1</v>
      </c>
      <c r="DL7" s="89">
        <f>IF(DL6=0,0,IF(DL4=SUP_CONTROL!$C$17,SUP_OPEX!$C$38,IF(DL4=SUP_CONTROL!$C$17+1,SUP_OPEX!$C$39,1)))</f>
        <v>1</v>
      </c>
      <c r="DM7" s="89">
        <f>IF(DM6=0,0,IF(DM4=SUP_CONTROL!$C$17,SUP_OPEX!$C$38,IF(DM4=SUP_CONTROL!$C$17+1,SUP_OPEX!$C$39,1)))</f>
        <v>1</v>
      </c>
      <c r="DN7" s="89">
        <f>IF(DN6=0,0,IF(DN4=SUP_CONTROL!$C$17,SUP_OPEX!$C$38,IF(DN4=SUP_CONTROL!$C$17+1,SUP_OPEX!$C$39,1)))</f>
        <v>1</v>
      </c>
      <c r="DO7" s="89">
        <f>IF(DO6=0,0,IF(DO4=SUP_CONTROL!$C$17,SUP_OPEX!$C$38,IF(DO4=SUP_CONTROL!$C$17+1,SUP_OPEX!$C$39,1)))</f>
        <v>1</v>
      </c>
      <c r="DP7" s="89">
        <f>IF(DP6=0,0,IF(DP4=SUP_CONTROL!$C$17,SUP_OPEX!$C$38,IF(DP4=SUP_CONTROL!$C$17+1,SUP_OPEX!$C$39,1)))</f>
        <v>1</v>
      </c>
      <c r="DQ7" s="89">
        <f>IF(DQ6=0,0,IF(DQ4=SUP_CONTROL!$C$17,SUP_OPEX!$C$38,IF(DQ4=SUP_CONTROL!$C$17+1,SUP_OPEX!$C$39,1)))</f>
        <v>1</v>
      </c>
      <c r="DR7" s="89">
        <f>IF(DR6=0,0,IF(DR4=SUP_CONTROL!$C$17,SUP_OPEX!$C$38,IF(DR4=SUP_CONTROL!$C$17+1,SUP_OPEX!$C$39,1)))</f>
        <v>1</v>
      </c>
      <c r="DS7" s="89">
        <f>IF(DS6=0,0,IF(DS4=SUP_CONTROL!$C$17,SUP_OPEX!$C$38,IF(DS4=SUP_CONTROL!$C$17+1,SUP_OPEX!$C$39,1)))</f>
        <v>1</v>
      </c>
    </row>
    <row r="8" spans="1:123" ht="15" customHeight="1" x14ac:dyDescent="0.2">
      <c r="B8" s="37" t="s">
        <v>935</v>
      </c>
      <c r="D8" s="88">
        <f>SUP_CONTROL!$C$8*(1+SUP_VOLUMEN!$C$27)*D7</f>
        <v>0</v>
      </c>
      <c r="E8" s="88">
        <f>SUP_CONTROL!$C$8*(1+SUP_VOLUMEN!$C$27)*E7</f>
        <v>0</v>
      </c>
      <c r="F8" s="88">
        <f>SUP_CONTROL!$C$8*(1+SUP_VOLUMEN!$C$27)*F7</f>
        <v>0</v>
      </c>
      <c r="G8" s="88">
        <f>SUP_CONTROL!$C$8*(1+SUP_VOLUMEN!$C$27)*G7</f>
        <v>0</v>
      </c>
      <c r="H8" s="88">
        <f>SUP_CONTROL!$C$8*(1+SUP_VOLUMEN!$C$27)*H7</f>
        <v>0</v>
      </c>
      <c r="I8" s="88">
        <f>SUP_CONTROL!$C$8*(1+SUP_VOLUMEN!$C$27)*I7</f>
        <v>0</v>
      </c>
      <c r="J8" s="88">
        <f>SUP_CONTROL!$C$8*(1+SUP_VOLUMEN!$C$27)*J7</f>
        <v>4713.7999999999993</v>
      </c>
      <c r="K8" s="88">
        <f>SUP_CONTROL!$C$8*(1+SUP_VOLUMEN!$C$27)*K7</f>
        <v>5723.9</v>
      </c>
      <c r="L8" s="88">
        <f>SUP_CONTROL!$C$8*(1+SUP_VOLUMEN!$C$27)*L7</f>
        <v>6734</v>
      </c>
      <c r="M8" s="88">
        <f>SUP_CONTROL!$C$8*(1+SUP_VOLUMEN!$C$27)*M7</f>
        <v>6734</v>
      </c>
      <c r="N8" s="88">
        <f>SUP_CONTROL!$C$8*(1+SUP_VOLUMEN!$C$27)*N7</f>
        <v>6734</v>
      </c>
      <c r="O8" s="88">
        <f>SUP_CONTROL!$C$8*(1+SUP_VOLUMEN!$C$27)*O7</f>
        <v>6734</v>
      </c>
      <c r="P8" s="88">
        <f>SUP_CONTROL!$C$8*(1+SUP_VOLUMEN!$C$27)*P7</f>
        <v>6734</v>
      </c>
      <c r="Q8" s="88">
        <f>SUP_CONTROL!$C$8*(1+SUP_VOLUMEN!$C$27)*Q7</f>
        <v>6734</v>
      </c>
      <c r="R8" s="88">
        <f>SUP_CONTROL!$C$8*(1+SUP_VOLUMEN!$C$27)*R7</f>
        <v>6734</v>
      </c>
      <c r="S8" s="88">
        <f>SUP_CONTROL!$C$8*(1+SUP_VOLUMEN!$C$27)*S7</f>
        <v>6734</v>
      </c>
      <c r="T8" s="88">
        <f>SUP_CONTROL!$C$8*(1+SUP_VOLUMEN!$C$27)*T7</f>
        <v>6734</v>
      </c>
      <c r="U8" s="88">
        <f>SUP_CONTROL!$C$8*(1+SUP_VOLUMEN!$C$27)*U7</f>
        <v>6734</v>
      </c>
      <c r="V8" s="88">
        <f>SUP_CONTROL!$C$8*(1+SUP_VOLUMEN!$C$27)*V7</f>
        <v>6734</v>
      </c>
      <c r="W8" s="88">
        <f>SUP_CONTROL!$C$8*(1+SUP_VOLUMEN!$C$27)*W7</f>
        <v>6734</v>
      </c>
      <c r="X8" s="88">
        <f>SUP_CONTROL!$C$8*(1+SUP_VOLUMEN!$C$27)*X7</f>
        <v>6734</v>
      </c>
      <c r="Y8" s="88">
        <f>SUP_CONTROL!$C$8*(1+SUP_VOLUMEN!$C$27)*Y7</f>
        <v>6734</v>
      </c>
      <c r="Z8" s="88">
        <f>SUP_CONTROL!$C$8*(1+SUP_VOLUMEN!$C$27)*Z7</f>
        <v>6734</v>
      </c>
      <c r="AA8" s="88">
        <f>SUP_CONTROL!$C$8*(1+SUP_VOLUMEN!$C$27)*AA7</f>
        <v>6734</v>
      </c>
      <c r="AB8" s="88">
        <f>SUP_CONTROL!$C$8*(1+SUP_VOLUMEN!$C$27)*AB7</f>
        <v>6734</v>
      </c>
      <c r="AC8" s="88">
        <f>SUP_CONTROL!$C$8*(1+SUP_VOLUMEN!$C$27)*AC7</f>
        <v>6734</v>
      </c>
      <c r="AD8" s="88">
        <f>SUP_CONTROL!$C$8*(1+SUP_VOLUMEN!$C$27)*AD7</f>
        <v>6734</v>
      </c>
      <c r="AE8" s="88">
        <f>SUP_CONTROL!$C$8*(1+SUP_VOLUMEN!$C$27)*AE7</f>
        <v>6734</v>
      </c>
      <c r="AF8" s="88">
        <f>SUP_CONTROL!$C$8*(1+SUP_VOLUMEN!$C$27)*AF7</f>
        <v>6734</v>
      </c>
      <c r="AG8" s="88">
        <f>SUP_CONTROL!$C$8*(1+SUP_VOLUMEN!$C$27)*AG7</f>
        <v>6734</v>
      </c>
      <c r="AH8" s="88">
        <f>SUP_CONTROL!$C$8*(1+SUP_VOLUMEN!$C$27)*AH7</f>
        <v>6734</v>
      </c>
      <c r="AI8" s="88">
        <f>SUP_CONTROL!$C$8*(1+SUP_VOLUMEN!$C$27)*AI7</f>
        <v>6734</v>
      </c>
      <c r="AJ8" s="88">
        <f>SUP_CONTROL!$C$8*(1+SUP_VOLUMEN!$C$27)*AJ7</f>
        <v>6734</v>
      </c>
      <c r="AK8" s="88">
        <f>SUP_CONTROL!$C$8*(1+SUP_VOLUMEN!$C$27)*AK7</f>
        <v>6734</v>
      </c>
      <c r="AL8" s="88">
        <f>SUP_CONTROL!$C$8*(1+SUP_VOLUMEN!$C$27)*AL7</f>
        <v>6734</v>
      </c>
      <c r="AM8" s="88">
        <f>SUP_CONTROL!$C$8*(1+SUP_VOLUMEN!$C$27)*AM7</f>
        <v>6734</v>
      </c>
      <c r="AN8" s="88">
        <f>SUP_CONTROL!$C$8*(1+SUP_VOLUMEN!$C$27)*AN7</f>
        <v>6734</v>
      </c>
      <c r="AO8" s="88">
        <f>SUP_CONTROL!$C$8*(1+SUP_VOLUMEN!$C$27)*AO7</f>
        <v>6734</v>
      </c>
      <c r="AP8" s="88">
        <f>SUP_CONTROL!$C$8*(1+SUP_VOLUMEN!$C$27)*AP7</f>
        <v>6734</v>
      </c>
      <c r="AQ8" s="88">
        <f>SUP_CONTROL!$C$8*(1+SUP_VOLUMEN!$C$27)*AQ7</f>
        <v>6734</v>
      </c>
      <c r="AR8" s="88">
        <f>SUP_CONTROL!$C$8*(1+SUP_VOLUMEN!$C$27)*AR7</f>
        <v>6734</v>
      </c>
      <c r="AS8" s="88">
        <f>SUP_CONTROL!$C$8*(1+SUP_VOLUMEN!$C$27)*AS7</f>
        <v>6734</v>
      </c>
      <c r="AT8" s="88">
        <f>SUP_CONTROL!$C$8*(1+SUP_VOLUMEN!$C$27)*AT7</f>
        <v>6734</v>
      </c>
      <c r="AU8" s="88">
        <f>SUP_CONTROL!$C$8*(1+SUP_VOLUMEN!$C$27)*AU7</f>
        <v>6734</v>
      </c>
      <c r="AV8" s="88">
        <f>SUP_CONTROL!$C$8*(1+SUP_VOLUMEN!$C$27)*AV7</f>
        <v>6734</v>
      </c>
      <c r="AW8" s="88">
        <f>SUP_CONTROL!$C$8*(1+SUP_VOLUMEN!$C$27)*AW7</f>
        <v>6734</v>
      </c>
      <c r="AX8" s="88">
        <f>SUP_CONTROL!$C$8*(1+SUP_VOLUMEN!$C$27)*AX7</f>
        <v>6734</v>
      </c>
      <c r="AY8" s="88">
        <f>SUP_CONTROL!$C$8*(1+SUP_VOLUMEN!$C$27)*AY7</f>
        <v>6734</v>
      </c>
      <c r="AZ8" s="88">
        <f>SUP_CONTROL!$C$8*(1+SUP_VOLUMEN!$C$27)*AZ7</f>
        <v>6734</v>
      </c>
      <c r="BA8" s="88">
        <f>SUP_CONTROL!$C$8*(1+SUP_VOLUMEN!$C$27)*BA7</f>
        <v>6734</v>
      </c>
      <c r="BB8" s="88">
        <f>SUP_CONTROL!$C$8*(1+SUP_VOLUMEN!$C$27)*BB7</f>
        <v>6734</v>
      </c>
      <c r="BC8" s="88">
        <f>SUP_CONTROL!$C$8*(1+SUP_VOLUMEN!$C$27)*BC7</f>
        <v>6734</v>
      </c>
      <c r="BD8" s="88">
        <f>SUP_CONTROL!$C$8*(1+SUP_VOLUMEN!$C$27)*BD7</f>
        <v>6734</v>
      </c>
      <c r="BE8" s="88">
        <f>SUP_CONTROL!$C$8*(1+SUP_VOLUMEN!$C$27)*BE7</f>
        <v>6734</v>
      </c>
      <c r="BF8" s="88">
        <f>SUP_CONTROL!$C$8*(1+SUP_VOLUMEN!$C$27)*BF7</f>
        <v>6734</v>
      </c>
      <c r="BG8" s="88">
        <f>SUP_CONTROL!$C$8*(1+SUP_VOLUMEN!$C$27)*BG7</f>
        <v>6734</v>
      </c>
      <c r="BH8" s="88">
        <f>SUP_CONTROL!$C$8*(1+SUP_VOLUMEN!$C$27)*BH7</f>
        <v>6734</v>
      </c>
      <c r="BI8" s="88">
        <f>SUP_CONTROL!$C$8*(1+SUP_VOLUMEN!$C$27)*BI7</f>
        <v>6734</v>
      </c>
      <c r="BJ8" s="88">
        <f>SUP_CONTROL!$C$8*(1+SUP_VOLUMEN!$C$27)*BJ7</f>
        <v>6734</v>
      </c>
      <c r="BK8" s="88">
        <f>SUP_CONTROL!$C$8*(1+SUP_VOLUMEN!$C$27)*BK7</f>
        <v>6734</v>
      </c>
      <c r="BL8" s="88">
        <f>SUP_CONTROL!$C$8*(1+SUP_VOLUMEN!$C$27)*BL7</f>
        <v>6734</v>
      </c>
      <c r="BM8" s="88">
        <f>SUP_CONTROL!$C$8*(1+SUP_VOLUMEN!$C$27)*BM7</f>
        <v>6734</v>
      </c>
      <c r="BN8" s="88">
        <f>SUP_CONTROL!$C$8*(1+SUP_VOLUMEN!$C$27)*BN7</f>
        <v>6734</v>
      </c>
      <c r="BO8" s="88">
        <f>SUP_CONTROL!$C$8*(1+SUP_VOLUMEN!$C$27)*BO7</f>
        <v>6734</v>
      </c>
      <c r="BP8" s="88">
        <f>SUP_CONTROL!$C$8*(1+SUP_VOLUMEN!$C$27)*BP7</f>
        <v>6734</v>
      </c>
      <c r="BQ8" s="88">
        <f>SUP_CONTROL!$C$8*(1+SUP_VOLUMEN!$C$27)*BQ7</f>
        <v>6734</v>
      </c>
      <c r="BR8" s="88">
        <f>SUP_CONTROL!$C$8*(1+SUP_VOLUMEN!$C$27)*BR7</f>
        <v>6734</v>
      </c>
      <c r="BS8" s="88">
        <f>SUP_CONTROL!$C$8*(1+SUP_VOLUMEN!$C$27)*BS7</f>
        <v>6734</v>
      </c>
      <c r="BT8" s="88">
        <f>SUP_CONTROL!$C$8*(1+SUP_VOLUMEN!$C$27)*BT7</f>
        <v>6734</v>
      </c>
      <c r="BU8" s="88">
        <f>SUP_CONTROL!$C$8*(1+SUP_VOLUMEN!$C$27)*BU7</f>
        <v>6734</v>
      </c>
      <c r="BV8" s="88">
        <f>SUP_CONTROL!$C$8*(1+SUP_VOLUMEN!$C$27)*BV7</f>
        <v>6734</v>
      </c>
      <c r="BW8" s="88">
        <f>SUP_CONTROL!$C$8*(1+SUP_VOLUMEN!$C$27)*BW7</f>
        <v>6734</v>
      </c>
      <c r="BX8" s="88">
        <f>SUP_CONTROL!$C$8*(1+SUP_VOLUMEN!$C$27)*BX7</f>
        <v>6734</v>
      </c>
      <c r="BY8" s="88">
        <f>SUP_CONTROL!$C$8*(1+SUP_VOLUMEN!$C$27)*BY7</f>
        <v>6734</v>
      </c>
      <c r="BZ8" s="88">
        <f>SUP_CONTROL!$C$8*(1+SUP_VOLUMEN!$C$27)*BZ7</f>
        <v>6734</v>
      </c>
      <c r="CA8" s="88">
        <f>SUP_CONTROL!$C$8*(1+SUP_VOLUMEN!$C$27)*CA7</f>
        <v>6734</v>
      </c>
      <c r="CB8" s="88">
        <f>SUP_CONTROL!$C$8*(1+SUP_VOLUMEN!$C$27)*CB7</f>
        <v>6734</v>
      </c>
      <c r="CC8" s="88">
        <f>SUP_CONTROL!$C$8*(1+SUP_VOLUMEN!$C$27)*CC7</f>
        <v>6734</v>
      </c>
      <c r="CD8" s="88">
        <f>SUP_CONTROL!$C$8*(1+SUP_VOLUMEN!$C$27)*CD7</f>
        <v>6734</v>
      </c>
      <c r="CE8" s="88">
        <f>SUP_CONTROL!$C$8*(1+SUP_VOLUMEN!$C$27)*CE7</f>
        <v>6734</v>
      </c>
      <c r="CF8" s="88">
        <f>SUP_CONTROL!$C$8*(1+SUP_VOLUMEN!$C$27)*CF7</f>
        <v>6734</v>
      </c>
      <c r="CG8" s="88">
        <f>SUP_CONTROL!$C$8*(1+SUP_VOLUMEN!$C$27)*CG7</f>
        <v>6734</v>
      </c>
      <c r="CH8" s="88">
        <f>SUP_CONTROL!$C$8*(1+SUP_VOLUMEN!$C$27)*CH7</f>
        <v>6734</v>
      </c>
      <c r="CI8" s="88">
        <f>SUP_CONTROL!$C$8*(1+SUP_VOLUMEN!$C$27)*CI7</f>
        <v>6734</v>
      </c>
      <c r="CJ8" s="88">
        <f>SUP_CONTROL!$C$8*(1+SUP_VOLUMEN!$C$27)*CJ7</f>
        <v>6734</v>
      </c>
      <c r="CK8" s="88">
        <f>SUP_CONTROL!$C$8*(1+SUP_VOLUMEN!$C$27)*CK7</f>
        <v>6734</v>
      </c>
      <c r="CL8" s="88">
        <f>SUP_CONTROL!$C$8*(1+SUP_VOLUMEN!$C$27)*CL7</f>
        <v>6734</v>
      </c>
      <c r="CM8" s="88">
        <f>SUP_CONTROL!$C$8*(1+SUP_VOLUMEN!$C$27)*CM7</f>
        <v>6734</v>
      </c>
      <c r="CN8" s="88">
        <f>SUP_CONTROL!$C$8*(1+SUP_VOLUMEN!$C$27)*CN7</f>
        <v>6734</v>
      </c>
      <c r="CO8" s="88">
        <f>SUP_CONTROL!$C$8*(1+SUP_VOLUMEN!$C$27)*CO7</f>
        <v>6734</v>
      </c>
      <c r="CP8" s="88">
        <f>SUP_CONTROL!$C$8*(1+SUP_VOLUMEN!$C$27)*CP7</f>
        <v>6734</v>
      </c>
      <c r="CQ8" s="88">
        <f>SUP_CONTROL!$C$8*(1+SUP_VOLUMEN!$C$27)*CQ7</f>
        <v>6734</v>
      </c>
      <c r="CR8" s="88">
        <f>SUP_CONTROL!$C$8*(1+SUP_VOLUMEN!$C$27)*CR7</f>
        <v>6734</v>
      </c>
      <c r="CS8" s="88">
        <f>SUP_CONTROL!$C$8*(1+SUP_VOLUMEN!$C$27)*CS7</f>
        <v>6734</v>
      </c>
      <c r="CT8" s="88">
        <f>SUP_CONTROL!$C$8*(1+SUP_VOLUMEN!$C$27)*CT7</f>
        <v>6734</v>
      </c>
      <c r="CU8" s="88">
        <f>SUP_CONTROL!$C$8*(1+SUP_VOLUMEN!$C$27)*CU7</f>
        <v>6734</v>
      </c>
      <c r="CV8" s="88">
        <f>SUP_CONTROL!$C$8*(1+SUP_VOLUMEN!$C$27)*CV7</f>
        <v>6734</v>
      </c>
      <c r="CW8" s="88">
        <f>SUP_CONTROL!$C$8*(1+SUP_VOLUMEN!$C$27)*CW7</f>
        <v>6734</v>
      </c>
      <c r="CX8" s="88">
        <f>SUP_CONTROL!$C$8*(1+SUP_VOLUMEN!$C$27)*CX7</f>
        <v>6734</v>
      </c>
      <c r="CY8" s="88">
        <f>SUP_CONTROL!$C$8*(1+SUP_VOLUMEN!$C$27)*CY7</f>
        <v>6734</v>
      </c>
      <c r="CZ8" s="88">
        <f>SUP_CONTROL!$C$8*(1+SUP_VOLUMEN!$C$27)*CZ7</f>
        <v>6734</v>
      </c>
      <c r="DA8" s="88">
        <f>SUP_CONTROL!$C$8*(1+SUP_VOLUMEN!$C$27)*DA7</f>
        <v>6734</v>
      </c>
      <c r="DB8" s="88">
        <f>SUP_CONTROL!$C$8*(1+SUP_VOLUMEN!$C$27)*DB7</f>
        <v>6734</v>
      </c>
      <c r="DC8" s="88">
        <f>SUP_CONTROL!$C$8*(1+SUP_VOLUMEN!$C$27)*DC7</f>
        <v>6734</v>
      </c>
      <c r="DD8" s="88">
        <f>SUP_CONTROL!$C$8*(1+SUP_VOLUMEN!$C$27)*DD7</f>
        <v>6734</v>
      </c>
      <c r="DE8" s="88">
        <f>SUP_CONTROL!$C$8*(1+SUP_VOLUMEN!$C$27)*DE7</f>
        <v>6734</v>
      </c>
      <c r="DF8" s="88">
        <f>SUP_CONTROL!$C$8*(1+SUP_VOLUMEN!$C$27)*DF7</f>
        <v>6734</v>
      </c>
      <c r="DG8" s="88">
        <f>SUP_CONTROL!$C$8*(1+SUP_VOLUMEN!$C$27)*DG7</f>
        <v>6734</v>
      </c>
      <c r="DH8" s="88">
        <f>SUP_CONTROL!$C$8*(1+SUP_VOLUMEN!$C$27)*DH7</f>
        <v>6734</v>
      </c>
      <c r="DI8" s="88">
        <f>SUP_CONTROL!$C$8*(1+SUP_VOLUMEN!$C$27)*DI7</f>
        <v>6734</v>
      </c>
      <c r="DJ8" s="88">
        <f>SUP_CONTROL!$C$8*(1+SUP_VOLUMEN!$C$27)*DJ7</f>
        <v>6734</v>
      </c>
      <c r="DK8" s="88">
        <f>SUP_CONTROL!$C$8*(1+SUP_VOLUMEN!$C$27)*DK7</f>
        <v>6734</v>
      </c>
      <c r="DL8" s="88">
        <f>SUP_CONTROL!$C$8*(1+SUP_VOLUMEN!$C$27)*DL7</f>
        <v>6734</v>
      </c>
      <c r="DM8" s="88">
        <f>SUP_CONTROL!$C$8*(1+SUP_VOLUMEN!$C$27)*DM7</f>
        <v>6734</v>
      </c>
      <c r="DN8" s="88">
        <f>SUP_CONTROL!$C$8*(1+SUP_VOLUMEN!$C$27)*DN7</f>
        <v>6734</v>
      </c>
      <c r="DO8" s="88">
        <f>SUP_CONTROL!$C$8*(1+SUP_VOLUMEN!$C$27)*DO7</f>
        <v>6734</v>
      </c>
      <c r="DP8" s="88">
        <f>SUP_CONTROL!$C$8*(1+SUP_VOLUMEN!$C$27)*DP7</f>
        <v>6734</v>
      </c>
      <c r="DQ8" s="88">
        <f>SUP_CONTROL!$C$8*(1+SUP_VOLUMEN!$C$27)*DQ7</f>
        <v>6734</v>
      </c>
      <c r="DR8" s="88">
        <f>SUP_CONTROL!$C$8*(1+SUP_VOLUMEN!$C$27)*DR7</f>
        <v>6734</v>
      </c>
      <c r="DS8" s="88">
        <f>SUP_CONTROL!$C$8*(1+SUP_VOLUMEN!$C$27)*DS7</f>
        <v>6734</v>
      </c>
    </row>
    <row r="9" spans="1:123" ht="15" customHeight="1" x14ac:dyDescent="0.2">
      <c r="B9" s="37" t="s">
        <v>936</v>
      </c>
      <c r="D9" s="77">
        <f>D8*SUP_CONTROL!$C$26</f>
        <v>0</v>
      </c>
      <c r="E9" s="77">
        <f>E8*SUP_CONTROL!$C$26</f>
        <v>0</v>
      </c>
      <c r="F9" s="77">
        <f>F8*SUP_CONTROL!$C$26</f>
        <v>0</v>
      </c>
      <c r="G9" s="77">
        <f>G8*SUP_CONTROL!$C$26</f>
        <v>0</v>
      </c>
      <c r="H9" s="77">
        <f>H8*SUP_CONTROL!$C$26</f>
        <v>0</v>
      </c>
      <c r="I9" s="77">
        <f>I8*SUP_CONTROL!$C$26</f>
        <v>0</v>
      </c>
      <c r="J9" s="77">
        <f>J8*SUP_CONTROL!$C$26</f>
        <v>61175.13687757124</v>
      </c>
      <c r="K9" s="77">
        <f>K8*SUP_CONTROL!$C$26</f>
        <v>74284.094779907944</v>
      </c>
      <c r="L9" s="77">
        <f>L8*SUP_CONTROL!$C$26</f>
        <v>87393.052682244641</v>
      </c>
      <c r="M9" s="77">
        <f>M8*SUP_CONTROL!$C$26</f>
        <v>87393.052682244641</v>
      </c>
      <c r="N9" s="77">
        <f>N8*SUP_CONTROL!$C$26</f>
        <v>87393.052682244641</v>
      </c>
      <c r="O9" s="77">
        <f>O8*SUP_CONTROL!$C$26</f>
        <v>87393.052682244641</v>
      </c>
      <c r="P9" s="77">
        <f>P8*SUP_CONTROL!$C$26</f>
        <v>87393.052682244641</v>
      </c>
      <c r="Q9" s="77">
        <f>Q8*SUP_CONTROL!$C$26</f>
        <v>87393.052682244641</v>
      </c>
      <c r="R9" s="77">
        <f>R8*SUP_CONTROL!$C$26</f>
        <v>87393.052682244641</v>
      </c>
      <c r="S9" s="77">
        <f>S8*SUP_CONTROL!$C$26</f>
        <v>87393.052682244641</v>
      </c>
      <c r="T9" s="77">
        <f>T8*SUP_CONTROL!$C$26</f>
        <v>87393.052682244641</v>
      </c>
      <c r="U9" s="77">
        <f>U8*SUP_CONTROL!$C$26</f>
        <v>87393.052682244641</v>
      </c>
      <c r="V9" s="77">
        <f>V8*SUP_CONTROL!$C$26</f>
        <v>87393.052682244641</v>
      </c>
      <c r="W9" s="77">
        <f>W8*SUP_CONTROL!$C$26</f>
        <v>87393.052682244641</v>
      </c>
      <c r="X9" s="77">
        <f>X8*SUP_CONTROL!$C$26</f>
        <v>87393.052682244641</v>
      </c>
      <c r="Y9" s="77">
        <f>Y8*SUP_CONTROL!$C$26</f>
        <v>87393.052682244641</v>
      </c>
      <c r="Z9" s="77">
        <f>Z8*SUP_CONTROL!$C$26</f>
        <v>87393.052682244641</v>
      </c>
      <c r="AA9" s="77">
        <f>AA8*SUP_CONTROL!$C$26</f>
        <v>87393.052682244641</v>
      </c>
      <c r="AB9" s="77">
        <f>AB8*SUP_CONTROL!$C$26</f>
        <v>87393.052682244641</v>
      </c>
      <c r="AC9" s="77">
        <f>AC8*SUP_CONTROL!$C$26</f>
        <v>87393.052682244641</v>
      </c>
      <c r="AD9" s="77">
        <f>AD8*SUP_CONTROL!$C$26</f>
        <v>87393.052682244641</v>
      </c>
      <c r="AE9" s="77">
        <f>AE8*SUP_CONTROL!$C$26</f>
        <v>87393.052682244641</v>
      </c>
      <c r="AF9" s="77">
        <f>AF8*SUP_CONTROL!$C$26</f>
        <v>87393.052682244641</v>
      </c>
      <c r="AG9" s="77">
        <f>AG8*SUP_CONTROL!$C$26</f>
        <v>87393.052682244641</v>
      </c>
      <c r="AH9" s="77">
        <f>AH8*SUP_CONTROL!$C$26</f>
        <v>87393.052682244641</v>
      </c>
      <c r="AI9" s="77">
        <f>AI8*SUP_CONTROL!$C$26</f>
        <v>87393.052682244641</v>
      </c>
      <c r="AJ9" s="77">
        <f>AJ8*SUP_CONTROL!$C$26</f>
        <v>87393.052682244641</v>
      </c>
      <c r="AK9" s="77">
        <f>AK8*SUP_CONTROL!$C$26</f>
        <v>87393.052682244641</v>
      </c>
      <c r="AL9" s="77">
        <f>AL8*SUP_CONTROL!$C$26</f>
        <v>87393.052682244641</v>
      </c>
      <c r="AM9" s="77">
        <f>AM8*SUP_CONTROL!$C$26</f>
        <v>87393.052682244641</v>
      </c>
      <c r="AN9" s="77">
        <f>AN8*SUP_CONTROL!$C$26</f>
        <v>87393.052682244641</v>
      </c>
      <c r="AO9" s="77">
        <f>AO8*SUP_CONTROL!$C$26</f>
        <v>87393.052682244641</v>
      </c>
      <c r="AP9" s="77">
        <f>AP8*SUP_CONTROL!$C$26</f>
        <v>87393.052682244641</v>
      </c>
      <c r="AQ9" s="77">
        <f>AQ8*SUP_CONTROL!$C$26</f>
        <v>87393.052682244641</v>
      </c>
      <c r="AR9" s="77">
        <f>AR8*SUP_CONTROL!$C$26</f>
        <v>87393.052682244641</v>
      </c>
      <c r="AS9" s="77">
        <f>AS8*SUP_CONTROL!$C$26</f>
        <v>87393.052682244641</v>
      </c>
      <c r="AT9" s="77">
        <f>AT8*SUP_CONTROL!$C$26</f>
        <v>87393.052682244641</v>
      </c>
      <c r="AU9" s="77">
        <f>AU8*SUP_CONTROL!$C$26</f>
        <v>87393.052682244641</v>
      </c>
      <c r="AV9" s="77">
        <f>AV8*SUP_CONTROL!$C$26</f>
        <v>87393.052682244641</v>
      </c>
      <c r="AW9" s="77">
        <f>AW8*SUP_CONTROL!$C$26</f>
        <v>87393.052682244641</v>
      </c>
      <c r="AX9" s="77">
        <f>AX8*SUP_CONTROL!$C$26</f>
        <v>87393.052682244641</v>
      </c>
      <c r="AY9" s="77">
        <f>AY8*SUP_CONTROL!$C$26</f>
        <v>87393.052682244641</v>
      </c>
      <c r="AZ9" s="77">
        <f>AZ8*SUP_CONTROL!$C$26</f>
        <v>87393.052682244641</v>
      </c>
      <c r="BA9" s="77">
        <f>BA8*SUP_CONTROL!$C$26</f>
        <v>87393.052682244641</v>
      </c>
      <c r="BB9" s="77">
        <f>BB8*SUP_CONTROL!$C$26</f>
        <v>87393.052682244641</v>
      </c>
      <c r="BC9" s="77">
        <f>BC8*SUP_CONTROL!$C$26</f>
        <v>87393.052682244641</v>
      </c>
      <c r="BD9" s="77">
        <f>BD8*SUP_CONTROL!$C$26</f>
        <v>87393.052682244641</v>
      </c>
      <c r="BE9" s="77">
        <f>BE8*SUP_CONTROL!$C$26</f>
        <v>87393.052682244641</v>
      </c>
      <c r="BF9" s="77">
        <f>BF8*SUP_CONTROL!$C$26</f>
        <v>87393.052682244641</v>
      </c>
      <c r="BG9" s="77">
        <f>BG8*SUP_CONTROL!$C$26</f>
        <v>87393.052682244641</v>
      </c>
      <c r="BH9" s="77">
        <f>BH8*SUP_CONTROL!$C$26</f>
        <v>87393.052682244641</v>
      </c>
      <c r="BI9" s="77">
        <f>BI8*SUP_CONTROL!$C$26</f>
        <v>87393.052682244641</v>
      </c>
      <c r="BJ9" s="77">
        <f>BJ8*SUP_CONTROL!$C$26</f>
        <v>87393.052682244641</v>
      </c>
      <c r="BK9" s="77">
        <f>BK8*SUP_CONTROL!$C$26</f>
        <v>87393.052682244641</v>
      </c>
      <c r="BL9" s="77">
        <f>BL8*SUP_CONTROL!$C$26</f>
        <v>87393.052682244641</v>
      </c>
      <c r="BM9" s="77">
        <f>BM8*SUP_CONTROL!$C$26</f>
        <v>87393.052682244641</v>
      </c>
      <c r="BN9" s="77">
        <f>BN8*SUP_CONTROL!$C$26</f>
        <v>87393.052682244641</v>
      </c>
      <c r="BO9" s="77">
        <f>BO8*SUP_CONTROL!$C$26</f>
        <v>87393.052682244641</v>
      </c>
      <c r="BP9" s="77">
        <f>BP8*SUP_CONTROL!$C$26</f>
        <v>87393.052682244641</v>
      </c>
      <c r="BQ9" s="77">
        <f>BQ8*SUP_CONTROL!$C$26</f>
        <v>87393.052682244641</v>
      </c>
      <c r="BR9" s="77">
        <f>BR8*SUP_CONTROL!$C$26</f>
        <v>87393.052682244641</v>
      </c>
      <c r="BS9" s="77">
        <f>BS8*SUP_CONTROL!$C$26</f>
        <v>87393.052682244641</v>
      </c>
      <c r="BT9" s="77">
        <f>BT8*SUP_CONTROL!$C$26</f>
        <v>87393.052682244641</v>
      </c>
      <c r="BU9" s="77">
        <f>BU8*SUP_CONTROL!$C$26</f>
        <v>87393.052682244641</v>
      </c>
      <c r="BV9" s="77">
        <f>BV8*SUP_CONTROL!$C$26</f>
        <v>87393.052682244641</v>
      </c>
      <c r="BW9" s="77">
        <f>BW8*SUP_CONTROL!$C$26</f>
        <v>87393.052682244641</v>
      </c>
      <c r="BX9" s="77">
        <f>BX8*SUP_CONTROL!$C$26</f>
        <v>87393.052682244641</v>
      </c>
      <c r="BY9" s="77">
        <f>BY8*SUP_CONTROL!$C$26</f>
        <v>87393.052682244641</v>
      </c>
      <c r="BZ9" s="77">
        <f>BZ8*SUP_CONTROL!$C$26</f>
        <v>87393.052682244641</v>
      </c>
      <c r="CA9" s="77">
        <f>CA8*SUP_CONTROL!$C$26</f>
        <v>87393.052682244641</v>
      </c>
      <c r="CB9" s="77">
        <f>CB8*SUP_CONTROL!$C$26</f>
        <v>87393.052682244641</v>
      </c>
      <c r="CC9" s="77">
        <f>CC8*SUP_CONTROL!$C$26</f>
        <v>87393.052682244641</v>
      </c>
      <c r="CD9" s="77">
        <f>CD8*SUP_CONTROL!$C$26</f>
        <v>87393.052682244641</v>
      </c>
      <c r="CE9" s="77">
        <f>CE8*SUP_CONTROL!$C$26</f>
        <v>87393.052682244641</v>
      </c>
      <c r="CF9" s="77">
        <f>CF8*SUP_CONTROL!$C$26</f>
        <v>87393.052682244641</v>
      </c>
      <c r="CG9" s="77">
        <f>CG8*SUP_CONTROL!$C$26</f>
        <v>87393.052682244641</v>
      </c>
      <c r="CH9" s="77">
        <f>CH8*SUP_CONTROL!$C$26</f>
        <v>87393.052682244641</v>
      </c>
      <c r="CI9" s="77">
        <f>CI8*SUP_CONTROL!$C$26</f>
        <v>87393.052682244641</v>
      </c>
      <c r="CJ9" s="77">
        <f>CJ8*SUP_CONTROL!$C$26</f>
        <v>87393.052682244641</v>
      </c>
      <c r="CK9" s="77">
        <f>CK8*SUP_CONTROL!$C$26</f>
        <v>87393.052682244641</v>
      </c>
      <c r="CL9" s="77">
        <f>CL8*SUP_CONTROL!$C$26</f>
        <v>87393.052682244641</v>
      </c>
      <c r="CM9" s="77">
        <f>CM8*SUP_CONTROL!$C$26</f>
        <v>87393.052682244641</v>
      </c>
      <c r="CN9" s="77">
        <f>CN8*SUP_CONTROL!$C$26</f>
        <v>87393.052682244641</v>
      </c>
      <c r="CO9" s="77">
        <f>CO8*SUP_CONTROL!$C$26</f>
        <v>87393.052682244641</v>
      </c>
      <c r="CP9" s="77">
        <f>CP8*SUP_CONTROL!$C$26</f>
        <v>87393.052682244641</v>
      </c>
      <c r="CQ9" s="77">
        <f>CQ8*SUP_CONTROL!$C$26</f>
        <v>87393.052682244641</v>
      </c>
      <c r="CR9" s="77">
        <f>CR8*SUP_CONTROL!$C$26</f>
        <v>87393.052682244641</v>
      </c>
      <c r="CS9" s="77">
        <f>CS8*SUP_CONTROL!$C$26</f>
        <v>87393.052682244641</v>
      </c>
      <c r="CT9" s="77">
        <f>CT8*SUP_CONTROL!$C$26</f>
        <v>87393.052682244641</v>
      </c>
      <c r="CU9" s="77">
        <f>CU8*SUP_CONTROL!$C$26</f>
        <v>87393.052682244641</v>
      </c>
      <c r="CV9" s="77">
        <f>CV8*SUP_CONTROL!$C$26</f>
        <v>87393.052682244641</v>
      </c>
      <c r="CW9" s="77">
        <f>CW8*SUP_CONTROL!$C$26</f>
        <v>87393.052682244641</v>
      </c>
      <c r="CX9" s="77">
        <f>CX8*SUP_CONTROL!$C$26</f>
        <v>87393.052682244641</v>
      </c>
      <c r="CY9" s="77">
        <f>CY8*SUP_CONTROL!$C$26</f>
        <v>87393.052682244641</v>
      </c>
      <c r="CZ9" s="77">
        <f>CZ8*SUP_CONTROL!$C$26</f>
        <v>87393.052682244641</v>
      </c>
      <c r="DA9" s="77">
        <f>DA8*SUP_CONTROL!$C$26</f>
        <v>87393.052682244641</v>
      </c>
      <c r="DB9" s="77">
        <f>DB8*SUP_CONTROL!$C$26</f>
        <v>87393.052682244641</v>
      </c>
      <c r="DC9" s="77">
        <f>DC8*SUP_CONTROL!$C$26</f>
        <v>87393.052682244641</v>
      </c>
      <c r="DD9" s="77">
        <f>DD8*SUP_CONTROL!$C$26</f>
        <v>87393.052682244641</v>
      </c>
      <c r="DE9" s="77">
        <f>DE8*SUP_CONTROL!$C$26</f>
        <v>87393.052682244641</v>
      </c>
      <c r="DF9" s="77">
        <f>DF8*SUP_CONTROL!$C$26</f>
        <v>87393.052682244641</v>
      </c>
      <c r="DG9" s="77">
        <f>DG8*SUP_CONTROL!$C$26</f>
        <v>87393.052682244641</v>
      </c>
      <c r="DH9" s="77">
        <f>DH8*SUP_CONTROL!$C$26</f>
        <v>87393.052682244641</v>
      </c>
      <c r="DI9" s="77">
        <f>DI8*SUP_CONTROL!$C$26</f>
        <v>87393.052682244641</v>
      </c>
      <c r="DJ9" s="77">
        <f>DJ8*SUP_CONTROL!$C$26</f>
        <v>87393.052682244641</v>
      </c>
      <c r="DK9" s="77">
        <f>DK8*SUP_CONTROL!$C$26</f>
        <v>87393.052682244641</v>
      </c>
      <c r="DL9" s="77">
        <f>DL8*SUP_CONTROL!$C$26</f>
        <v>87393.052682244641</v>
      </c>
      <c r="DM9" s="77">
        <f>DM8*SUP_CONTROL!$C$26</f>
        <v>87393.052682244641</v>
      </c>
      <c r="DN9" s="77">
        <f>DN8*SUP_CONTROL!$C$26</f>
        <v>87393.052682244641</v>
      </c>
      <c r="DO9" s="77">
        <f>DO8*SUP_CONTROL!$C$26</f>
        <v>87393.052682244641</v>
      </c>
      <c r="DP9" s="77">
        <f>DP8*SUP_CONTROL!$C$26</f>
        <v>87393.052682244641</v>
      </c>
      <c r="DQ9" s="77">
        <f>DQ8*SUP_CONTROL!$C$26</f>
        <v>87393.052682244641</v>
      </c>
      <c r="DR9" s="77">
        <f>DR8*SUP_CONTROL!$C$26</f>
        <v>87393.052682244641</v>
      </c>
      <c r="DS9" s="77">
        <f>DS8*SUP_CONTROL!$C$26</f>
        <v>87393.052682244641</v>
      </c>
    </row>
    <row r="10" spans="1:123" ht="15" customHeight="1" x14ac:dyDescent="0.2">
      <c r="B10" s="37" t="s">
        <v>937</v>
      </c>
      <c r="D10" s="77">
        <f>D9*SUP_CONTROL!$C$37</f>
        <v>0</v>
      </c>
      <c r="E10" s="77">
        <f>E9*SUP_CONTROL!$C$37</f>
        <v>0</v>
      </c>
      <c r="F10" s="77">
        <f>F9*SUP_CONTROL!$C$37</f>
        <v>0</v>
      </c>
      <c r="G10" s="77">
        <f>G9*SUP_CONTROL!$C$37</f>
        <v>0</v>
      </c>
      <c r="H10" s="77">
        <f>H9*SUP_CONTROL!$C$37</f>
        <v>0</v>
      </c>
      <c r="I10" s="77">
        <f>I9*SUP_CONTROL!$C$37</f>
        <v>0</v>
      </c>
      <c r="J10" s="77">
        <f>J9*SUP_CONTROL!$C$37</f>
        <v>3058.756843878562</v>
      </c>
      <c r="K10" s="77">
        <f>K9*SUP_CONTROL!$C$37</f>
        <v>3714.2047389953973</v>
      </c>
      <c r="L10" s="77">
        <f>L9*SUP_CONTROL!$C$37</f>
        <v>4369.6526341122326</v>
      </c>
      <c r="M10" s="77">
        <f>M9*SUP_CONTROL!$C$37</f>
        <v>4369.6526341122326</v>
      </c>
      <c r="N10" s="77">
        <f>N9*SUP_CONTROL!$C$37</f>
        <v>4369.6526341122326</v>
      </c>
      <c r="O10" s="77">
        <f>O9*SUP_CONTROL!$C$37</f>
        <v>4369.6526341122326</v>
      </c>
      <c r="P10" s="77">
        <f>P9*SUP_CONTROL!$C$37</f>
        <v>4369.6526341122326</v>
      </c>
      <c r="Q10" s="77">
        <f>Q9*SUP_CONTROL!$C$37</f>
        <v>4369.6526341122326</v>
      </c>
      <c r="R10" s="77">
        <f>R9*SUP_CONTROL!$C$37</f>
        <v>4369.6526341122326</v>
      </c>
      <c r="S10" s="77">
        <f>S9*SUP_CONTROL!$C$37</f>
        <v>4369.6526341122326</v>
      </c>
      <c r="T10" s="77">
        <f>T9*SUP_CONTROL!$C$37</f>
        <v>4369.6526341122326</v>
      </c>
      <c r="U10" s="77">
        <f>U9*SUP_CONTROL!$C$37</f>
        <v>4369.6526341122326</v>
      </c>
      <c r="V10" s="77">
        <f>V9*SUP_CONTROL!$C$37</f>
        <v>4369.6526341122326</v>
      </c>
      <c r="W10" s="77">
        <f>W9*SUP_CONTROL!$C$37</f>
        <v>4369.6526341122326</v>
      </c>
      <c r="X10" s="77">
        <f>X9*SUP_CONTROL!$C$37</f>
        <v>4369.6526341122326</v>
      </c>
      <c r="Y10" s="77">
        <f>Y9*SUP_CONTROL!$C$37</f>
        <v>4369.6526341122326</v>
      </c>
      <c r="Z10" s="77">
        <f>Z9*SUP_CONTROL!$C$37</f>
        <v>4369.6526341122326</v>
      </c>
      <c r="AA10" s="77">
        <f>AA9*SUP_CONTROL!$C$37</f>
        <v>4369.6526341122326</v>
      </c>
      <c r="AB10" s="77">
        <f>AB9*SUP_CONTROL!$C$37</f>
        <v>4369.6526341122326</v>
      </c>
      <c r="AC10" s="77">
        <f>AC9*SUP_CONTROL!$C$37</f>
        <v>4369.6526341122326</v>
      </c>
      <c r="AD10" s="77">
        <f>AD9*SUP_CONTROL!$C$37</f>
        <v>4369.6526341122326</v>
      </c>
      <c r="AE10" s="77">
        <f>AE9*SUP_CONTROL!$C$37</f>
        <v>4369.6526341122326</v>
      </c>
      <c r="AF10" s="77">
        <f>AF9*SUP_CONTROL!$C$37</f>
        <v>4369.6526341122326</v>
      </c>
      <c r="AG10" s="77">
        <f>AG9*SUP_CONTROL!$C$37</f>
        <v>4369.6526341122326</v>
      </c>
      <c r="AH10" s="77">
        <f>AH9*SUP_CONTROL!$C$37</f>
        <v>4369.6526341122326</v>
      </c>
      <c r="AI10" s="77">
        <f>AI9*SUP_CONTROL!$C$37</f>
        <v>4369.6526341122326</v>
      </c>
      <c r="AJ10" s="77">
        <f>AJ9*SUP_CONTROL!$C$37</f>
        <v>4369.6526341122326</v>
      </c>
      <c r="AK10" s="77">
        <f>AK9*SUP_CONTROL!$C$37</f>
        <v>4369.6526341122326</v>
      </c>
      <c r="AL10" s="77">
        <f>AL9*SUP_CONTROL!$C$37</f>
        <v>4369.6526341122326</v>
      </c>
      <c r="AM10" s="77">
        <f>AM9*SUP_CONTROL!$C$37</f>
        <v>4369.6526341122326</v>
      </c>
      <c r="AN10" s="77">
        <f>AN9*SUP_CONTROL!$C$37</f>
        <v>4369.6526341122326</v>
      </c>
      <c r="AO10" s="77">
        <f>AO9*SUP_CONTROL!$C$37</f>
        <v>4369.6526341122326</v>
      </c>
      <c r="AP10" s="77">
        <f>AP9*SUP_CONTROL!$C$37</f>
        <v>4369.6526341122326</v>
      </c>
      <c r="AQ10" s="77">
        <f>AQ9*SUP_CONTROL!$C$37</f>
        <v>4369.6526341122326</v>
      </c>
      <c r="AR10" s="77">
        <f>AR9*SUP_CONTROL!$C$37</f>
        <v>4369.6526341122326</v>
      </c>
      <c r="AS10" s="77">
        <f>AS9*SUP_CONTROL!$C$37</f>
        <v>4369.6526341122326</v>
      </c>
      <c r="AT10" s="77">
        <f>AT9*SUP_CONTROL!$C$37</f>
        <v>4369.6526341122326</v>
      </c>
      <c r="AU10" s="77">
        <f>AU9*SUP_CONTROL!$C$37</f>
        <v>4369.6526341122326</v>
      </c>
      <c r="AV10" s="77">
        <f>AV9*SUP_CONTROL!$C$37</f>
        <v>4369.6526341122326</v>
      </c>
      <c r="AW10" s="77">
        <f>AW9*SUP_CONTROL!$C$37</f>
        <v>4369.6526341122326</v>
      </c>
      <c r="AX10" s="77">
        <f>AX9*SUP_CONTROL!$C$37</f>
        <v>4369.6526341122326</v>
      </c>
      <c r="AY10" s="77">
        <f>AY9*SUP_CONTROL!$C$37</f>
        <v>4369.6526341122326</v>
      </c>
      <c r="AZ10" s="77">
        <f>AZ9*SUP_CONTROL!$C$37</f>
        <v>4369.6526341122326</v>
      </c>
      <c r="BA10" s="77">
        <f>BA9*SUP_CONTROL!$C$37</f>
        <v>4369.6526341122326</v>
      </c>
      <c r="BB10" s="77">
        <f>BB9*SUP_CONTROL!$C$37</f>
        <v>4369.6526341122326</v>
      </c>
      <c r="BC10" s="77">
        <f>BC9*SUP_CONTROL!$C$37</f>
        <v>4369.6526341122326</v>
      </c>
      <c r="BD10" s="77">
        <f>BD9*SUP_CONTROL!$C$37</f>
        <v>4369.6526341122326</v>
      </c>
      <c r="BE10" s="77">
        <f>BE9*SUP_CONTROL!$C$37</f>
        <v>4369.6526341122326</v>
      </c>
      <c r="BF10" s="77">
        <f>BF9*SUP_CONTROL!$C$37</f>
        <v>4369.6526341122326</v>
      </c>
      <c r="BG10" s="77">
        <f>BG9*SUP_CONTROL!$C$37</f>
        <v>4369.6526341122326</v>
      </c>
      <c r="BH10" s="77">
        <f>BH9*SUP_CONTROL!$C$37</f>
        <v>4369.6526341122326</v>
      </c>
      <c r="BI10" s="77">
        <f>BI9*SUP_CONTROL!$C$37</f>
        <v>4369.6526341122326</v>
      </c>
      <c r="BJ10" s="77">
        <f>BJ9*SUP_CONTROL!$C$37</f>
        <v>4369.6526341122326</v>
      </c>
      <c r="BK10" s="77">
        <f>BK9*SUP_CONTROL!$C$37</f>
        <v>4369.6526341122326</v>
      </c>
      <c r="BL10" s="77">
        <f>BL9*SUP_CONTROL!$C$37</f>
        <v>4369.6526341122326</v>
      </c>
      <c r="BM10" s="77">
        <f>BM9*SUP_CONTROL!$C$37</f>
        <v>4369.6526341122326</v>
      </c>
      <c r="BN10" s="77">
        <f>BN9*SUP_CONTROL!$C$37</f>
        <v>4369.6526341122326</v>
      </c>
      <c r="BO10" s="77">
        <f>BO9*SUP_CONTROL!$C$37</f>
        <v>4369.6526341122326</v>
      </c>
      <c r="BP10" s="77">
        <f>BP9*SUP_CONTROL!$C$37</f>
        <v>4369.6526341122326</v>
      </c>
      <c r="BQ10" s="77">
        <f>BQ9*SUP_CONTROL!$C$37</f>
        <v>4369.6526341122326</v>
      </c>
      <c r="BR10" s="77">
        <f>BR9*SUP_CONTROL!$C$37</f>
        <v>4369.6526341122326</v>
      </c>
      <c r="BS10" s="77">
        <f>BS9*SUP_CONTROL!$C$37</f>
        <v>4369.6526341122326</v>
      </c>
      <c r="BT10" s="77">
        <f>BT9*SUP_CONTROL!$C$37</f>
        <v>4369.6526341122326</v>
      </c>
      <c r="BU10" s="77">
        <f>BU9*SUP_CONTROL!$C$37</f>
        <v>4369.6526341122326</v>
      </c>
      <c r="BV10" s="77">
        <f>BV9*SUP_CONTROL!$C$37</f>
        <v>4369.6526341122326</v>
      </c>
      <c r="BW10" s="77">
        <f>BW9*SUP_CONTROL!$C$37</f>
        <v>4369.6526341122326</v>
      </c>
      <c r="BX10" s="77">
        <f>BX9*SUP_CONTROL!$C$37</f>
        <v>4369.6526341122326</v>
      </c>
      <c r="BY10" s="77">
        <f>BY9*SUP_CONTROL!$C$37</f>
        <v>4369.6526341122326</v>
      </c>
      <c r="BZ10" s="77">
        <f>BZ9*SUP_CONTROL!$C$37</f>
        <v>4369.6526341122326</v>
      </c>
      <c r="CA10" s="77">
        <f>CA9*SUP_CONTROL!$C$37</f>
        <v>4369.6526341122326</v>
      </c>
      <c r="CB10" s="77">
        <f>CB9*SUP_CONTROL!$C$37</f>
        <v>4369.6526341122326</v>
      </c>
      <c r="CC10" s="77">
        <f>CC9*SUP_CONTROL!$C$37</f>
        <v>4369.6526341122326</v>
      </c>
      <c r="CD10" s="77">
        <f>CD9*SUP_CONTROL!$C$37</f>
        <v>4369.6526341122326</v>
      </c>
      <c r="CE10" s="77">
        <f>CE9*SUP_CONTROL!$C$37</f>
        <v>4369.6526341122326</v>
      </c>
      <c r="CF10" s="77">
        <f>CF9*SUP_CONTROL!$C$37</f>
        <v>4369.6526341122326</v>
      </c>
      <c r="CG10" s="77">
        <f>CG9*SUP_CONTROL!$C$37</f>
        <v>4369.6526341122326</v>
      </c>
      <c r="CH10" s="77">
        <f>CH9*SUP_CONTROL!$C$37</f>
        <v>4369.6526341122326</v>
      </c>
      <c r="CI10" s="77">
        <f>CI9*SUP_CONTROL!$C$37</f>
        <v>4369.6526341122326</v>
      </c>
      <c r="CJ10" s="77">
        <f>CJ9*SUP_CONTROL!$C$37</f>
        <v>4369.6526341122326</v>
      </c>
      <c r="CK10" s="77">
        <f>CK9*SUP_CONTROL!$C$37</f>
        <v>4369.6526341122326</v>
      </c>
      <c r="CL10" s="77">
        <f>CL9*SUP_CONTROL!$C$37</f>
        <v>4369.6526341122326</v>
      </c>
      <c r="CM10" s="77">
        <f>CM9*SUP_CONTROL!$C$37</f>
        <v>4369.6526341122326</v>
      </c>
      <c r="CN10" s="77">
        <f>CN9*SUP_CONTROL!$C$37</f>
        <v>4369.6526341122326</v>
      </c>
      <c r="CO10" s="77">
        <f>CO9*SUP_CONTROL!$C$37</f>
        <v>4369.6526341122326</v>
      </c>
      <c r="CP10" s="77">
        <f>CP9*SUP_CONTROL!$C$37</f>
        <v>4369.6526341122326</v>
      </c>
      <c r="CQ10" s="77">
        <f>CQ9*SUP_CONTROL!$C$37</f>
        <v>4369.6526341122326</v>
      </c>
      <c r="CR10" s="77">
        <f>CR9*SUP_CONTROL!$C$37</f>
        <v>4369.6526341122326</v>
      </c>
      <c r="CS10" s="77">
        <f>CS9*SUP_CONTROL!$C$37</f>
        <v>4369.6526341122326</v>
      </c>
      <c r="CT10" s="77">
        <f>CT9*SUP_CONTROL!$C$37</f>
        <v>4369.6526341122326</v>
      </c>
      <c r="CU10" s="77">
        <f>CU9*SUP_CONTROL!$C$37</f>
        <v>4369.6526341122326</v>
      </c>
      <c r="CV10" s="77">
        <f>CV9*SUP_CONTROL!$C$37</f>
        <v>4369.6526341122326</v>
      </c>
      <c r="CW10" s="77">
        <f>CW9*SUP_CONTROL!$C$37</f>
        <v>4369.6526341122326</v>
      </c>
      <c r="CX10" s="77">
        <f>CX9*SUP_CONTROL!$C$37</f>
        <v>4369.6526341122326</v>
      </c>
      <c r="CY10" s="77">
        <f>CY9*SUP_CONTROL!$C$37</f>
        <v>4369.6526341122326</v>
      </c>
      <c r="CZ10" s="77">
        <f>CZ9*SUP_CONTROL!$C$37</f>
        <v>4369.6526341122326</v>
      </c>
      <c r="DA10" s="77">
        <f>DA9*SUP_CONTROL!$C$37</f>
        <v>4369.6526341122326</v>
      </c>
      <c r="DB10" s="77">
        <f>DB9*SUP_CONTROL!$C$37</f>
        <v>4369.6526341122326</v>
      </c>
      <c r="DC10" s="77">
        <f>DC9*SUP_CONTROL!$C$37</f>
        <v>4369.6526341122326</v>
      </c>
      <c r="DD10" s="77">
        <f>DD9*SUP_CONTROL!$C$37</f>
        <v>4369.6526341122326</v>
      </c>
      <c r="DE10" s="77">
        <f>DE9*SUP_CONTROL!$C$37</f>
        <v>4369.6526341122326</v>
      </c>
      <c r="DF10" s="77">
        <f>DF9*SUP_CONTROL!$C$37</f>
        <v>4369.6526341122326</v>
      </c>
      <c r="DG10" s="77">
        <f>DG9*SUP_CONTROL!$C$37</f>
        <v>4369.6526341122326</v>
      </c>
      <c r="DH10" s="77">
        <f>DH9*SUP_CONTROL!$C$37</f>
        <v>4369.6526341122326</v>
      </c>
      <c r="DI10" s="77">
        <f>DI9*SUP_CONTROL!$C$37</f>
        <v>4369.6526341122326</v>
      </c>
      <c r="DJ10" s="77">
        <f>DJ9*SUP_CONTROL!$C$37</f>
        <v>4369.6526341122326</v>
      </c>
      <c r="DK10" s="77">
        <f>DK9*SUP_CONTROL!$C$37</f>
        <v>4369.6526341122326</v>
      </c>
      <c r="DL10" s="77">
        <f>DL9*SUP_CONTROL!$C$37</f>
        <v>4369.6526341122326</v>
      </c>
      <c r="DM10" s="77">
        <f>DM9*SUP_CONTROL!$C$37</f>
        <v>4369.6526341122326</v>
      </c>
      <c r="DN10" s="77">
        <f>DN9*SUP_CONTROL!$C$37</f>
        <v>4369.6526341122326</v>
      </c>
      <c r="DO10" s="77">
        <f>DO9*SUP_CONTROL!$C$37</f>
        <v>4369.6526341122326</v>
      </c>
      <c r="DP10" s="77">
        <f>DP9*SUP_CONTROL!$C$37</f>
        <v>4369.6526341122326</v>
      </c>
      <c r="DQ10" s="77">
        <f>DQ9*SUP_CONTROL!$C$37</f>
        <v>4369.6526341122326</v>
      </c>
      <c r="DR10" s="77">
        <f>DR9*SUP_CONTROL!$C$37</f>
        <v>4369.6526341122326</v>
      </c>
      <c r="DS10" s="77">
        <f>DS9*SUP_CONTROL!$C$37</f>
        <v>4369.6526341122326</v>
      </c>
    </row>
    <row r="11" spans="1:123" ht="15" customHeight="1" x14ac:dyDescent="0.2">
      <c r="B11" s="20" t="s">
        <v>938</v>
      </c>
      <c r="D11" s="72">
        <f t="shared" ref="D11:AI11" si="0">D9+D10</f>
        <v>0</v>
      </c>
      <c r="E11" s="72">
        <f t="shared" si="0"/>
        <v>0</v>
      </c>
      <c r="F11" s="72">
        <f t="shared" si="0"/>
        <v>0</v>
      </c>
      <c r="G11" s="72">
        <f t="shared" si="0"/>
        <v>0</v>
      </c>
      <c r="H11" s="72">
        <f t="shared" si="0"/>
        <v>0</v>
      </c>
      <c r="I11" s="72">
        <f t="shared" si="0"/>
        <v>0</v>
      </c>
      <c r="J11" s="72">
        <f t="shared" si="0"/>
        <v>64233.8937214498</v>
      </c>
      <c r="K11" s="72">
        <f t="shared" si="0"/>
        <v>77998.299518903339</v>
      </c>
      <c r="L11" s="72">
        <f t="shared" si="0"/>
        <v>91762.705316356878</v>
      </c>
      <c r="M11" s="72">
        <f t="shared" si="0"/>
        <v>91762.705316356878</v>
      </c>
      <c r="N11" s="72">
        <f t="shared" si="0"/>
        <v>91762.705316356878</v>
      </c>
      <c r="O11" s="72">
        <f t="shared" si="0"/>
        <v>91762.705316356878</v>
      </c>
      <c r="P11" s="72">
        <f t="shared" si="0"/>
        <v>91762.705316356878</v>
      </c>
      <c r="Q11" s="72">
        <f t="shared" si="0"/>
        <v>91762.705316356878</v>
      </c>
      <c r="R11" s="72">
        <f t="shared" si="0"/>
        <v>91762.705316356878</v>
      </c>
      <c r="S11" s="72">
        <f t="shared" si="0"/>
        <v>91762.705316356878</v>
      </c>
      <c r="T11" s="72">
        <f t="shared" si="0"/>
        <v>91762.705316356878</v>
      </c>
      <c r="U11" s="72">
        <f t="shared" si="0"/>
        <v>91762.705316356878</v>
      </c>
      <c r="V11" s="72">
        <f t="shared" si="0"/>
        <v>91762.705316356878</v>
      </c>
      <c r="W11" s="72">
        <f t="shared" si="0"/>
        <v>91762.705316356878</v>
      </c>
      <c r="X11" s="72">
        <f t="shared" si="0"/>
        <v>91762.705316356878</v>
      </c>
      <c r="Y11" s="72">
        <f t="shared" si="0"/>
        <v>91762.705316356878</v>
      </c>
      <c r="Z11" s="72">
        <f t="shared" si="0"/>
        <v>91762.705316356878</v>
      </c>
      <c r="AA11" s="72">
        <f t="shared" si="0"/>
        <v>91762.705316356878</v>
      </c>
      <c r="AB11" s="72">
        <f t="shared" si="0"/>
        <v>91762.705316356878</v>
      </c>
      <c r="AC11" s="72">
        <f t="shared" si="0"/>
        <v>91762.705316356878</v>
      </c>
      <c r="AD11" s="72">
        <f t="shared" si="0"/>
        <v>91762.705316356878</v>
      </c>
      <c r="AE11" s="72">
        <f t="shared" si="0"/>
        <v>91762.705316356878</v>
      </c>
      <c r="AF11" s="72">
        <f t="shared" si="0"/>
        <v>91762.705316356878</v>
      </c>
      <c r="AG11" s="72">
        <f t="shared" si="0"/>
        <v>91762.705316356878</v>
      </c>
      <c r="AH11" s="72">
        <f t="shared" si="0"/>
        <v>91762.705316356878</v>
      </c>
      <c r="AI11" s="72">
        <f t="shared" si="0"/>
        <v>91762.705316356878</v>
      </c>
      <c r="AJ11" s="72">
        <f t="shared" ref="AJ11:BO11" si="1">AJ9+AJ10</f>
        <v>91762.705316356878</v>
      </c>
      <c r="AK11" s="72">
        <f t="shared" si="1"/>
        <v>91762.705316356878</v>
      </c>
      <c r="AL11" s="72">
        <f t="shared" si="1"/>
        <v>91762.705316356878</v>
      </c>
      <c r="AM11" s="72">
        <f t="shared" si="1"/>
        <v>91762.705316356878</v>
      </c>
      <c r="AN11" s="72">
        <f t="shared" si="1"/>
        <v>91762.705316356878</v>
      </c>
      <c r="AO11" s="72">
        <f t="shared" si="1"/>
        <v>91762.705316356878</v>
      </c>
      <c r="AP11" s="72">
        <f t="shared" si="1"/>
        <v>91762.705316356878</v>
      </c>
      <c r="AQ11" s="72">
        <f t="shared" si="1"/>
        <v>91762.705316356878</v>
      </c>
      <c r="AR11" s="72">
        <f t="shared" si="1"/>
        <v>91762.705316356878</v>
      </c>
      <c r="AS11" s="72">
        <f t="shared" si="1"/>
        <v>91762.705316356878</v>
      </c>
      <c r="AT11" s="72">
        <f t="shared" si="1"/>
        <v>91762.705316356878</v>
      </c>
      <c r="AU11" s="72">
        <f t="shared" si="1"/>
        <v>91762.705316356878</v>
      </c>
      <c r="AV11" s="72">
        <f t="shared" si="1"/>
        <v>91762.705316356878</v>
      </c>
      <c r="AW11" s="72">
        <f t="shared" si="1"/>
        <v>91762.705316356878</v>
      </c>
      <c r="AX11" s="72">
        <f t="shared" si="1"/>
        <v>91762.705316356878</v>
      </c>
      <c r="AY11" s="72">
        <f t="shared" si="1"/>
        <v>91762.705316356878</v>
      </c>
      <c r="AZ11" s="72">
        <f t="shared" si="1"/>
        <v>91762.705316356878</v>
      </c>
      <c r="BA11" s="72">
        <f t="shared" si="1"/>
        <v>91762.705316356878</v>
      </c>
      <c r="BB11" s="72">
        <f t="shared" si="1"/>
        <v>91762.705316356878</v>
      </c>
      <c r="BC11" s="72">
        <f t="shared" si="1"/>
        <v>91762.705316356878</v>
      </c>
      <c r="BD11" s="72">
        <f t="shared" si="1"/>
        <v>91762.705316356878</v>
      </c>
      <c r="BE11" s="72">
        <f t="shared" si="1"/>
        <v>91762.705316356878</v>
      </c>
      <c r="BF11" s="72">
        <f t="shared" si="1"/>
        <v>91762.705316356878</v>
      </c>
      <c r="BG11" s="72">
        <f t="shared" si="1"/>
        <v>91762.705316356878</v>
      </c>
      <c r="BH11" s="72">
        <f t="shared" si="1"/>
        <v>91762.705316356878</v>
      </c>
      <c r="BI11" s="72">
        <f t="shared" si="1"/>
        <v>91762.705316356878</v>
      </c>
      <c r="BJ11" s="72">
        <f t="shared" si="1"/>
        <v>91762.705316356878</v>
      </c>
      <c r="BK11" s="72">
        <f t="shared" si="1"/>
        <v>91762.705316356878</v>
      </c>
      <c r="BL11" s="72">
        <f t="shared" si="1"/>
        <v>91762.705316356878</v>
      </c>
      <c r="BM11" s="72">
        <f t="shared" si="1"/>
        <v>91762.705316356878</v>
      </c>
      <c r="BN11" s="72">
        <f t="shared" si="1"/>
        <v>91762.705316356878</v>
      </c>
      <c r="BO11" s="72">
        <f t="shared" si="1"/>
        <v>91762.705316356878</v>
      </c>
      <c r="BP11" s="72">
        <f t="shared" ref="BP11:CU11" si="2">BP9+BP10</f>
        <v>91762.705316356878</v>
      </c>
      <c r="BQ11" s="72">
        <f t="shared" si="2"/>
        <v>91762.705316356878</v>
      </c>
      <c r="BR11" s="72">
        <f t="shared" si="2"/>
        <v>91762.705316356878</v>
      </c>
      <c r="BS11" s="72">
        <f t="shared" si="2"/>
        <v>91762.705316356878</v>
      </c>
      <c r="BT11" s="72">
        <f t="shared" si="2"/>
        <v>91762.705316356878</v>
      </c>
      <c r="BU11" s="72">
        <f t="shared" si="2"/>
        <v>91762.705316356878</v>
      </c>
      <c r="BV11" s="72">
        <f t="shared" si="2"/>
        <v>91762.705316356878</v>
      </c>
      <c r="BW11" s="72">
        <f t="shared" si="2"/>
        <v>91762.705316356878</v>
      </c>
      <c r="BX11" s="72">
        <f t="shared" si="2"/>
        <v>91762.705316356878</v>
      </c>
      <c r="BY11" s="72">
        <f t="shared" si="2"/>
        <v>91762.705316356878</v>
      </c>
      <c r="BZ11" s="72">
        <f t="shared" si="2"/>
        <v>91762.705316356878</v>
      </c>
      <c r="CA11" s="72">
        <f t="shared" si="2"/>
        <v>91762.705316356878</v>
      </c>
      <c r="CB11" s="72">
        <f t="shared" si="2"/>
        <v>91762.705316356878</v>
      </c>
      <c r="CC11" s="72">
        <f t="shared" si="2"/>
        <v>91762.705316356878</v>
      </c>
      <c r="CD11" s="72">
        <f t="shared" si="2"/>
        <v>91762.705316356878</v>
      </c>
      <c r="CE11" s="72">
        <f t="shared" si="2"/>
        <v>91762.705316356878</v>
      </c>
      <c r="CF11" s="72">
        <f t="shared" si="2"/>
        <v>91762.705316356878</v>
      </c>
      <c r="CG11" s="72">
        <f t="shared" si="2"/>
        <v>91762.705316356878</v>
      </c>
      <c r="CH11" s="72">
        <f t="shared" si="2"/>
        <v>91762.705316356878</v>
      </c>
      <c r="CI11" s="72">
        <f t="shared" si="2"/>
        <v>91762.705316356878</v>
      </c>
      <c r="CJ11" s="72">
        <f t="shared" si="2"/>
        <v>91762.705316356878</v>
      </c>
      <c r="CK11" s="72">
        <f t="shared" si="2"/>
        <v>91762.705316356878</v>
      </c>
      <c r="CL11" s="72">
        <f t="shared" si="2"/>
        <v>91762.705316356878</v>
      </c>
      <c r="CM11" s="72">
        <f t="shared" si="2"/>
        <v>91762.705316356878</v>
      </c>
      <c r="CN11" s="72">
        <f t="shared" si="2"/>
        <v>91762.705316356878</v>
      </c>
      <c r="CO11" s="72">
        <f t="shared" si="2"/>
        <v>91762.705316356878</v>
      </c>
      <c r="CP11" s="72">
        <f t="shared" si="2"/>
        <v>91762.705316356878</v>
      </c>
      <c r="CQ11" s="72">
        <f t="shared" si="2"/>
        <v>91762.705316356878</v>
      </c>
      <c r="CR11" s="72">
        <f t="shared" si="2"/>
        <v>91762.705316356878</v>
      </c>
      <c r="CS11" s="72">
        <f t="shared" si="2"/>
        <v>91762.705316356878</v>
      </c>
      <c r="CT11" s="72">
        <f t="shared" si="2"/>
        <v>91762.705316356878</v>
      </c>
      <c r="CU11" s="72">
        <f t="shared" si="2"/>
        <v>91762.705316356878</v>
      </c>
      <c r="CV11" s="72">
        <f t="shared" ref="CV11:EA11" si="3">CV9+CV10</f>
        <v>91762.705316356878</v>
      </c>
      <c r="CW11" s="72">
        <f t="shared" si="3"/>
        <v>91762.705316356878</v>
      </c>
      <c r="CX11" s="72">
        <f t="shared" si="3"/>
        <v>91762.705316356878</v>
      </c>
      <c r="CY11" s="72">
        <f t="shared" si="3"/>
        <v>91762.705316356878</v>
      </c>
      <c r="CZ11" s="72">
        <f t="shared" si="3"/>
        <v>91762.705316356878</v>
      </c>
      <c r="DA11" s="72">
        <f t="shared" si="3"/>
        <v>91762.705316356878</v>
      </c>
      <c r="DB11" s="72">
        <f t="shared" si="3"/>
        <v>91762.705316356878</v>
      </c>
      <c r="DC11" s="72">
        <f t="shared" si="3"/>
        <v>91762.705316356878</v>
      </c>
      <c r="DD11" s="72">
        <f t="shared" si="3"/>
        <v>91762.705316356878</v>
      </c>
      <c r="DE11" s="72">
        <f t="shared" si="3"/>
        <v>91762.705316356878</v>
      </c>
      <c r="DF11" s="72">
        <f t="shared" si="3"/>
        <v>91762.705316356878</v>
      </c>
      <c r="DG11" s="72">
        <f t="shared" si="3"/>
        <v>91762.705316356878</v>
      </c>
      <c r="DH11" s="72">
        <f t="shared" si="3"/>
        <v>91762.705316356878</v>
      </c>
      <c r="DI11" s="72">
        <f t="shared" si="3"/>
        <v>91762.705316356878</v>
      </c>
      <c r="DJ11" s="72">
        <f t="shared" si="3"/>
        <v>91762.705316356878</v>
      </c>
      <c r="DK11" s="72">
        <f t="shared" si="3"/>
        <v>91762.705316356878</v>
      </c>
      <c r="DL11" s="72">
        <f t="shared" si="3"/>
        <v>91762.705316356878</v>
      </c>
      <c r="DM11" s="72">
        <f t="shared" si="3"/>
        <v>91762.705316356878</v>
      </c>
      <c r="DN11" s="72">
        <f t="shared" si="3"/>
        <v>91762.705316356878</v>
      </c>
      <c r="DO11" s="72">
        <f t="shared" si="3"/>
        <v>91762.705316356878</v>
      </c>
      <c r="DP11" s="72">
        <f t="shared" si="3"/>
        <v>91762.705316356878</v>
      </c>
      <c r="DQ11" s="72">
        <f t="shared" si="3"/>
        <v>91762.705316356878</v>
      </c>
      <c r="DR11" s="72">
        <f t="shared" si="3"/>
        <v>91762.705316356878</v>
      </c>
      <c r="DS11" s="72">
        <f t="shared" si="3"/>
        <v>91762.705316356878</v>
      </c>
    </row>
    <row r="12" spans="1:123" ht="15" customHeight="1" x14ac:dyDescent="0.2">
      <c r="B12" s="37" t="s">
        <v>898</v>
      </c>
      <c r="D12" s="88">
        <f>D8*SUP_CONTROL!$C$28</f>
        <v>0</v>
      </c>
      <c r="E12" s="88">
        <f>E8*SUP_CONTROL!$C$28</f>
        <v>0</v>
      </c>
      <c r="F12" s="88">
        <f>F8*SUP_CONTROL!$C$28</f>
        <v>0</v>
      </c>
      <c r="G12" s="88">
        <f>G8*SUP_CONTROL!$C$28</f>
        <v>0</v>
      </c>
      <c r="H12" s="88">
        <f>H8*SUP_CONTROL!$C$28</f>
        <v>0</v>
      </c>
      <c r="I12" s="88">
        <f>I8*SUP_CONTROL!$C$28</f>
        <v>0</v>
      </c>
      <c r="J12" s="88">
        <f>J8*SUP_CONTROL!$C$28</f>
        <v>9427.5999999999985</v>
      </c>
      <c r="K12" s="88">
        <f>K8*SUP_CONTROL!$C$28</f>
        <v>11447.8</v>
      </c>
      <c r="L12" s="88">
        <f>L8*SUP_CONTROL!$C$28</f>
        <v>13468</v>
      </c>
      <c r="M12" s="88">
        <f>M8*SUP_CONTROL!$C$28</f>
        <v>13468</v>
      </c>
      <c r="N12" s="88">
        <f>N8*SUP_CONTROL!$C$28</f>
        <v>13468</v>
      </c>
      <c r="O12" s="88">
        <f>O8*SUP_CONTROL!$C$28</f>
        <v>13468</v>
      </c>
      <c r="P12" s="88">
        <f>P8*SUP_CONTROL!$C$28</f>
        <v>13468</v>
      </c>
      <c r="Q12" s="88">
        <f>Q8*SUP_CONTROL!$C$28</f>
        <v>13468</v>
      </c>
      <c r="R12" s="88">
        <f>R8*SUP_CONTROL!$C$28</f>
        <v>13468</v>
      </c>
      <c r="S12" s="88">
        <f>S8*SUP_CONTROL!$C$28</f>
        <v>13468</v>
      </c>
      <c r="T12" s="88">
        <f>T8*SUP_CONTROL!$C$28</f>
        <v>13468</v>
      </c>
      <c r="U12" s="88">
        <f>U8*SUP_CONTROL!$C$28</f>
        <v>13468</v>
      </c>
      <c r="V12" s="88">
        <f>V8*SUP_CONTROL!$C$28</f>
        <v>13468</v>
      </c>
      <c r="W12" s="88">
        <f>W8*SUP_CONTROL!$C$28</f>
        <v>13468</v>
      </c>
      <c r="X12" s="88">
        <f>X8*SUP_CONTROL!$C$28</f>
        <v>13468</v>
      </c>
      <c r="Y12" s="88">
        <f>Y8*SUP_CONTROL!$C$28</f>
        <v>13468</v>
      </c>
      <c r="Z12" s="88">
        <f>Z8*SUP_CONTROL!$C$28</f>
        <v>13468</v>
      </c>
      <c r="AA12" s="88">
        <f>AA8*SUP_CONTROL!$C$28</f>
        <v>13468</v>
      </c>
      <c r="AB12" s="88">
        <f>AB8*SUP_CONTROL!$C$28</f>
        <v>13468</v>
      </c>
      <c r="AC12" s="88">
        <f>AC8*SUP_CONTROL!$C$28</f>
        <v>13468</v>
      </c>
      <c r="AD12" s="88">
        <f>AD8*SUP_CONTROL!$C$28</f>
        <v>13468</v>
      </c>
      <c r="AE12" s="88">
        <f>AE8*SUP_CONTROL!$C$28</f>
        <v>13468</v>
      </c>
      <c r="AF12" s="88">
        <f>AF8*SUP_CONTROL!$C$28</f>
        <v>13468</v>
      </c>
      <c r="AG12" s="88">
        <f>AG8*SUP_CONTROL!$C$28</f>
        <v>13468</v>
      </c>
      <c r="AH12" s="88">
        <f>AH8*SUP_CONTROL!$C$28</f>
        <v>13468</v>
      </c>
      <c r="AI12" s="88">
        <f>AI8*SUP_CONTROL!$C$28</f>
        <v>13468</v>
      </c>
      <c r="AJ12" s="88">
        <f>AJ8*SUP_CONTROL!$C$28</f>
        <v>13468</v>
      </c>
      <c r="AK12" s="88">
        <f>AK8*SUP_CONTROL!$C$28</f>
        <v>13468</v>
      </c>
      <c r="AL12" s="88">
        <f>AL8*SUP_CONTROL!$C$28</f>
        <v>13468</v>
      </c>
      <c r="AM12" s="88">
        <f>AM8*SUP_CONTROL!$C$28</f>
        <v>13468</v>
      </c>
      <c r="AN12" s="88">
        <f>AN8*SUP_CONTROL!$C$28</f>
        <v>13468</v>
      </c>
      <c r="AO12" s="88">
        <f>AO8*SUP_CONTROL!$C$28</f>
        <v>13468</v>
      </c>
      <c r="AP12" s="88">
        <f>AP8*SUP_CONTROL!$C$28</f>
        <v>13468</v>
      </c>
      <c r="AQ12" s="88">
        <f>AQ8*SUP_CONTROL!$C$28</f>
        <v>13468</v>
      </c>
      <c r="AR12" s="88">
        <f>AR8*SUP_CONTROL!$C$28</f>
        <v>13468</v>
      </c>
      <c r="AS12" s="88">
        <f>AS8*SUP_CONTROL!$C$28</f>
        <v>13468</v>
      </c>
      <c r="AT12" s="88">
        <f>AT8*SUP_CONTROL!$C$28</f>
        <v>13468</v>
      </c>
      <c r="AU12" s="88">
        <f>AU8*SUP_CONTROL!$C$28</f>
        <v>13468</v>
      </c>
      <c r="AV12" s="88">
        <f>AV8*SUP_CONTROL!$C$28</f>
        <v>13468</v>
      </c>
      <c r="AW12" s="88">
        <f>AW8*SUP_CONTROL!$C$28</f>
        <v>13468</v>
      </c>
      <c r="AX12" s="88">
        <f>AX8*SUP_CONTROL!$C$28</f>
        <v>13468</v>
      </c>
      <c r="AY12" s="88">
        <f>AY8*SUP_CONTROL!$C$28</f>
        <v>13468</v>
      </c>
      <c r="AZ12" s="88">
        <f>AZ8*SUP_CONTROL!$C$28</f>
        <v>13468</v>
      </c>
      <c r="BA12" s="88">
        <f>BA8*SUP_CONTROL!$C$28</f>
        <v>13468</v>
      </c>
      <c r="BB12" s="88">
        <f>BB8*SUP_CONTROL!$C$28</f>
        <v>13468</v>
      </c>
      <c r="BC12" s="88">
        <f>BC8*SUP_CONTROL!$C$28</f>
        <v>13468</v>
      </c>
      <c r="BD12" s="88">
        <f>BD8*SUP_CONTROL!$C$28</f>
        <v>13468</v>
      </c>
      <c r="BE12" s="88">
        <f>BE8*SUP_CONTROL!$C$28</f>
        <v>13468</v>
      </c>
      <c r="BF12" s="88">
        <f>BF8*SUP_CONTROL!$C$28</f>
        <v>13468</v>
      </c>
      <c r="BG12" s="88">
        <f>BG8*SUP_CONTROL!$C$28</f>
        <v>13468</v>
      </c>
      <c r="BH12" s="88">
        <f>BH8*SUP_CONTROL!$C$28</f>
        <v>13468</v>
      </c>
      <c r="BI12" s="88">
        <f>BI8*SUP_CONTROL!$C$28</f>
        <v>13468</v>
      </c>
      <c r="BJ12" s="88">
        <f>BJ8*SUP_CONTROL!$C$28</f>
        <v>13468</v>
      </c>
      <c r="BK12" s="88">
        <f>BK8*SUP_CONTROL!$C$28</f>
        <v>13468</v>
      </c>
      <c r="BL12" s="88">
        <f>BL8*SUP_CONTROL!$C$28</f>
        <v>13468</v>
      </c>
      <c r="BM12" s="88">
        <f>BM8*SUP_CONTROL!$C$28</f>
        <v>13468</v>
      </c>
      <c r="BN12" s="88">
        <f>BN8*SUP_CONTROL!$C$28</f>
        <v>13468</v>
      </c>
      <c r="BO12" s="88">
        <f>BO8*SUP_CONTROL!$C$28</f>
        <v>13468</v>
      </c>
      <c r="BP12" s="88">
        <f>BP8*SUP_CONTROL!$C$28</f>
        <v>13468</v>
      </c>
      <c r="BQ12" s="88">
        <f>BQ8*SUP_CONTROL!$C$28</f>
        <v>13468</v>
      </c>
      <c r="BR12" s="88">
        <f>BR8*SUP_CONTROL!$C$28</f>
        <v>13468</v>
      </c>
      <c r="BS12" s="88">
        <f>BS8*SUP_CONTROL!$C$28</f>
        <v>13468</v>
      </c>
      <c r="BT12" s="88">
        <f>BT8*SUP_CONTROL!$C$28</f>
        <v>13468</v>
      </c>
      <c r="BU12" s="88">
        <f>BU8*SUP_CONTROL!$C$28</f>
        <v>13468</v>
      </c>
      <c r="BV12" s="88">
        <f>BV8*SUP_CONTROL!$C$28</f>
        <v>13468</v>
      </c>
      <c r="BW12" s="88">
        <f>BW8*SUP_CONTROL!$C$28</f>
        <v>13468</v>
      </c>
      <c r="BX12" s="88">
        <f>BX8*SUP_CONTROL!$C$28</f>
        <v>13468</v>
      </c>
      <c r="BY12" s="88">
        <f>BY8*SUP_CONTROL!$C$28</f>
        <v>13468</v>
      </c>
      <c r="BZ12" s="88">
        <f>BZ8*SUP_CONTROL!$C$28</f>
        <v>13468</v>
      </c>
      <c r="CA12" s="88">
        <f>CA8*SUP_CONTROL!$C$28</f>
        <v>13468</v>
      </c>
      <c r="CB12" s="88">
        <f>CB8*SUP_CONTROL!$C$28</f>
        <v>13468</v>
      </c>
      <c r="CC12" s="88">
        <f>CC8*SUP_CONTROL!$C$28</f>
        <v>13468</v>
      </c>
      <c r="CD12" s="88">
        <f>CD8*SUP_CONTROL!$C$28</f>
        <v>13468</v>
      </c>
      <c r="CE12" s="88">
        <f>CE8*SUP_CONTROL!$C$28</f>
        <v>13468</v>
      </c>
      <c r="CF12" s="88">
        <f>CF8*SUP_CONTROL!$C$28</f>
        <v>13468</v>
      </c>
      <c r="CG12" s="88">
        <f>CG8*SUP_CONTROL!$C$28</f>
        <v>13468</v>
      </c>
      <c r="CH12" s="88">
        <f>CH8*SUP_CONTROL!$C$28</f>
        <v>13468</v>
      </c>
      <c r="CI12" s="88">
        <f>CI8*SUP_CONTROL!$C$28</f>
        <v>13468</v>
      </c>
      <c r="CJ12" s="88">
        <f>CJ8*SUP_CONTROL!$C$28</f>
        <v>13468</v>
      </c>
      <c r="CK12" s="88">
        <f>CK8*SUP_CONTROL!$C$28</f>
        <v>13468</v>
      </c>
      <c r="CL12" s="88">
        <f>CL8*SUP_CONTROL!$C$28</f>
        <v>13468</v>
      </c>
      <c r="CM12" s="88">
        <f>CM8*SUP_CONTROL!$C$28</f>
        <v>13468</v>
      </c>
      <c r="CN12" s="88">
        <f>CN8*SUP_CONTROL!$C$28</f>
        <v>13468</v>
      </c>
      <c r="CO12" s="88">
        <f>CO8*SUP_CONTROL!$C$28</f>
        <v>13468</v>
      </c>
      <c r="CP12" s="88">
        <f>CP8*SUP_CONTROL!$C$28</f>
        <v>13468</v>
      </c>
      <c r="CQ12" s="88">
        <f>CQ8*SUP_CONTROL!$C$28</f>
        <v>13468</v>
      </c>
      <c r="CR12" s="88">
        <f>CR8*SUP_CONTROL!$C$28</f>
        <v>13468</v>
      </c>
      <c r="CS12" s="88">
        <f>CS8*SUP_CONTROL!$C$28</f>
        <v>13468</v>
      </c>
      <c r="CT12" s="88">
        <f>CT8*SUP_CONTROL!$C$28</f>
        <v>13468</v>
      </c>
      <c r="CU12" s="88">
        <f>CU8*SUP_CONTROL!$C$28</f>
        <v>13468</v>
      </c>
      <c r="CV12" s="88">
        <f>CV8*SUP_CONTROL!$C$28</f>
        <v>13468</v>
      </c>
      <c r="CW12" s="88">
        <f>CW8*SUP_CONTROL!$C$28</f>
        <v>13468</v>
      </c>
      <c r="CX12" s="88">
        <f>CX8*SUP_CONTROL!$C$28</f>
        <v>13468</v>
      </c>
      <c r="CY12" s="88">
        <f>CY8*SUP_CONTROL!$C$28</f>
        <v>13468</v>
      </c>
      <c r="CZ12" s="88">
        <f>CZ8*SUP_CONTROL!$C$28</f>
        <v>13468</v>
      </c>
      <c r="DA12" s="88">
        <f>DA8*SUP_CONTROL!$C$28</f>
        <v>13468</v>
      </c>
      <c r="DB12" s="88">
        <f>DB8*SUP_CONTROL!$C$28</f>
        <v>13468</v>
      </c>
      <c r="DC12" s="88">
        <f>DC8*SUP_CONTROL!$C$28</f>
        <v>13468</v>
      </c>
      <c r="DD12" s="88">
        <f>DD8*SUP_CONTROL!$C$28</f>
        <v>13468</v>
      </c>
      <c r="DE12" s="88">
        <f>DE8*SUP_CONTROL!$C$28</f>
        <v>13468</v>
      </c>
      <c r="DF12" s="88">
        <f>DF8*SUP_CONTROL!$C$28</f>
        <v>13468</v>
      </c>
      <c r="DG12" s="88">
        <f>DG8*SUP_CONTROL!$C$28</f>
        <v>13468</v>
      </c>
      <c r="DH12" s="88">
        <f>DH8*SUP_CONTROL!$C$28</f>
        <v>13468</v>
      </c>
      <c r="DI12" s="88">
        <f>DI8*SUP_CONTROL!$C$28</f>
        <v>13468</v>
      </c>
      <c r="DJ12" s="88">
        <f>DJ8*SUP_CONTROL!$C$28</f>
        <v>13468</v>
      </c>
      <c r="DK12" s="88">
        <f>DK8*SUP_CONTROL!$C$28</f>
        <v>13468</v>
      </c>
      <c r="DL12" s="88">
        <f>DL8*SUP_CONTROL!$C$28</f>
        <v>13468</v>
      </c>
      <c r="DM12" s="88">
        <f>DM8*SUP_CONTROL!$C$28</f>
        <v>13468</v>
      </c>
      <c r="DN12" s="88">
        <f>DN8*SUP_CONTROL!$C$28</f>
        <v>13468</v>
      </c>
      <c r="DO12" s="88">
        <f>DO8*SUP_CONTROL!$C$28</f>
        <v>13468</v>
      </c>
      <c r="DP12" s="88">
        <f>DP8*SUP_CONTROL!$C$28</f>
        <v>13468</v>
      </c>
      <c r="DQ12" s="88">
        <f>DQ8*SUP_CONTROL!$C$28</f>
        <v>13468</v>
      </c>
      <c r="DR12" s="88">
        <f>DR8*SUP_CONTROL!$C$28</f>
        <v>13468</v>
      </c>
      <c r="DS12" s="88">
        <f>DS8*SUP_CONTROL!$C$28</f>
        <v>13468</v>
      </c>
    </row>
    <row r="13" spans="1:123" ht="15" customHeight="1" x14ac:dyDescent="0.2">
      <c r="B13" s="37" t="s">
        <v>939</v>
      </c>
      <c r="D13" s="77">
        <f>D8*SUP_CONTROL!$C$27+D10*SUP_CONTROL!$C$38</f>
        <v>0</v>
      </c>
      <c r="E13" s="77">
        <f>E8*SUP_CONTROL!$C$27+E10*SUP_CONTROL!$C$38</f>
        <v>0</v>
      </c>
      <c r="F13" s="77">
        <f>F8*SUP_CONTROL!$C$27+F10*SUP_CONTROL!$C$38</f>
        <v>0</v>
      </c>
      <c r="G13" s="77">
        <f>G8*SUP_CONTROL!$C$27+G10*SUP_CONTROL!$C$38</f>
        <v>0</v>
      </c>
      <c r="H13" s="77">
        <f>H8*SUP_CONTROL!$C$27+H10*SUP_CONTROL!$C$38</f>
        <v>0</v>
      </c>
      <c r="I13" s="77">
        <f>I8*SUP_CONTROL!$C$27+I10*SUP_CONTROL!$C$38</f>
        <v>0</v>
      </c>
      <c r="J13" s="77">
        <f>J8*SUP_CONTROL!$C$27+J10*SUP_CONTROL!$C$38</f>
        <v>30122.559301272169</v>
      </c>
      <c r="K13" s="77">
        <f>K8*SUP_CONTROL!$C$27+K10*SUP_CONTROL!$C$38</f>
        <v>36577.393437259067</v>
      </c>
      <c r="L13" s="77">
        <f>L8*SUP_CONTROL!$C$27+L10*SUP_CONTROL!$C$38</f>
        <v>43032.227573245968</v>
      </c>
      <c r="M13" s="77">
        <f>M8*SUP_CONTROL!$C$27+M10*SUP_CONTROL!$C$38</f>
        <v>43032.227573245968</v>
      </c>
      <c r="N13" s="77">
        <f>N8*SUP_CONTROL!$C$27+N10*SUP_CONTROL!$C$38</f>
        <v>43032.227573245968</v>
      </c>
      <c r="O13" s="77">
        <f>O8*SUP_CONTROL!$C$27+O10*SUP_CONTROL!$C$38</f>
        <v>43032.227573245968</v>
      </c>
      <c r="P13" s="77">
        <f>P8*SUP_CONTROL!$C$27+P10*SUP_CONTROL!$C$38</f>
        <v>43032.227573245968</v>
      </c>
      <c r="Q13" s="77">
        <f>Q8*SUP_CONTROL!$C$27+Q10*SUP_CONTROL!$C$38</f>
        <v>43032.227573245968</v>
      </c>
      <c r="R13" s="77">
        <f>R8*SUP_CONTROL!$C$27+R10*SUP_CONTROL!$C$38</f>
        <v>43032.227573245968</v>
      </c>
      <c r="S13" s="77">
        <f>S8*SUP_CONTROL!$C$27+S10*SUP_CONTROL!$C$38</f>
        <v>43032.227573245968</v>
      </c>
      <c r="T13" s="77">
        <f>T8*SUP_CONTROL!$C$27+T10*SUP_CONTROL!$C$38</f>
        <v>43032.227573245968</v>
      </c>
      <c r="U13" s="77">
        <f>U8*SUP_CONTROL!$C$27+U10*SUP_CONTROL!$C$38</f>
        <v>43032.227573245968</v>
      </c>
      <c r="V13" s="77">
        <f>V8*SUP_CONTROL!$C$27+V10*SUP_CONTROL!$C$38</f>
        <v>43032.227573245968</v>
      </c>
      <c r="W13" s="77">
        <f>W8*SUP_CONTROL!$C$27+W10*SUP_CONTROL!$C$38</f>
        <v>43032.227573245968</v>
      </c>
      <c r="X13" s="77">
        <f>X8*SUP_CONTROL!$C$27+X10*SUP_CONTROL!$C$38</f>
        <v>43032.227573245968</v>
      </c>
      <c r="Y13" s="77">
        <f>Y8*SUP_CONTROL!$C$27+Y10*SUP_CONTROL!$C$38</f>
        <v>43032.227573245968</v>
      </c>
      <c r="Z13" s="77">
        <f>Z8*SUP_CONTROL!$C$27+Z10*SUP_CONTROL!$C$38</f>
        <v>43032.227573245968</v>
      </c>
      <c r="AA13" s="77">
        <f>AA8*SUP_CONTROL!$C$27+AA10*SUP_CONTROL!$C$38</f>
        <v>43032.227573245968</v>
      </c>
      <c r="AB13" s="77">
        <f>AB8*SUP_CONTROL!$C$27+AB10*SUP_CONTROL!$C$38</f>
        <v>43032.227573245968</v>
      </c>
      <c r="AC13" s="77">
        <f>AC8*SUP_CONTROL!$C$27+AC10*SUP_CONTROL!$C$38</f>
        <v>43032.227573245968</v>
      </c>
      <c r="AD13" s="77">
        <f>AD8*SUP_CONTROL!$C$27+AD10*SUP_CONTROL!$C$38</f>
        <v>43032.227573245968</v>
      </c>
      <c r="AE13" s="77">
        <f>AE8*SUP_CONTROL!$C$27+AE10*SUP_CONTROL!$C$38</f>
        <v>43032.227573245968</v>
      </c>
      <c r="AF13" s="77">
        <f>AF8*SUP_CONTROL!$C$27+AF10*SUP_CONTROL!$C$38</f>
        <v>43032.227573245968</v>
      </c>
      <c r="AG13" s="77">
        <f>AG8*SUP_CONTROL!$C$27+AG10*SUP_CONTROL!$C$38</f>
        <v>43032.227573245968</v>
      </c>
      <c r="AH13" s="77">
        <f>AH8*SUP_CONTROL!$C$27+AH10*SUP_CONTROL!$C$38</f>
        <v>43032.227573245968</v>
      </c>
      <c r="AI13" s="77">
        <f>AI8*SUP_CONTROL!$C$27+AI10*SUP_CONTROL!$C$38</f>
        <v>43032.227573245968</v>
      </c>
      <c r="AJ13" s="77">
        <f>AJ8*SUP_CONTROL!$C$27+AJ10*SUP_CONTROL!$C$38</f>
        <v>43032.227573245968</v>
      </c>
      <c r="AK13" s="77">
        <f>AK8*SUP_CONTROL!$C$27+AK10*SUP_CONTROL!$C$38</f>
        <v>43032.227573245968</v>
      </c>
      <c r="AL13" s="77">
        <f>AL8*SUP_CONTROL!$C$27+AL10*SUP_CONTROL!$C$38</f>
        <v>43032.227573245968</v>
      </c>
      <c r="AM13" s="77">
        <f>AM8*SUP_CONTROL!$C$27+AM10*SUP_CONTROL!$C$38</f>
        <v>43032.227573245968</v>
      </c>
      <c r="AN13" s="77">
        <f>AN8*SUP_CONTROL!$C$27+AN10*SUP_CONTROL!$C$38</f>
        <v>43032.227573245968</v>
      </c>
      <c r="AO13" s="77">
        <f>AO8*SUP_CONTROL!$C$27+AO10*SUP_CONTROL!$C$38</f>
        <v>43032.227573245968</v>
      </c>
      <c r="AP13" s="77">
        <f>AP8*SUP_CONTROL!$C$27+AP10*SUP_CONTROL!$C$38</f>
        <v>43032.227573245968</v>
      </c>
      <c r="AQ13" s="77">
        <f>AQ8*SUP_CONTROL!$C$27+AQ10*SUP_CONTROL!$C$38</f>
        <v>43032.227573245968</v>
      </c>
      <c r="AR13" s="77">
        <f>AR8*SUP_CONTROL!$C$27+AR10*SUP_CONTROL!$C$38</f>
        <v>43032.227573245968</v>
      </c>
      <c r="AS13" s="77">
        <f>AS8*SUP_CONTROL!$C$27+AS10*SUP_CONTROL!$C$38</f>
        <v>43032.227573245968</v>
      </c>
      <c r="AT13" s="77">
        <f>AT8*SUP_CONTROL!$C$27+AT10*SUP_CONTROL!$C$38</f>
        <v>43032.227573245968</v>
      </c>
      <c r="AU13" s="77">
        <f>AU8*SUP_CONTROL!$C$27+AU10*SUP_CONTROL!$C$38</f>
        <v>43032.227573245968</v>
      </c>
      <c r="AV13" s="77">
        <f>AV8*SUP_CONTROL!$C$27+AV10*SUP_CONTROL!$C$38</f>
        <v>43032.227573245968</v>
      </c>
      <c r="AW13" s="77">
        <f>AW8*SUP_CONTROL!$C$27+AW10*SUP_CONTROL!$C$38</f>
        <v>43032.227573245968</v>
      </c>
      <c r="AX13" s="77">
        <f>AX8*SUP_CONTROL!$C$27+AX10*SUP_CONTROL!$C$38</f>
        <v>43032.227573245968</v>
      </c>
      <c r="AY13" s="77">
        <f>AY8*SUP_CONTROL!$C$27+AY10*SUP_CONTROL!$C$38</f>
        <v>43032.227573245968</v>
      </c>
      <c r="AZ13" s="77">
        <f>AZ8*SUP_CONTROL!$C$27+AZ10*SUP_CONTROL!$C$38</f>
        <v>43032.227573245968</v>
      </c>
      <c r="BA13" s="77">
        <f>BA8*SUP_CONTROL!$C$27+BA10*SUP_CONTROL!$C$38</f>
        <v>43032.227573245968</v>
      </c>
      <c r="BB13" s="77">
        <f>BB8*SUP_CONTROL!$C$27+BB10*SUP_CONTROL!$C$38</f>
        <v>43032.227573245968</v>
      </c>
      <c r="BC13" s="77">
        <f>BC8*SUP_CONTROL!$C$27+BC10*SUP_CONTROL!$C$38</f>
        <v>43032.227573245968</v>
      </c>
      <c r="BD13" s="77">
        <f>BD8*SUP_CONTROL!$C$27+BD10*SUP_CONTROL!$C$38</f>
        <v>43032.227573245968</v>
      </c>
      <c r="BE13" s="77">
        <f>BE8*SUP_CONTROL!$C$27+BE10*SUP_CONTROL!$C$38</f>
        <v>43032.227573245968</v>
      </c>
      <c r="BF13" s="77">
        <f>BF8*SUP_CONTROL!$C$27+BF10*SUP_CONTROL!$C$38</f>
        <v>43032.227573245968</v>
      </c>
      <c r="BG13" s="77">
        <f>BG8*SUP_CONTROL!$C$27+BG10*SUP_CONTROL!$C$38</f>
        <v>43032.227573245968</v>
      </c>
      <c r="BH13" s="77">
        <f>BH8*SUP_CONTROL!$C$27+BH10*SUP_CONTROL!$C$38</f>
        <v>43032.227573245968</v>
      </c>
      <c r="BI13" s="77">
        <f>BI8*SUP_CONTROL!$C$27+BI10*SUP_CONTROL!$C$38</f>
        <v>43032.227573245968</v>
      </c>
      <c r="BJ13" s="77">
        <f>BJ8*SUP_CONTROL!$C$27+BJ10*SUP_CONTROL!$C$38</f>
        <v>43032.227573245968</v>
      </c>
      <c r="BK13" s="77">
        <f>BK8*SUP_CONTROL!$C$27+BK10*SUP_CONTROL!$C$38</f>
        <v>43032.227573245968</v>
      </c>
      <c r="BL13" s="77">
        <f>BL8*SUP_CONTROL!$C$27+BL10*SUP_CONTROL!$C$38</f>
        <v>43032.227573245968</v>
      </c>
      <c r="BM13" s="77">
        <f>BM8*SUP_CONTROL!$C$27+BM10*SUP_CONTROL!$C$38</f>
        <v>43032.227573245968</v>
      </c>
      <c r="BN13" s="77">
        <f>BN8*SUP_CONTROL!$C$27+BN10*SUP_CONTROL!$C$38</f>
        <v>43032.227573245968</v>
      </c>
      <c r="BO13" s="77">
        <f>BO8*SUP_CONTROL!$C$27+BO10*SUP_CONTROL!$C$38</f>
        <v>43032.227573245968</v>
      </c>
      <c r="BP13" s="77">
        <f>BP8*SUP_CONTROL!$C$27+BP10*SUP_CONTROL!$C$38</f>
        <v>43032.227573245968</v>
      </c>
      <c r="BQ13" s="77">
        <f>BQ8*SUP_CONTROL!$C$27+BQ10*SUP_CONTROL!$C$38</f>
        <v>43032.227573245968</v>
      </c>
      <c r="BR13" s="77">
        <f>BR8*SUP_CONTROL!$C$27+BR10*SUP_CONTROL!$C$38</f>
        <v>43032.227573245968</v>
      </c>
      <c r="BS13" s="77">
        <f>BS8*SUP_CONTROL!$C$27+BS10*SUP_CONTROL!$C$38</f>
        <v>43032.227573245968</v>
      </c>
      <c r="BT13" s="77">
        <f>BT8*SUP_CONTROL!$C$27+BT10*SUP_CONTROL!$C$38</f>
        <v>43032.227573245968</v>
      </c>
      <c r="BU13" s="77">
        <f>BU8*SUP_CONTROL!$C$27+BU10*SUP_CONTROL!$C$38</f>
        <v>43032.227573245968</v>
      </c>
      <c r="BV13" s="77">
        <f>BV8*SUP_CONTROL!$C$27+BV10*SUP_CONTROL!$C$38</f>
        <v>43032.227573245968</v>
      </c>
      <c r="BW13" s="77">
        <f>BW8*SUP_CONTROL!$C$27+BW10*SUP_CONTROL!$C$38</f>
        <v>43032.227573245968</v>
      </c>
      <c r="BX13" s="77">
        <f>BX8*SUP_CONTROL!$C$27+BX10*SUP_CONTROL!$C$38</f>
        <v>43032.227573245968</v>
      </c>
      <c r="BY13" s="77">
        <f>BY8*SUP_CONTROL!$C$27+BY10*SUP_CONTROL!$C$38</f>
        <v>43032.227573245968</v>
      </c>
      <c r="BZ13" s="77">
        <f>BZ8*SUP_CONTROL!$C$27+BZ10*SUP_CONTROL!$C$38</f>
        <v>43032.227573245968</v>
      </c>
      <c r="CA13" s="77">
        <f>CA8*SUP_CONTROL!$C$27+CA10*SUP_CONTROL!$C$38</f>
        <v>43032.227573245968</v>
      </c>
      <c r="CB13" s="77">
        <f>CB8*SUP_CONTROL!$C$27+CB10*SUP_CONTROL!$C$38</f>
        <v>43032.227573245968</v>
      </c>
      <c r="CC13" s="77">
        <f>CC8*SUP_CONTROL!$C$27+CC10*SUP_CONTROL!$C$38</f>
        <v>43032.227573245968</v>
      </c>
      <c r="CD13" s="77">
        <f>CD8*SUP_CONTROL!$C$27+CD10*SUP_CONTROL!$C$38</f>
        <v>43032.227573245968</v>
      </c>
      <c r="CE13" s="77">
        <f>CE8*SUP_CONTROL!$C$27+CE10*SUP_CONTROL!$C$38</f>
        <v>43032.227573245968</v>
      </c>
      <c r="CF13" s="77">
        <f>CF8*SUP_CONTROL!$C$27+CF10*SUP_CONTROL!$C$38</f>
        <v>43032.227573245968</v>
      </c>
      <c r="CG13" s="77">
        <f>CG8*SUP_CONTROL!$C$27+CG10*SUP_CONTROL!$C$38</f>
        <v>43032.227573245968</v>
      </c>
      <c r="CH13" s="77">
        <f>CH8*SUP_CONTROL!$C$27+CH10*SUP_CONTROL!$C$38</f>
        <v>43032.227573245968</v>
      </c>
      <c r="CI13" s="77">
        <f>CI8*SUP_CONTROL!$C$27+CI10*SUP_CONTROL!$C$38</f>
        <v>43032.227573245968</v>
      </c>
      <c r="CJ13" s="77">
        <f>CJ8*SUP_CONTROL!$C$27+CJ10*SUP_CONTROL!$C$38</f>
        <v>43032.227573245968</v>
      </c>
      <c r="CK13" s="77">
        <f>CK8*SUP_CONTROL!$C$27+CK10*SUP_CONTROL!$C$38</f>
        <v>43032.227573245968</v>
      </c>
      <c r="CL13" s="77">
        <f>CL8*SUP_CONTROL!$C$27+CL10*SUP_CONTROL!$C$38</f>
        <v>43032.227573245968</v>
      </c>
      <c r="CM13" s="77">
        <f>CM8*SUP_CONTROL!$C$27+CM10*SUP_CONTROL!$C$38</f>
        <v>43032.227573245968</v>
      </c>
      <c r="CN13" s="77">
        <f>CN8*SUP_CONTROL!$C$27+CN10*SUP_CONTROL!$C$38</f>
        <v>43032.227573245968</v>
      </c>
      <c r="CO13" s="77">
        <f>CO8*SUP_CONTROL!$C$27+CO10*SUP_CONTROL!$C$38</f>
        <v>43032.227573245968</v>
      </c>
      <c r="CP13" s="77">
        <f>CP8*SUP_CONTROL!$C$27+CP10*SUP_CONTROL!$C$38</f>
        <v>43032.227573245968</v>
      </c>
      <c r="CQ13" s="77">
        <f>CQ8*SUP_CONTROL!$C$27+CQ10*SUP_CONTROL!$C$38</f>
        <v>43032.227573245968</v>
      </c>
      <c r="CR13" s="77">
        <f>CR8*SUP_CONTROL!$C$27+CR10*SUP_CONTROL!$C$38</f>
        <v>43032.227573245968</v>
      </c>
      <c r="CS13" s="77">
        <f>CS8*SUP_CONTROL!$C$27+CS10*SUP_CONTROL!$C$38</f>
        <v>43032.227573245968</v>
      </c>
      <c r="CT13" s="77">
        <f>CT8*SUP_CONTROL!$C$27+CT10*SUP_CONTROL!$C$38</f>
        <v>43032.227573245968</v>
      </c>
      <c r="CU13" s="77">
        <f>CU8*SUP_CONTROL!$C$27+CU10*SUP_CONTROL!$C$38</f>
        <v>43032.227573245968</v>
      </c>
      <c r="CV13" s="77">
        <f>CV8*SUP_CONTROL!$C$27+CV10*SUP_CONTROL!$C$38</f>
        <v>43032.227573245968</v>
      </c>
      <c r="CW13" s="77">
        <f>CW8*SUP_CONTROL!$C$27+CW10*SUP_CONTROL!$C$38</f>
        <v>43032.227573245968</v>
      </c>
      <c r="CX13" s="77">
        <f>CX8*SUP_CONTROL!$C$27+CX10*SUP_CONTROL!$C$38</f>
        <v>43032.227573245968</v>
      </c>
      <c r="CY13" s="77">
        <f>CY8*SUP_CONTROL!$C$27+CY10*SUP_CONTROL!$C$38</f>
        <v>43032.227573245968</v>
      </c>
      <c r="CZ13" s="77">
        <f>CZ8*SUP_CONTROL!$C$27+CZ10*SUP_CONTROL!$C$38</f>
        <v>43032.227573245968</v>
      </c>
      <c r="DA13" s="77">
        <f>DA8*SUP_CONTROL!$C$27+DA10*SUP_CONTROL!$C$38</f>
        <v>43032.227573245968</v>
      </c>
      <c r="DB13" s="77">
        <f>DB8*SUP_CONTROL!$C$27+DB10*SUP_CONTROL!$C$38</f>
        <v>43032.227573245968</v>
      </c>
      <c r="DC13" s="77">
        <f>DC8*SUP_CONTROL!$C$27+DC10*SUP_CONTROL!$C$38</f>
        <v>43032.227573245968</v>
      </c>
      <c r="DD13" s="77">
        <f>DD8*SUP_CONTROL!$C$27+DD10*SUP_CONTROL!$C$38</f>
        <v>43032.227573245968</v>
      </c>
      <c r="DE13" s="77">
        <f>DE8*SUP_CONTROL!$C$27+DE10*SUP_CONTROL!$C$38</f>
        <v>43032.227573245968</v>
      </c>
      <c r="DF13" s="77">
        <f>DF8*SUP_CONTROL!$C$27+DF10*SUP_CONTROL!$C$38</f>
        <v>43032.227573245968</v>
      </c>
      <c r="DG13" s="77">
        <f>DG8*SUP_CONTROL!$C$27+DG10*SUP_CONTROL!$C$38</f>
        <v>43032.227573245968</v>
      </c>
      <c r="DH13" s="77">
        <f>DH8*SUP_CONTROL!$C$27+DH10*SUP_CONTROL!$C$38</f>
        <v>43032.227573245968</v>
      </c>
      <c r="DI13" s="77">
        <f>DI8*SUP_CONTROL!$C$27+DI10*SUP_CONTROL!$C$38</f>
        <v>43032.227573245968</v>
      </c>
      <c r="DJ13" s="77">
        <f>DJ8*SUP_CONTROL!$C$27+DJ10*SUP_CONTROL!$C$38</f>
        <v>43032.227573245968</v>
      </c>
      <c r="DK13" s="77">
        <f>DK8*SUP_CONTROL!$C$27+DK10*SUP_CONTROL!$C$38</f>
        <v>43032.227573245968</v>
      </c>
      <c r="DL13" s="77">
        <f>DL8*SUP_CONTROL!$C$27+DL10*SUP_CONTROL!$C$38</f>
        <v>43032.227573245968</v>
      </c>
      <c r="DM13" s="77">
        <f>DM8*SUP_CONTROL!$C$27+DM10*SUP_CONTROL!$C$38</f>
        <v>43032.227573245968</v>
      </c>
      <c r="DN13" s="77">
        <f>DN8*SUP_CONTROL!$C$27+DN10*SUP_CONTROL!$C$38</f>
        <v>43032.227573245968</v>
      </c>
      <c r="DO13" s="77">
        <f>DO8*SUP_CONTROL!$C$27+DO10*SUP_CONTROL!$C$38</f>
        <v>43032.227573245968</v>
      </c>
      <c r="DP13" s="77">
        <f>DP8*SUP_CONTROL!$C$27+DP10*SUP_CONTROL!$C$38</f>
        <v>43032.227573245968</v>
      </c>
      <c r="DQ13" s="77">
        <f>DQ8*SUP_CONTROL!$C$27+DQ10*SUP_CONTROL!$C$38</f>
        <v>43032.227573245968</v>
      </c>
      <c r="DR13" s="77">
        <f>DR8*SUP_CONTROL!$C$27+DR10*SUP_CONTROL!$C$38</f>
        <v>43032.227573245968</v>
      </c>
      <c r="DS13" s="77">
        <f>DS8*SUP_CONTROL!$C$27+DS10*SUP_CONTROL!$C$38</f>
        <v>43032.227573245968</v>
      </c>
    </row>
    <row r="14" spans="1:123" ht="15" customHeight="1" x14ac:dyDescent="0.2">
      <c r="B14" s="37" t="s">
        <v>940</v>
      </c>
      <c r="D14" s="77">
        <f>D11*(SUP_OPEX!$C$30+SUP_OPEX!$C$31)</f>
        <v>0</v>
      </c>
      <c r="E14" s="77">
        <f>E11*(SUP_OPEX!$C$30+SUP_OPEX!$C$31)</f>
        <v>0</v>
      </c>
      <c r="F14" s="77">
        <f>F11*(SUP_OPEX!$C$30+SUP_OPEX!$C$31)</f>
        <v>0</v>
      </c>
      <c r="G14" s="77">
        <f>G11*(SUP_OPEX!$C$30+SUP_OPEX!$C$31)</f>
        <v>0</v>
      </c>
      <c r="H14" s="77">
        <f>H11*(SUP_OPEX!$C$30+SUP_OPEX!$C$31)</f>
        <v>0</v>
      </c>
      <c r="I14" s="77">
        <f>I11*(SUP_OPEX!$C$30+SUP_OPEX!$C$31)</f>
        <v>0</v>
      </c>
      <c r="J14" s="77">
        <f>J11*(SUP_OPEX!$C$30+SUP_OPEX!$C$31)</f>
        <v>8029.236715181225</v>
      </c>
      <c r="K14" s="77">
        <f>K11*(SUP_OPEX!$C$30+SUP_OPEX!$C$31)</f>
        <v>9749.7874398629174</v>
      </c>
      <c r="L14" s="77">
        <f>L11*(SUP_OPEX!$C$30+SUP_OPEX!$C$31)</f>
        <v>11470.33816454461</v>
      </c>
      <c r="M14" s="77">
        <f>M11*(SUP_OPEX!$C$30+SUP_OPEX!$C$31)</f>
        <v>11470.33816454461</v>
      </c>
      <c r="N14" s="77">
        <f>N11*(SUP_OPEX!$C$30+SUP_OPEX!$C$31)</f>
        <v>11470.33816454461</v>
      </c>
      <c r="O14" s="77">
        <f>O11*(SUP_OPEX!$C$30+SUP_OPEX!$C$31)</f>
        <v>11470.33816454461</v>
      </c>
      <c r="P14" s="77">
        <f>P11*(SUP_OPEX!$C$30+SUP_OPEX!$C$31)</f>
        <v>11470.33816454461</v>
      </c>
      <c r="Q14" s="77">
        <f>Q11*(SUP_OPEX!$C$30+SUP_OPEX!$C$31)</f>
        <v>11470.33816454461</v>
      </c>
      <c r="R14" s="77">
        <f>R11*(SUP_OPEX!$C$30+SUP_OPEX!$C$31)</f>
        <v>11470.33816454461</v>
      </c>
      <c r="S14" s="77">
        <f>S11*(SUP_OPEX!$C$30+SUP_OPEX!$C$31)</f>
        <v>11470.33816454461</v>
      </c>
      <c r="T14" s="77">
        <f>T11*(SUP_OPEX!$C$30+SUP_OPEX!$C$31)</f>
        <v>11470.33816454461</v>
      </c>
      <c r="U14" s="77">
        <f>U11*(SUP_OPEX!$C$30+SUP_OPEX!$C$31)</f>
        <v>11470.33816454461</v>
      </c>
      <c r="V14" s="77">
        <f>V11*(SUP_OPEX!$C$30+SUP_OPEX!$C$31)</f>
        <v>11470.33816454461</v>
      </c>
      <c r="W14" s="77">
        <f>W11*(SUP_OPEX!$C$30+SUP_OPEX!$C$31)</f>
        <v>11470.33816454461</v>
      </c>
      <c r="X14" s="77">
        <f>X11*(SUP_OPEX!$C$30+SUP_OPEX!$C$31)</f>
        <v>11470.33816454461</v>
      </c>
      <c r="Y14" s="77">
        <f>Y11*(SUP_OPEX!$C$30+SUP_OPEX!$C$31)</f>
        <v>11470.33816454461</v>
      </c>
      <c r="Z14" s="77">
        <f>Z11*(SUP_OPEX!$C$30+SUP_OPEX!$C$31)</f>
        <v>11470.33816454461</v>
      </c>
      <c r="AA14" s="77">
        <f>AA11*(SUP_OPEX!$C$30+SUP_OPEX!$C$31)</f>
        <v>11470.33816454461</v>
      </c>
      <c r="AB14" s="77">
        <f>AB11*(SUP_OPEX!$C$30+SUP_OPEX!$C$31)</f>
        <v>11470.33816454461</v>
      </c>
      <c r="AC14" s="77">
        <f>AC11*(SUP_OPEX!$C$30+SUP_OPEX!$C$31)</f>
        <v>11470.33816454461</v>
      </c>
      <c r="AD14" s="77">
        <f>AD11*(SUP_OPEX!$C$30+SUP_OPEX!$C$31)</f>
        <v>11470.33816454461</v>
      </c>
      <c r="AE14" s="77">
        <f>AE11*(SUP_OPEX!$C$30+SUP_OPEX!$C$31)</f>
        <v>11470.33816454461</v>
      </c>
      <c r="AF14" s="77">
        <f>AF11*(SUP_OPEX!$C$30+SUP_OPEX!$C$31)</f>
        <v>11470.33816454461</v>
      </c>
      <c r="AG14" s="77">
        <f>AG11*(SUP_OPEX!$C$30+SUP_OPEX!$C$31)</f>
        <v>11470.33816454461</v>
      </c>
      <c r="AH14" s="77">
        <f>AH11*(SUP_OPEX!$C$30+SUP_OPEX!$C$31)</f>
        <v>11470.33816454461</v>
      </c>
      <c r="AI14" s="77">
        <f>AI11*(SUP_OPEX!$C$30+SUP_OPEX!$C$31)</f>
        <v>11470.33816454461</v>
      </c>
      <c r="AJ14" s="77">
        <f>AJ11*(SUP_OPEX!$C$30+SUP_OPEX!$C$31)</f>
        <v>11470.33816454461</v>
      </c>
      <c r="AK14" s="77">
        <f>AK11*(SUP_OPEX!$C$30+SUP_OPEX!$C$31)</f>
        <v>11470.33816454461</v>
      </c>
      <c r="AL14" s="77">
        <f>AL11*(SUP_OPEX!$C$30+SUP_OPEX!$C$31)</f>
        <v>11470.33816454461</v>
      </c>
      <c r="AM14" s="77">
        <f>AM11*(SUP_OPEX!$C$30+SUP_OPEX!$C$31)</f>
        <v>11470.33816454461</v>
      </c>
      <c r="AN14" s="77">
        <f>AN11*(SUP_OPEX!$C$30+SUP_OPEX!$C$31)</f>
        <v>11470.33816454461</v>
      </c>
      <c r="AO14" s="77">
        <f>AO11*(SUP_OPEX!$C$30+SUP_OPEX!$C$31)</f>
        <v>11470.33816454461</v>
      </c>
      <c r="AP14" s="77">
        <f>AP11*(SUP_OPEX!$C$30+SUP_OPEX!$C$31)</f>
        <v>11470.33816454461</v>
      </c>
      <c r="AQ14" s="77">
        <f>AQ11*(SUP_OPEX!$C$30+SUP_OPEX!$C$31)</f>
        <v>11470.33816454461</v>
      </c>
      <c r="AR14" s="77">
        <f>AR11*(SUP_OPEX!$C$30+SUP_OPEX!$C$31)</f>
        <v>11470.33816454461</v>
      </c>
      <c r="AS14" s="77">
        <f>AS11*(SUP_OPEX!$C$30+SUP_OPEX!$C$31)</f>
        <v>11470.33816454461</v>
      </c>
      <c r="AT14" s="77">
        <f>AT11*(SUP_OPEX!$C$30+SUP_OPEX!$C$31)</f>
        <v>11470.33816454461</v>
      </c>
      <c r="AU14" s="77">
        <f>AU11*(SUP_OPEX!$C$30+SUP_OPEX!$C$31)</f>
        <v>11470.33816454461</v>
      </c>
      <c r="AV14" s="77">
        <f>AV11*(SUP_OPEX!$C$30+SUP_OPEX!$C$31)</f>
        <v>11470.33816454461</v>
      </c>
      <c r="AW14" s="77">
        <f>AW11*(SUP_OPEX!$C$30+SUP_OPEX!$C$31)</f>
        <v>11470.33816454461</v>
      </c>
      <c r="AX14" s="77">
        <f>AX11*(SUP_OPEX!$C$30+SUP_OPEX!$C$31)</f>
        <v>11470.33816454461</v>
      </c>
      <c r="AY14" s="77">
        <f>AY11*(SUP_OPEX!$C$30+SUP_OPEX!$C$31)</f>
        <v>11470.33816454461</v>
      </c>
      <c r="AZ14" s="77">
        <f>AZ11*(SUP_OPEX!$C$30+SUP_OPEX!$C$31)</f>
        <v>11470.33816454461</v>
      </c>
      <c r="BA14" s="77">
        <f>BA11*(SUP_OPEX!$C$30+SUP_OPEX!$C$31)</f>
        <v>11470.33816454461</v>
      </c>
      <c r="BB14" s="77">
        <f>BB11*(SUP_OPEX!$C$30+SUP_OPEX!$C$31)</f>
        <v>11470.33816454461</v>
      </c>
      <c r="BC14" s="77">
        <f>BC11*(SUP_OPEX!$C$30+SUP_OPEX!$C$31)</f>
        <v>11470.33816454461</v>
      </c>
      <c r="BD14" s="77">
        <f>BD11*(SUP_OPEX!$C$30+SUP_OPEX!$C$31)</f>
        <v>11470.33816454461</v>
      </c>
      <c r="BE14" s="77">
        <f>BE11*(SUP_OPEX!$C$30+SUP_OPEX!$C$31)</f>
        <v>11470.33816454461</v>
      </c>
      <c r="BF14" s="77">
        <f>BF11*(SUP_OPEX!$C$30+SUP_OPEX!$C$31)</f>
        <v>11470.33816454461</v>
      </c>
      <c r="BG14" s="77">
        <f>BG11*(SUP_OPEX!$C$30+SUP_OPEX!$C$31)</f>
        <v>11470.33816454461</v>
      </c>
      <c r="BH14" s="77">
        <f>BH11*(SUP_OPEX!$C$30+SUP_OPEX!$C$31)</f>
        <v>11470.33816454461</v>
      </c>
      <c r="BI14" s="77">
        <f>BI11*(SUP_OPEX!$C$30+SUP_OPEX!$C$31)</f>
        <v>11470.33816454461</v>
      </c>
      <c r="BJ14" s="77">
        <f>BJ11*(SUP_OPEX!$C$30+SUP_OPEX!$C$31)</f>
        <v>11470.33816454461</v>
      </c>
      <c r="BK14" s="77">
        <f>BK11*(SUP_OPEX!$C$30+SUP_OPEX!$C$31)</f>
        <v>11470.33816454461</v>
      </c>
      <c r="BL14" s="77">
        <f>BL11*(SUP_OPEX!$C$30+SUP_OPEX!$C$31)</f>
        <v>11470.33816454461</v>
      </c>
      <c r="BM14" s="77">
        <f>BM11*(SUP_OPEX!$C$30+SUP_OPEX!$C$31)</f>
        <v>11470.33816454461</v>
      </c>
      <c r="BN14" s="77">
        <f>BN11*(SUP_OPEX!$C$30+SUP_OPEX!$C$31)</f>
        <v>11470.33816454461</v>
      </c>
      <c r="BO14" s="77">
        <f>BO11*(SUP_OPEX!$C$30+SUP_OPEX!$C$31)</f>
        <v>11470.33816454461</v>
      </c>
      <c r="BP14" s="77">
        <f>BP11*(SUP_OPEX!$C$30+SUP_OPEX!$C$31)</f>
        <v>11470.33816454461</v>
      </c>
      <c r="BQ14" s="77">
        <f>BQ11*(SUP_OPEX!$C$30+SUP_OPEX!$C$31)</f>
        <v>11470.33816454461</v>
      </c>
      <c r="BR14" s="77">
        <f>BR11*(SUP_OPEX!$C$30+SUP_OPEX!$C$31)</f>
        <v>11470.33816454461</v>
      </c>
      <c r="BS14" s="77">
        <f>BS11*(SUP_OPEX!$C$30+SUP_OPEX!$C$31)</f>
        <v>11470.33816454461</v>
      </c>
      <c r="BT14" s="77">
        <f>BT11*(SUP_OPEX!$C$30+SUP_OPEX!$C$31)</f>
        <v>11470.33816454461</v>
      </c>
      <c r="BU14" s="77">
        <f>BU11*(SUP_OPEX!$C$30+SUP_OPEX!$C$31)</f>
        <v>11470.33816454461</v>
      </c>
      <c r="BV14" s="77">
        <f>BV11*(SUP_OPEX!$C$30+SUP_OPEX!$C$31)</f>
        <v>11470.33816454461</v>
      </c>
      <c r="BW14" s="77">
        <f>BW11*(SUP_OPEX!$C$30+SUP_OPEX!$C$31)</f>
        <v>11470.33816454461</v>
      </c>
      <c r="BX14" s="77">
        <f>BX11*(SUP_OPEX!$C$30+SUP_OPEX!$C$31)</f>
        <v>11470.33816454461</v>
      </c>
      <c r="BY14" s="77">
        <f>BY11*(SUP_OPEX!$C$30+SUP_OPEX!$C$31)</f>
        <v>11470.33816454461</v>
      </c>
      <c r="BZ14" s="77">
        <f>BZ11*(SUP_OPEX!$C$30+SUP_OPEX!$C$31)</f>
        <v>11470.33816454461</v>
      </c>
      <c r="CA14" s="77">
        <f>CA11*(SUP_OPEX!$C$30+SUP_OPEX!$C$31)</f>
        <v>11470.33816454461</v>
      </c>
      <c r="CB14" s="77">
        <f>CB11*(SUP_OPEX!$C$30+SUP_OPEX!$C$31)</f>
        <v>11470.33816454461</v>
      </c>
      <c r="CC14" s="77">
        <f>CC11*(SUP_OPEX!$C$30+SUP_OPEX!$C$31)</f>
        <v>11470.33816454461</v>
      </c>
      <c r="CD14" s="77">
        <f>CD11*(SUP_OPEX!$C$30+SUP_OPEX!$C$31)</f>
        <v>11470.33816454461</v>
      </c>
      <c r="CE14" s="77">
        <f>CE11*(SUP_OPEX!$C$30+SUP_OPEX!$C$31)</f>
        <v>11470.33816454461</v>
      </c>
      <c r="CF14" s="77">
        <f>CF11*(SUP_OPEX!$C$30+SUP_OPEX!$C$31)</f>
        <v>11470.33816454461</v>
      </c>
      <c r="CG14" s="77">
        <f>CG11*(SUP_OPEX!$C$30+SUP_OPEX!$C$31)</f>
        <v>11470.33816454461</v>
      </c>
      <c r="CH14" s="77">
        <f>CH11*(SUP_OPEX!$C$30+SUP_OPEX!$C$31)</f>
        <v>11470.33816454461</v>
      </c>
      <c r="CI14" s="77">
        <f>CI11*(SUP_OPEX!$C$30+SUP_OPEX!$C$31)</f>
        <v>11470.33816454461</v>
      </c>
      <c r="CJ14" s="77">
        <f>CJ11*(SUP_OPEX!$C$30+SUP_OPEX!$C$31)</f>
        <v>11470.33816454461</v>
      </c>
      <c r="CK14" s="77">
        <f>CK11*(SUP_OPEX!$C$30+SUP_OPEX!$C$31)</f>
        <v>11470.33816454461</v>
      </c>
      <c r="CL14" s="77">
        <f>CL11*(SUP_OPEX!$C$30+SUP_OPEX!$C$31)</f>
        <v>11470.33816454461</v>
      </c>
      <c r="CM14" s="77">
        <f>CM11*(SUP_OPEX!$C$30+SUP_OPEX!$C$31)</f>
        <v>11470.33816454461</v>
      </c>
      <c r="CN14" s="77">
        <f>CN11*(SUP_OPEX!$C$30+SUP_OPEX!$C$31)</f>
        <v>11470.33816454461</v>
      </c>
      <c r="CO14" s="77">
        <f>CO11*(SUP_OPEX!$C$30+SUP_OPEX!$C$31)</f>
        <v>11470.33816454461</v>
      </c>
      <c r="CP14" s="77">
        <f>CP11*(SUP_OPEX!$C$30+SUP_OPEX!$C$31)</f>
        <v>11470.33816454461</v>
      </c>
      <c r="CQ14" s="77">
        <f>CQ11*(SUP_OPEX!$C$30+SUP_OPEX!$C$31)</f>
        <v>11470.33816454461</v>
      </c>
      <c r="CR14" s="77">
        <f>CR11*(SUP_OPEX!$C$30+SUP_OPEX!$C$31)</f>
        <v>11470.33816454461</v>
      </c>
      <c r="CS14" s="77">
        <f>CS11*(SUP_OPEX!$C$30+SUP_OPEX!$C$31)</f>
        <v>11470.33816454461</v>
      </c>
      <c r="CT14" s="77">
        <f>CT11*(SUP_OPEX!$C$30+SUP_OPEX!$C$31)</f>
        <v>11470.33816454461</v>
      </c>
      <c r="CU14" s="77">
        <f>CU11*(SUP_OPEX!$C$30+SUP_OPEX!$C$31)</f>
        <v>11470.33816454461</v>
      </c>
      <c r="CV14" s="77">
        <f>CV11*(SUP_OPEX!$C$30+SUP_OPEX!$C$31)</f>
        <v>11470.33816454461</v>
      </c>
      <c r="CW14" s="77">
        <f>CW11*(SUP_OPEX!$C$30+SUP_OPEX!$C$31)</f>
        <v>11470.33816454461</v>
      </c>
      <c r="CX14" s="77">
        <f>CX11*(SUP_OPEX!$C$30+SUP_OPEX!$C$31)</f>
        <v>11470.33816454461</v>
      </c>
      <c r="CY14" s="77">
        <f>CY11*(SUP_OPEX!$C$30+SUP_OPEX!$C$31)</f>
        <v>11470.33816454461</v>
      </c>
      <c r="CZ14" s="77">
        <f>CZ11*(SUP_OPEX!$C$30+SUP_OPEX!$C$31)</f>
        <v>11470.33816454461</v>
      </c>
      <c r="DA14" s="77">
        <f>DA11*(SUP_OPEX!$C$30+SUP_OPEX!$C$31)</f>
        <v>11470.33816454461</v>
      </c>
      <c r="DB14" s="77">
        <f>DB11*(SUP_OPEX!$C$30+SUP_OPEX!$C$31)</f>
        <v>11470.33816454461</v>
      </c>
      <c r="DC14" s="77">
        <f>DC11*(SUP_OPEX!$C$30+SUP_OPEX!$C$31)</f>
        <v>11470.33816454461</v>
      </c>
      <c r="DD14" s="77">
        <f>DD11*(SUP_OPEX!$C$30+SUP_OPEX!$C$31)</f>
        <v>11470.33816454461</v>
      </c>
      <c r="DE14" s="77">
        <f>DE11*(SUP_OPEX!$C$30+SUP_OPEX!$C$31)</f>
        <v>11470.33816454461</v>
      </c>
      <c r="DF14" s="77">
        <f>DF11*(SUP_OPEX!$C$30+SUP_OPEX!$C$31)</f>
        <v>11470.33816454461</v>
      </c>
      <c r="DG14" s="77">
        <f>DG11*(SUP_OPEX!$C$30+SUP_OPEX!$C$31)</f>
        <v>11470.33816454461</v>
      </c>
      <c r="DH14" s="77">
        <f>DH11*(SUP_OPEX!$C$30+SUP_OPEX!$C$31)</f>
        <v>11470.33816454461</v>
      </c>
      <c r="DI14" s="77">
        <f>DI11*(SUP_OPEX!$C$30+SUP_OPEX!$C$31)</f>
        <v>11470.33816454461</v>
      </c>
      <c r="DJ14" s="77">
        <f>DJ11*(SUP_OPEX!$C$30+SUP_OPEX!$C$31)</f>
        <v>11470.33816454461</v>
      </c>
      <c r="DK14" s="77">
        <f>DK11*(SUP_OPEX!$C$30+SUP_OPEX!$C$31)</f>
        <v>11470.33816454461</v>
      </c>
      <c r="DL14" s="77">
        <f>DL11*(SUP_OPEX!$C$30+SUP_OPEX!$C$31)</f>
        <v>11470.33816454461</v>
      </c>
      <c r="DM14" s="77">
        <f>DM11*(SUP_OPEX!$C$30+SUP_OPEX!$C$31)</f>
        <v>11470.33816454461</v>
      </c>
      <c r="DN14" s="77">
        <f>DN11*(SUP_OPEX!$C$30+SUP_OPEX!$C$31)</f>
        <v>11470.33816454461</v>
      </c>
      <c r="DO14" s="77">
        <f>DO11*(SUP_OPEX!$C$30+SUP_OPEX!$C$31)</f>
        <v>11470.33816454461</v>
      </c>
      <c r="DP14" s="77">
        <f>DP11*(SUP_OPEX!$C$30+SUP_OPEX!$C$31)</f>
        <v>11470.33816454461</v>
      </c>
      <c r="DQ14" s="77">
        <f>DQ11*(SUP_OPEX!$C$30+SUP_OPEX!$C$31)</f>
        <v>11470.33816454461</v>
      </c>
      <c r="DR14" s="77">
        <f>DR11*(SUP_OPEX!$C$30+SUP_OPEX!$C$31)</f>
        <v>11470.33816454461</v>
      </c>
      <c r="DS14" s="77">
        <f>DS11*(SUP_OPEX!$C$30+SUP_OPEX!$C$31)</f>
        <v>11470.33816454461</v>
      </c>
    </row>
    <row r="15" spans="1:123" ht="15" customHeight="1" x14ac:dyDescent="0.2">
      <c r="B15" s="37" t="s">
        <v>941</v>
      </c>
      <c r="D15" s="77">
        <f>D6*SUP_OPEX!$F$23</f>
        <v>0</v>
      </c>
      <c r="E15" s="77">
        <f>E6*SUP_OPEX!$F$23</f>
        <v>0</v>
      </c>
      <c r="F15" s="77">
        <f>F6*SUP_OPEX!$F$23</f>
        <v>0</v>
      </c>
      <c r="G15" s="77">
        <f>G6*SUP_OPEX!$F$23</f>
        <v>0</v>
      </c>
      <c r="H15" s="77">
        <f>H6*SUP_OPEX!$F$23</f>
        <v>0</v>
      </c>
      <c r="I15" s="77">
        <f>I6*SUP_OPEX!$F$23</f>
        <v>0</v>
      </c>
      <c r="J15" s="77">
        <f>J6*SUP_OPEX!$F$23</f>
        <v>18645</v>
      </c>
      <c r="K15" s="77">
        <f>K6*SUP_OPEX!$F$23</f>
        <v>18645</v>
      </c>
      <c r="L15" s="77">
        <f>L6*SUP_OPEX!$F$23</f>
        <v>18645</v>
      </c>
      <c r="M15" s="77">
        <f>M6*SUP_OPEX!$F$23</f>
        <v>18645</v>
      </c>
      <c r="N15" s="77">
        <f>N6*SUP_OPEX!$F$23</f>
        <v>18645</v>
      </c>
      <c r="O15" s="77">
        <f>O6*SUP_OPEX!$F$23</f>
        <v>18645</v>
      </c>
      <c r="P15" s="77">
        <f>P6*SUP_OPEX!$F$23</f>
        <v>18645</v>
      </c>
      <c r="Q15" s="77">
        <f>Q6*SUP_OPEX!$F$23</f>
        <v>18645</v>
      </c>
      <c r="R15" s="77">
        <f>R6*SUP_OPEX!$F$23</f>
        <v>18645</v>
      </c>
      <c r="S15" s="77">
        <f>S6*SUP_OPEX!$F$23</f>
        <v>18645</v>
      </c>
      <c r="T15" s="77">
        <f>T6*SUP_OPEX!$F$23</f>
        <v>18645</v>
      </c>
      <c r="U15" s="77">
        <f>U6*SUP_OPEX!$F$23</f>
        <v>18645</v>
      </c>
      <c r="V15" s="77">
        <f>V6*SUP_OPEX!$F$23</f>
        <v>18645</v>
      </c>
      <c r="W15" s="77">
        <f>W6*SUP_OPEX!$F$23</f>
        <v>18645</v>
      </c>
      <c r="X15" s="77">
        <f>X6*SUP_OPEX!$F$23</f>
        <v>18645</v>
      </c>
      <c r="Y15" s="77">
        <f>Y6*SUP_OPEX!$F$23</f>
        <v>18645</v>
      </c>
      <c r="Z15" s="77">
        <f>Z6*SUP_OPEX!$F$23</f>
        <v>18645</v>
      </c>
      <c r="AA15" s="77">
        <f>AA6*SUP_OPEX!$F$23</f>
        <v>18645</v>
      </c>
      <c r="AB15" s="77">
        <f>AB6*SUP_OPEX!$F$23</f>
        <v>18645</v>
      </c>
      <c r="AC15" s="77">
        <f>AC6*SUP_OPEX!$F$23</f>
        <v>18645</v>
      </c>
      <c r="AD15" s="77">
        <f>AD6*SUP_OPEX!$F$23</f>
        <v>18645</v>
      </c>
      <c r="AE15" s="77">
        <f>AE6*SUP_OPEX!$F$23</f>
        <v>18645</v>
      </c>
      <c r="AF15" s="77">
        <f>AF6*SUP_OPEX!$F$23</f>
        <v>18645</v>
      </c>
      <c r="AG15" s="77">
        <f>AG6*SUP_OPEX!$F$23</f>
        <v>18645</v>
      </c>
      <c r="AH15" s="77">
        <f>AH6*SUP_OPEX!$F$23</f>
        <v>18645</v>
      </c>
      <c r="AI15" s="77">
        <f>AI6*SUP_OPEX!$F$23</f>
        <v>18645</v>
      </c>
      <c r="AJ15" s="77">
        <f>AJ6*SUP_OPEX!$F$23</f>
        <v>18645</v>
      </c>
      <c r="AK15" s="77">
        <f>AK6*SUP_OPEX!$F$23</f>
        <v>18645</v>
      </c>
      <c r="AL15" s="77">
        <f>AL6*SUP_OPEX!$F$23</f>
        <v>18645</v>
      </c>
      <c r="AM15" s="77">
        <f>AM6*SUP_OPEX!$F$23</f>
        <v>18645</v>
      </c>
      <c r="AN15" s="77">
        <f>AN6*SUP_OPEX!$F$23</f>
        <v>18645</v>
      </c>
      <c r="AO15" s="77">
        <f>AO6*SUP_OPEX!$F$23</f>
        <v>18645</v>
      </c>
      <c r="AP15" s="77">
        <f>AP6*SUP_OPEX!$F$23</f>
        <v>18645</v>
      </c>
      <c r="AQ15" s="77">
        <f>AQ6*SUP_OPEX!$F$23</f>
        <v>18645</v>
      </c>
      <c r="AR15" s="77">
        <f>AR6*SUP_OPEX!$F$23</f>
        <v>18645</v>
      </c>
      <c r="AS15" s="77">
        <f>AS6*SUP_OPEX!$F$23</f>
        <v>18645</v>
      </c>
      <c r="AT15" s="77">
        <f>AT6*SUP_OPEX!$F$23</f>
        <v>18645</v>
      </c>
      <c r="AU15" s="77">
        <f>AU6*SUP_OPEX!$F$23</f>
        <v>18645</v>
      </c>
      <c r="AV15" s="77">
        <f>AV6*SUP_OPEX!$F$23</f>
        <v>18645</v>
      </c>
      <c r="AW15" s="77">
        <f>AW6*SUP_OPEX!$F$23</f>
        <v>18645</v>
      </c>
      <c r="AX15" s="77">
        <f>AX6*SUP_OPEX!$F$23</f>
        <v>18645</v>
      </c>
      <c r="AY15" s="77">
        <f>AY6*SUP_OPEX!$F$23</f>
        <v>18645</v>
      </c>
      <c r="AZ15" s="77">
        <f>AZ6*SUP_OPEX!$F$23</f>
        <v>18645</v>
      </c>
      <c r="BA15" s="77">
        <f>BA6*SUP_OPEX!$F$23</f>
        <v>18645</v>
      </c>
      <c r="BB15" s="77">
        <f>BB6*SUP_OPEX!$F$23</f>
        <v>18645</v>
      </c>
      <c r="BC15" s="77">
        <f>BC6*SUP_OPEX!$F$23</f>
        <v>18645</v>
      </c>
      <c r="BD15" s="77">
        <f>BD6*SUP_OPEX!$F$23</f>
        <v>18645</v>
      </c>
      <c r="BE15" s="77">
        <f>BE6*SUP_OPEX!$F$23</f>
        <v>18645</v>
      </c>
      <c r="BF15" s="77">
        <f>BF6*SUP_OPEX!$F$23</f>
        <v>18645</v>
      </c>
      <c r="BG15" s="77">
        <f>BG6*SUP_OPEX!$F$23</f>
        <v>18645</v>
      </c>
      <c r="BH15" s="77">
        <f>BH6*SUP_OPEX!$F$23</f>
        <v>18645</v>
      </c>
      <c r="BI15" s="77">
        <f>BI6*SUP_OPEX!$F$23</f>
        <v>18645</v>
      </c>
      <c r="BJ15" s="77">
        <f>BJ6*SUP_OPEX!$F$23</f>
        <v>18645</v>
      </c>
      <c r="BK15" s="77">
        <f>BK6*SUP_OPEX!$F$23</f>
        <v>18645</v>
      </c>
      <c r="BL15" s="77">
        <f>BL6*SUP_OPEX!$F$23</f>
        <v>18645</v>
      </c>
      <c r="BM15" s="77">
        <f>BM6*SUP_OPEX!$F$23</f>
        <v>18645</v>
      </c>
      <c r="BN15" s="77">
        <f>BN6*SUP_OPEX!$F$23</f>
        <v>18645</v>
      </c>
      <c r="BO15" s="77">
        <f>BO6*SUP_OPEX!$F$23</f>
        <v>18645</v>
      </c>
      <c r="BP15" s="77">
        <f>BP6*SUP_OPEX!$F$23</f>
        <v>18645</v>
      </c>
      <c r="BQ15" s="77">
        <f>BQ6*SUP_OPEX!$F$23</f>
        <v>18645</v>
      </c>
      <c r="BR15" s="77">
        <f>BR6*SUP_OPEX!$F$23</f>
        <v>18645</v>
      </c>
      <c r="BS15" s="77">
        <f>BS6*SUP_OPEX!$F$23</f>
        <v>18645</v>
      </c>
      <c r="BT15" s="77">
        <f>BT6*SUP_OPEX!$F$23</f>
        <v>18645</v>
      </c>
      <c r="BU15" s="77">
        <f>BU6*SUP_OPEX!$F$23</f>
        <v>18645</v>
      </c>
      <c r="BV15" s="77">
        <f>BV6*SUP_OPEX!$F$23</f>
        <v>18645</v>
      </c>
      <c r="BW15" s="77">
        <f>BW6*SUP_OPEX!$F$23</f>
        <v>18645</v>
      </c>
      <c r="BX15" s="77">
        <f>BX6*SUP_OPEX!$F$23</f>
        <v>18645</v>
      </c>
      <c r="BY15" s="77">
        <f>BY6*SUP_OPEX!$F$23</f>
        <v>18645</v>
      </c>
      <c r="BZ15" s="77">
        <f>BZ6*SUP_OPEX!$F$23</f>
        <v>18645</v>
      </c>
      <c r="CA15" s="77">
        <f>CA6*SUP_OPEX!$F$23</f>
        <v>18645</v>
      </c>
      <c r="CB15" s="77">
        <f>CB6*SUP_OPEX!$F$23</f>
        <v>18645</v>
      </c>
      <c r="CC15" s="77">
        <f>CC6*SUP_OPEX!$F$23</f>
        <v>18645</v>
      </c>
      <c r="CD15" s="77">
        <f>CD6*SUP_OPEX!$F$23</f>
        <v>18645</v>
      </c>
      <c r="CE15" s="77">
        <f>CE6*SUP_OPEX!$F$23</f>
        <v>18645</v>
      </c>
      <c r="CF15" s="77">
        <f>CF6*SUP_OPEX!$F$23</f>
        <v>18645</v>
      </c>
      <c r="CG15" s="77">
        <f>CG6*SUP_OPEX!$F$23</f>
        <v>18645</v>
      </c>
      <c r="CH15" s="77">
        <f>CH6*SUP_OPEX!$F$23</f>
        <v>18645</v>
      </c>
      <c r="CI15" s="77">
        <f>CI6*SUP_OPEX!$F$23</f>
        <v>18645</v>
      </c>
      <c r="CJ15" s="77">
        <f>CJ6*SUP_OPEX!$F$23</f>
        <v>18645</v>
      </c>
      <c r="CK15" s="77">
        <f>CK6*SUP_OPEX!$F$23</f>
        <v>18645</v>
      </c>
      <c r="CL15" s="77">
        <f>CL6*SUP_OPEX!$F$23</f>
        <v>18645</v>
      </c>
      <c r="CM15" s="77">
        <f>CM6*SUP_OPEX!$F$23</f>
        <v>18645</v>
      </c>
      <c r="CN15" s="77">
        <f>CN6*SUP_OPEX!$F$23</f>
        <v>18645</v>
      </c>
      <c r="CO15" s="77">
        <f>CO6*SUP_OPEX!$F$23</f>
        <v>18645</v>
      </c>
      <c r="CP15" s="77">
        <f>CP6*SUP_OPEX!$F$23</f>
        <v>18645</v>
      </c>
      <c r="CQ15" s="77">
        <f>CQ6*SUP_OPEX!$F$23</f>
        <v>18645</v>
      </c>
      <c r="CR15" s="77">
        <f>CR6*SUP_OPEX!$F$23</f>
        <v>18645</v>
      </c>
      <c r="CS15" s="77">
        <f>CS6*SUP_OPEX!$F$23</f>
        <v>18645</v>
      </c>
      <c r="CT15" s="77">
        <f>CT6*SUP_OPEX!$F$23</f>
        <v>18645</v>
      </c>
      <c r="CU15" s="77">
        <f>CU6*SUP_OPEX!$F$23</f>
        <v>18645</v>
      </c>
      <c r="CV15" s="77">
        <f>CV6*SUP_OPEX!$F$23</f>
        <v>18645</v>
      </c>
      <c r="CW15" s="77">
        <f>CW6*SUP_OPEX!$F$23</f>
        <v>18645</v>
      </c>
      <c r="CX15" s="77">
        <f>CX6*SUP_OPEX!$F$23</f>
        <v>18645</v>
      </c>
      <c r="CY15" s="77">
        <f>CY6*SUP_OPEX!$F$23</f>
        <v>18645</v>
      </c>
      <c r="CZ15" s="77">
        <f>CZ6*SUP_OPEX!$F$23</f>
        <v>18645</v>
      </c>
      <c r="DA15" s="77">
        <f>DA6*SUP_OPEX!$F$23</f>
        <v>18645</v>
      </c>
      <c r="DB15" s="77">
        <f>DB6*SUP_OPEX!$F$23</f>
        <v>18645</v>
      </c>
      <c r="DC15" s="77">
        <f>DC6*SUP_OPEX!$F$23</f>
        <v>18645</v>
      </c>
      <c r="DD15" s="77">
        <f>DD6*SUP_OPEX!$F$23</f>
        <v>18645</v>
      </c>
      <c r="DE15" s="77">
        <f>DE6*SUP_OPEX!$F$23</f>
        <v>18645</v>
      </c>
      <c r="DF15" s="77">
        <f>DF6*SUP_OPEX!$F$23</f>
        <v>18645</v>
      </c>
      <c r="DG15" s="77">
        <f>DG6*SUP_OPEX!$F$23</f>
        <v>18645</v>
      </c>
      <c r="DH15" s="77">
        <f>DH6*SUP_OPEX!$F$23</f>
        <v>18645</v>
      </c>
      <c r="DI15" s="77">
        <f>DI6*SUP_OPEX!$F$23</f>
        <v>18645</v>
      </c>
      <c r="DJ15" s="77">
        <f>DJ6*SUP_OPEX!$F$23</f>
        <v>18645</v>
      </c>
      <c r="DK15" s="77">
        <f>DK6*SUP_OPEX!$F$23</f>
        <v>18645</v>
      </c>
      <c r="DL15" s="77">
        <f>DL6*SUP_OPEX!$F$23</f>
        <v>18645</v>
      </c>
      <c r="DM15" s="77">
        <f>DM6*SUP_OPEX!$F$23</f>
        <v>18645</v>
      </c>
      <c r="DN15" s="77">
        <f>DN6*SUP_OPEX!$F$23</f>
        <v>18645</v>
      </c>
      <c r="DO15" s="77">
        <f>DO6*SUP_OPEX!$F$23</f>
        <v>18645</v>
      </c>
      <c r="DP15" s="77">
        <f>DP6*SUP_OPEX!$F$23</f>
        <v>18645</v>
      </c>
      <c r="DQ15" s="77">
        <f>DQ6*SUP_OPEX!$F$23</f>
        <v>18645</v>
      </c>
      <c r="DR15" s="77">
        <f>DR6*SUP_OPEX!$F$23</f>
        <v>18645</v>
      </c>
      <c r="DS15" s="77">
        <f>DS6*SUP_OPEX!$F$23</f>
        <v>18645</v>
      </c>
    </row>
    <row r="16" spans="1:123" ht="15" customHeight="1" x14ac:dyDescent="0.2">
      <c r="B16" s="37" t="s">
        <v>1838</v>
      </c>
      <c r="D16" s="77">
        <f>D12*PROD_DEMANDA!D16</f>
        <v>0</v>
      </c>
      <c r="E16" s="77">
        <f>E12*PROD_DEMANDA!E16</f>
        <v>0</v>
      </c>
      <c r="F16" s="77">
        <f>F12*PROD_DEMANDA!F16</f>
        <v>0</v>
      </c>
      <c r="G16" s="77">
        <f>G12*PROD_DEMANDA!G16</f>
        <v>0</v>
      </c>
      <c r="H16" s="77">
        <f>H12*PROD_DEMANDA!H16</f>
        <v>0</v>
      </c>
      <c r="I16" s="77">
        <f>I12*PROD_DEMANDA!I16</f>
        <v>0</v>
      </c>
      <c r="J16" s="77">
        <f>J12*PROD_DEMANDA!J16</f>
        <v>565.65599999999984</v>
      </c>
      <c r="K16" s="77">
        <f>K12*PROD_DEMANDA!K16</f>
        <v>686.86799999999994</v>
      </c>
      <c r="L16" s="77">
        <f>L12*PROD_DEMANDA!L16</f>
        <v>808.07999999999993</v>
      </c>
      <c r="M16" s="77">
        <f>M12*PROD_DEMANDA!M16</f>
        <v>808.07999999999993</v>
      </c>
      <c r="N16" s="77">
        <f>N12*PROD_DEMANDA!N16</f>
        <v>808.07999999999993</v>
      </c>
      <c r="O16" s="77">
        <f>O12*PROD_DEMANDA!O16</f>
        <v>808.07999999999993</v>
      </c>
      <c r="P16" s="77">
        <f>P12*PROD_DEMANDA!P16</f>
        <v>808.07999999999993</v>
      </c>
      <c r="Q16" s="77">
        <f>Q12*PROD_DEMANDA!Q16</f>
        <v>808.07999999999993</v>
      </c>
      <c r="R16" s="77">
        <f>R12*PROD_DEMANDA!R16</f>
        <v>808.07999999999993</v>
      </c>
      <c r="S16" s="77">
        <f>S12*PROD_DEMANDA!S16</f>
        <v>808.07999999999993</v>
      </c>
      <c r="T16" s="77">
        <f>T12*PROD_DEMANDA!T16</f>
        <v>808.07999999999993</v>
      </c>
      <c r="U16" s="77">
        <f>U12*PROD_DEMANDA!U16</f>
        <v>808.07999999999993</v>
      </c>
      <c r="V16" s="77">
        <f>V12*PROD_DEMANDA!V16</f>
        <v>808.07999999999993</v>
      </c>
      <c r="W16" s="77">
        <f>W12*PROD_DEMANDA!W16</f>
        <v>808.07999999999993</v>
      </c>
      <c r="X16" s="77">
        <f>X12*PROD_DEMANDA!X16</f>
        <v>808.07999999999993</v>
      </c>
      <c r="Y16" s="77">
        <f>Y12*PROD_DEMANDA!Y16</f>
        <v>808.07999999999993</v>
      </c>
      <c r="Z16" s="77">
        <f>Z12*PROD_DEMANDA!Z16</f>
        <v>808.07999999999993</v>
      </c>
      <c r="AA16" s="77">
        <f>AA12*PROD_DEMANDA!AA16</f>
        <v>1084.320287769784</v>
      </c>
      <c r="AB16" s="77">
        <f>AB12*PROD_DEMANDA!AB16</f>
        <v>1084.320287769784</v>
      </c>
      <c r="AC16" s="77">
        <f>AC12*PROD_DEMANDA!AC16</f>
        <v>1084.320287769784</v>
      </c>
      <c r="AD16" s="77">
        <f>AD12*PROD_DEMANDA!AD16</f>
        <v>1090.5091093410572</v>
      </c>
      <c r="AE16" s="77">
        <f>AE12*PROD_DEMANDA!AE16</f>
        <v>1090.5091093410572</v>
      </c>
      <c r="AF16" s="77">
        <f>AF12*PROD_DEMANDA!AF16</f>
        <v>1036.9572246772821</v>
      </c>
      <c r="AG16" s="77">
        <f>AG12*PROD_DEMANDA!AG16</f>
        <v>989.08764306473427</v>
      </c>
      <c r="AH16" s="77">
        <f>AH12*PROD_DEMANDA!AH16</f>
        <v>974.32658511917248</v>
      </c>
      <c r="AI16" s="77">
        <f>AI12*PROD_DEMANDA!AI16</f>
        <v>931.08411475459286</v>
      </c>
      <c r="AJ16" s="77">
        <f>AJ12*PROD_DEMANDA!AJ16</f>
        <v>891.23538042699511</v>
      </c>
      <c r="AK16" s="77">
        <f>AK12*PROD_DEMANDA!AK16</f>
        <v>880.86428490672688</v>
      </c>
      <c r="AL16" s="77">
        <f>AL12*PROD_DEMANDA!AL16</f>
        <v>880.2742159963849</v>
      </c>
      <c r="AM16" s="77">
        <f>AM12*PROD_DEMANDA!AM16</f>
        <v>844.47094774567438</v>
      </c>
      <c r="AN16" s="77">
        <f>AN12*PROD_DEMANDA!AN16</f>
        <v>815.24848091443653</v>
      </c>
      <c r="AO16" s="77">
        <f>AO12*PROD_DEMANDA!AO16</f>
        <v>785.74735587736257</v>
      </c>
      <c r="AP16" s="77">
        <f>AP12*PROD_DEMANDA!AP16</f>
        <v>755.92224917932481</v>
      </c>
      <c r="AQ16" s="77">
        <f>AQ12*PROD_DEMANDA!AQ16</f>
        <v>746.39999907315155</v>
      </c>
      <c r="AR16" s="77">
        <f>AR12*PROD_DEMANDA!AR16</f>
        <v>719.63016291083613</v>
      </c>
      <c r="AS16" s="77">
        <f>AS12*PROD_DEMANDA!AS16</f>
        <v>712.49201848998473</v>
      </c>
      <c r="AT16" s="77">
        <f>AT12*PROD_DEMANDA!AT16</f>
        <v>694.43133471009548</v>
      </c>
      <c r="AU16" s="77">
        <f>AU12*PROD_DEMANDA!AU16</f>
        <v>674.32003556718428</v>
      </c>
      <c r="AV16" s="77">
        <f>AV12*PROD_DEMANDA!AV16</f>
        <v>669.15787180629229</v>
      </c>
      <c r="AW16" s="77">
        <f>AW12*PROD_DEMANDA!AW16</f>
        <v>1018.7111821907899</v>
      </c>
      <c r="AX16" s="77">
        <f>AX12*PROD_DEMANDA!AX16</f>
        <v>1015.3669358099318</v>
      </c>
      <c r="AY16" s="77">
        <f>AY12*PROD_DEMANDA!AY16</f>
        <v>1015.3669358099318</v>
      </c>
      <c r="AZ16" s="77">
        <f>AZ12*PROD_DEMANDA!AZ16</f>
        <v>1015.3669358099318</v>
      </c>
      <c r="BA16" s="77">
        <f>BA12*PROD_DEMANDA!BA16</f>
        <v>1028.6982054616385</v>
      </c>
      <c r="BB16" s="77">
        <f>BB12*PROD_DEMANDA!BB16</f>
        <v>1028.6982054616385</v>
      </c>
      <c r="BC16" s="77">
        <f>BC12*PROD_DEMANDA!BC16</f>
        <v>1028.6982054616385</v>
      </c>
      <c r="BD16" s="77">
        <f>BD12*PROD_DEMANDA!BD16</f>
        <v>987.2609951945434</v>
      </c>
      <c r="BE16" s="77">
        <f>BE12*PROD_DEMANDA!BE16</f>
        <v>959.32952395232019</v>
      </c>
      <c r="BF16" s="77">
        <f>BF12*PROD_DEMANDA!BF16</f>
        <v>937.29213768446391</v>
      </c>
      <c r="BG16" s="77">
        <f>BG12*PROD_DEMANDA!BG16</f>
        <v>908.21116979009173</v>
      </c>
      <c r="BH16" s="77">
        <f>BH12*PROD_DEMANDA!BH16</f>
        <v>883.79468264777972</v>
      </c>
      <c r="BI16" s="77">
        <f>BI12*PROD_DEMANDA!BI16</f>
        <v>860.87244099686427</v>
      </c>
      <c r="BJ16" s="77">
        <f>BJ12*PROD_DEMANDA!BJ16</f>
        <v>835.97580338215835</v>
      </c>
      <c r="BK16" s="77">
        <f>BK12*PROD_DEMANDA!BK16</f>
        <v>825.73895361109726</v>
      </c>
      <c r="BL16" s="77">
        <f>BL12*PROD_DEMANDA!BL16</f>
        <v>806.60806704620427</v>
      </c>
      <c r="BM16" s="77">
        <f>BM12*PROD_DEMANDA!BM16</f>
        <v>788.50786495482646</v>
      </c>
      <c r="BN16" s="77">
        <f>BN12*PROD_DEMANDA!BN16</f>
        <v>768.69307219679763</v>
      </c>
      <c r="BO16" s="77">
        <f>BO12*PROD_DEMANDA!BO16</f>
        <v>752.3244164944748</v>
      </c>
      <c r="BP16" s="77">
        <f>BP12*PROD_DEMANDA!BP16</f>
        <v>744.28741282613987</v>
      </c>
      <c r="BQ16" s="77">
        <f>BQ12*PROD_DEMANDA!BQ16</f>
        <v>729.60019280822598</v>
      </c>
      <c r="BR16" s="77">
        <f>BR12*PROD_DEMANDA!BR16</f>
        <v>713.42290464487201</v>
      </c>
      <c r="BS16" s="77">
        <f>BS12*PROD_DEMANDA!BS16</f>
        <v>691.9298201602852</v>
      </c>
      <c r="BT16" s="77">
        <f>BT12*PROD_DEMANDA!BT16</f>
        <v>677.88585279615211</v>
      </c>
      <c r="BU16" s="77">
        <f>BU12*PROD_DEMANDA!BU16</f>
        <v>671.95333781061117</v>
      </c>
      <c r="BV16" s="77">
        <f>BV12*PROD_DEMANDA!BV16</f>
        <v>659.95905449770191</v>
      </c>
      <c r="BW16" s="77">
        <f>BW12*PROD_DEMANDA!BW16</f>
        <v>647.5214329255856</v>
      </c>
      <c r="BX16" s="77">
        <f>BX12*PROD_DEMANDA!BX16</f>
        <v>637.1179660397612</v>
      </c>
      <c r="BY16" s="77">
        <f>BY12*PROD_DEMANDA!BY16</f>
        <v>627.26877793202289</v>
      </c>
      <c r="BZ16" s="77">
        <f>BZ12*PROD_DEMANDA!BZ16</f>
        <v>616.33338470969454</v>
      </c>
      <c r="CA16" s="77">
        <f>CA12*PROD_DEMANDA!CA16</f>
        <v>604.70721884894624</v>
      </c>
      <c r="CB16" s="77">
        <f>CB12*PROD_DEMANDA!CB16</f>
        <v>687.35587234862135</v>
      </c>
      <c r="CC16" s="77">
        <f>CC12*PROD_DEMANDA!CC16</f>
        <v>682.72985592931832</v>
      </c>
      <c r="CD16" s="77">
        <f>CD12*PROD_DEMANDA!CD16</f>
        <v>680.54055743941785</v>
      </c>
      <c r="CE16" s="77">
        <f>CE12*PROD_DEMANDA!CE16</f>
        <v>679.59413474240432</v>
      </c>
      <c r="CF16" s="77">
        <f>CF12*PROD_DEMANDA!CF16</f>
        <v>679.59413474240432</v>
      </c>
      <c r="CG16" s="77">
        <f>CG12*PROD_DEMANDA!CG16</f>
        <v>679.59413474240432</v>
      </c>
      <c r="CH16" s="77">
        <f>CH12*PROD_DEMANDA!CH16</f>
        <v>679.59413474240432</v>
      </c>
      <c r="CI16" s="77">
        <f>CI12*PROD_DEMANDA!CI16</f>
        <v>679.59413474240432</v>
      </c>
      <c r="CJ16" s="77">
        <f>CJ12*PROD_DEMANDA!CJ16</f>
        <v>679.59413474240432</v>
      </c>
      <c r="CK16" s="77">
        <f>CK12*PROD_DEMANDA!CK16</f>
        <v>679.59413474240432</v>
      </c>
      <c r="CL16" s="77">
        <f>CL12*PROD_DEMANDA!CL16</f>
        <v>679.59413474240432</v>
      </c>
      <c r="CM16" s="77">
        <f>CM12*PROD_DEMANDA!CM16</f>
        <v>679.59413474240432</v>
      </c>
      <c r="CN16" s="77">
        <f>CN12*PROD_DEMANDA!CN16</f>
        <v>679.59413474240432</v>
      </c>
      <c r="CO16" s="77">
        <f>CO12*PROD_DEMANDA!CO16</f>
        <v>679.59413474240432</v>
      </c>
      <c r="CP16" s="77">
        <f>CP12*PROD_DEMANDA!CP16</f>
        <v>679.59413474240432</v>
      </c>
      <c r="CQ16" s="77">
        <f>CQ12*PROD_DEMANDA!CQ16</f>
        <v>679.59413474240432</v>
      </c>
      <c r="CR16" s="77">
        <f>CR12*PROD_DEMANDA!CR16</f>
        <v>679.59413474240432</v>
      </c>
      <c r="CS16" s="77">
        <f>CS12*PROD_DEMANDA!CS16</f>
        <v>679.59413474240432</v>
      </c>
      <c r="CT16" s="77">
        <f>CT12*PROD_DEMANDA!CT16</f>
        <v>679.59413474240432</v>
      </c>
      <c r="CU16" s="77">
        <f>CU12*PROD_DEMANDA!CU16</f>
        <v>679.59413474240432</v>
      </c>
      <c r="CV16" s="77">
        <f>CV12*PROD_DEMANDA!CV16</f>
        <v>679.59413474240432</v>
      </c>
      <c r="CW16" s="77">
        <f>CW12*PROD_DEMANDA!CW16</f>
        <v>679.59413474240432</v>
      </c>
      <c r="CX16" s="77">
        <f>CX12*PROD_DEMANDA!CX16</f>
        <v>679.59413474240432</v>
      </c>
      <c r="CY16" s="77">
        <f>CY12*PROD_DEMANDA!CY16</f>
        <v>679.59413474240432</v>
      </c>
      <c r="CZ16" s="77">
        <f>CZ12*PROD_DEMANDA!CZ16</f>
        <v>679.59413474240432</v>
      </c>
      <c r="DA16" s="77">
        <f>DA12*PROD_DEMANDA!DA16</f>
        <v>679.59413474240432</v>
      </c>
      <c r="DB16" s="77">
        <f>DB12*PROD_DEMANDA!DB16</f>
        <v>679.59413474240432</v>
      </c>
      <c r="DC16" s="77">
        <f>DC12*PROD_DEMANDA!DC16</f>
        <v>679.59413474240432</v>
      </c>
      <c r="DD16" s="77">
        <f>DD12*PROD_DEMANDA!DD16</f>
        <v>679.59413474240432</v>
      </c>
      <c r="DE16" s="77">
        <f>DE12*PROD_DEMANDA!DE16</f>
        <v>679.59413474240432</v>
      </c>
      <c r="DF16" s="77">
        <f>DF12*PROD_DEMANDA!DF16</f>
        <v>679.59413474240432</v>
      </c>
      <c r="DG16" s="77">
        <f>DG12*PROD_DEMANDA!DG16</f>
        <v>679.59413474240432</v>
      </c>
      <c r="DH16" s="77">
        <f>DH12*PROD_DEMANDA!DH16</f>
        <v>679.59413474240432</v>
      </c>
      <c r="DI16" s="77">
        <f>DI12*PROD_DEMANDA!DI16</f>
        <v>679.59413474240432</v>
      </c>
      <c r="DJ16" s="77">
        <f>DJ12*PROD_DEMANDA!DJ16</f>
        <v>679.59413474240432</v>
      </c>
      <c r="DK16" s="77">
        <f>DK12*PROD_DEMANDA!DK16</f>
        <v>679.59413474240432</v>
      </c>
      <c r="DL16" s="77">
        <f>DL12*PROD_DEMANDA!DL16</f>
        <v>679.59413474240432</v>
      </c>
      <c r="DM16" s="77">
        <f>DM12*PROD_DEMANDA!DM16</f>
        <v>679.59413474240432</v>
      </c>
      <c r="DN16" s="77">
        <f>DN12*PROD_DEMANDA!DN16</f>
        <v>679.59413474240432</v>
      </c>
      <c r="DO16" s="77">
        <f>DO12*PROD_DEMANDA!DO16</f>
        <v>679.59413474240432</v>
      </c>
      <c r="DP16" s="77">
        <f>DP12*PROD_DEMANDA!DP16</f>
        <v>679.59413474240432</v>
      </c>
      <c r="DQ16" s="77">
        <f>DQ12*PROD_DEMANDA!DQ16</f>
        <v>679.59413474240432</v>
      </c>
      <c r="DR16" s="77">
        <f>DR12*PROD_DEMANDA!DR16</f>
        <v>679.59413474240432</v>
      </c>
      <c r="DS16" s="77">
        <f>DS12*PROD_DEMANDA!DS16</f>
        <v>679.59413474240432</v>
      </c>
    </row>
    <row r="17" spans="1:123" ht="15" customHeight="1" x14ac:dyDescent="0.2">
      <c r="B17" s="37" t="s">
        <v>1936</v>
      </c>
      <c r="D17" s="77">
        <f>D12*PROD_DEMANDA!D18</f>
        <v>0</v>
      </c>
      <c r="E17" s="77">
        <f>E12*PROD_DEMANDA!E18</f>
        <v>0</v>
      </c>
      <c r="F17" s="77">
        <f>F12*PROD_DEMANDA!F18</f>
        <v>0</v>
      </c>
      <c r="G17" s="77">
        <f>G12*PROD_DEMANDA!G18</f>
        <v>0</v>
      </c>
      <c r="H17" s="77">
        <f>H12*PROD_DEMANDA!H18</f>
        <v>0</v>
      </c>
      <c r="I17" s="77">
        <f>I12*PROD_DEMANDA!I18</f>
        <v>0</v>
      </c>
      <c r="J17" s="77">
        <f>J12*PROD_DEMANDA!J18</f>
        <v>2284.7377900136794</v>
      </c>
      <c r="K17" s="77">
        <f>K12*PROD_DEMANDA!K18</f>
        <v>2132.4489347826084</v>
      </c>
      <c r="L17" s="77">
        <f>L12*PROD_DEMANDA!L18</f>
        <v>2352.1543625118934</v>
      </c>
      <c r="M17" s="77">
        <f>M12*PROD_DEMANDA!M18</f>
        <v>2277.6323623853209</v>
      </c>
      <c r="N17" s="77">
        <f>N12*PROD_DEMANDA!N18</f>
        <v>2277.6323623853209</v>
      </c>
      <c r="O17" s="77">
        <f>O12*PROD_DEMANDA!O18</f>
        <v>2277.6323623853209</v>
      </c>
      <c r="P17" s="77">
        <f>P12*PROD_DEMANDA!P18</f>
        <v>2277.6323623853209</v>
      </c>
      <c r="Q17" s="77">
        <f>Q12*PROD_DEMANDA!Q18</f>
        <v>2277.6323623853209</v>
      </c>
      <c r="R17" s="77">
        <f>R12*PROD_DEMANDA!R18</f>
        <v>2277.6323623853209</v>
      </c>
      <c r="S17" s="77">
        <f>S12*PROD_DEMANDA!S18</f>
        <v>2277.6323623853209</v>
      </c>
      <c r="T17" s="77">
        <f>T12*PROD_DEMANDA!T18</f>
        <v>2164.6127056277051</v>
      </c>
      <c r="U17" s="77">
        <f>U12*PROD_DEMANDA!U18</f>
        <v>2140.3145940170939</v>
      </c>
      <c r="V17" s="77">
        <f>V12*PROD_DEMANDA!V18</f>
        <v>2027.6064859437749</v>
      </c>
      <c r="W17" s="77">
        <f>W12*PROD_DEMANDA!W18</f>
        <v>1909.0730149812732</v>
      </c>
      <c r="X17" s="77">
        <f>X12*PROD_DEMANDA!X18</f>
        <v>1878.931231617647</v>
      </c>
      <c r="Y17" s="77">
        <f>Y12*PROD_DEMANDA!Y18</f>
        <v>1855.6041123188402</v>
      </c>
      <c r="Z17" s="77">
        <f>Z12*PROD_DEMANDA!Z18</f>
        <v>1844.1922841726616</v>
      </c>
      <c r="AA17" s="77">
        <f>AA12*PROD_DEMANDA!AA18</f>
        <v>2421.1707014388485</v>
      </c>
      <c r="AB17" s="77">
        <f>AB12*PROD_DEMANDA!AB18</f>
        <v>2421.1707014388485</v>
      </c>
      <c r="AC17" s="77">
        <f>AC12*PROD_DEMANDA!AC18</f>
        <v>2421.1707014388485</v>
      </c>
      <c r="AD17" s="77">
        <f>AD12*PROD_DEMANDA!AD18</f>
        <v>2435.1940876176682</v>
      </c>
      <c r="AE17" s="77">
        <f>AE12*PROD_DEMANDA!AE18</f>
        <v>2435.1940876176682</v>
      </c>
      <c r="AF17" s="77">
        <f>AF12*PROD_DEMANDA!AF18</f>
        <v>2313.8497007105434</v>
      </c>
      <c r="AG17" s="77">
        <f>AG12*PROD_DEMANDA!AG18</f>
        <v>2205.3809685875735</v>
      </c>
      <c r="AH17" s="77">
        <f>AH12*PROD_DEMANDA!AH18</f>
        <v>2171.9335644905827</v>
      </c>
      <c r="AI17" s="77">
        <f>AI12*PROD_DEMANDA!AI18</f>
        <v>2073.949504962442</v>
      </c>
      <c r="AJ17" s="77">
        <f>AJ12*PROD_DEMANDA!AJ18</f>
        <v>1983.655386158475</v>
      </c>
      <c r="AK17" s="77">
        <f>AK12*PROD_DEMANDA!AK18</f>
        <v>1960.1552939513847</v>
      </c>
      <c r="AL17" s="77">
        <f>AL12*PROD_DEMANDA!AL18</f>
        <v>1958.8182438996835</v>
      </c>
      <c r="AM17" s="77">
        <f>AM12*PROD_DEMANDA!AM18</f>
        <v>1877.6908351739057</v>
      </c>
      <c r="AN17" s="77">
        <f>AN12*PROD_DEMANDA!AN18</f>
        <v>1811.4750083395418</v>
      </c>
      <c r="AO17" s="77">
        <f>AO12*PROD_DEMANDA!AO18</f>
        <v>1744.6277637809258</v>
      </c>
      <c r="AP17" s="77">
        <f>AP12*PROD_DEMANDA!AP18</f>
        <v>1677.0464020896329</v>
      </c>
      <c r="AQ17" s="77">
        <f>AQ12*PROD_DEMANDA!AQ18</f>
        <v>1655.4697272748338</v>
      </c>
      <c r="AR17" s="77">
        <f>AR12*PROD_DEMANDA!AR18</f>
        <v>1594.811369924477</v>
      </c>
      <c r="AS17" s="77">
        <f>AS12*PROD_DEMANDA!AS18</f>
        <v>1578.6368923343607</v>
      </c>
      <c r="AT17" s="77">
        <f>AT12*PROD_DEMANDA!AT18</f>
        <v>1537.7127938800522</v>
      </c>
      <c r="AU17" s="77">
        <f>AU12*PROD_DEMANDA!AU18</f>
        <v>1492.1421612174606</v>
      </c>
      <c r="AV17" s="77">
        <f>AV12*PROD_DEMANDA!AV18</f>
        <v>1480.4451014293234</v>
      </c>
      <c r="AW17" s="77">
        <f>AW12*PROD_DEMANDA!AW18</f>
        <v>2052.6987748131478</v>
      </c>
      <c r="AX17" s="77">
        <f>AX12*PROD_DEMANDA!AX18</f>
        <v>2045.952492143872</v>
      </c>
      <c r="AY17" s="77">
        <f>AY12*PROD_DEMANDA!AY18</f>
        <v>2045.952492143872</v>
      </c>
      <c r="AZ17" s="77">
        <f>AZ12*PROD_DEMANDA!AZ18</f>
        <v>2045.952492143872</v>
      </c>
      <c r="BA17" s="77">
        <f>BA12*PROD_DEMANDA!BA18</f>
        <v>2072.8454010890764</v>
      </c>
      <c r="BB17" s="77">
        <f>BB12*PROD_DEMANDA!BB18</f>
        <v>2072.8454010890764</v>
      </c>
      <c r="BC17" s="77">
        <f>BC12*PROD_DEMANDA!BC18</f>
        <v>2072.8454010890764</v>
      </c>
      <c r="BD17" s="77">
        <f>BD12*PROD_DEMANDA!BD18</f>
        <v>1989.2549290807626</v>
      </c>
      <c r="BE17" s="77">
        <f>BE12*PROD_DEMANDA!BE18</f>
        <v>1932.9093196641425</v>
      </c>
      <c r="BF17" s="77">
        <f>BF12*PROD_DEMANDA!BF18</f>
        <v>1888.4537323288519</v>
      </c>
      <c r="BG17" s="77">
        <f>BG12*PROD_DEMANDA!BG18</f>
        <v>1829.7892658485985</v>
      </c>
      <c r="BH17" s="77">
        <f>BH12*PROD_DEMANDA!BH18</f>
        <v>1780.534364955053</v>
      </c>
      <c r="BI17" s="77">
        <f>BI12*PROD_DEMANDA!BI18</f>
        <v>1734.2937762006932</v>
      </c>
      <c r="BJ17" s="77">
        <f>BJ12*PROD_DEMANDA!BJ18</f>
        <v>1684.0702771712276</v>
      </c>
      <c r="BK17" s="77">
        <f>BK12*PROD_DEMANDA!BK18</f>
        <v>1663.4196807935871</v>
      </c>
      <c r="BL17" s="77">
        <f>BL12*PROD_DEMANDA!BL18</f>
        <v>1624.8273183350843</v>
      </c>
      <c r="BM17" s="77">
        <f>BM12*PROD_DEMANDA!BM18</f>
        <v>1588.3141354612458</v>
      </c>
      <c r="BN17" s="77">
        <f>BN12*PROD_DEMANDA!BN18</f>
        <v>1548.3421424454459</v>
      </c>
      <c r="BO17" s="77">
        <f>BO12*PROD_DEMANDA!BO18</f>
        <v>1515.3219741600033</v>
      </c>
      <c r="BP17" s="77">
        <f>BP12*PROD_DEMANDA!BP18</f>
        <v>1499.1090842034091</v>
      </c>
      <c r="BQ17" s="77">
        <f>BQ12*PROD_DEMANDA!BQ18</f>
        <v>1469.4808431641638</v>
      </c>
      <c r="BR17" s="77">
        <f>BR12*PROD_DEMANDA!BR18</f>
        <v>1436.8467168638444</v>
      </c>
      <c r="BS17" s="77">
        <f>BS12*PROD_DEMANDA!BS18</f>
        <v>1393.4891388463911</v>
      </c>
      <c r="BT17" s="77">
        <f>BT12*PROD_DEMANDA!BT18</f>
        <v>1365.158518776404</v>
      </c>
      <c r="BU17" s="77">
        <f>BU12*PROD_DEMANDA!BU18</f>
        <v>1353.1909725868491</v>
      </c>
      <c r="BV17" s="77">
        <f>BV12*PROD_DEMANDA!BV18</f>
        <v>1328.9951399749298</v>
      </c>
      <c r="BW17" s="77">
        <f>BW12*PROD_DEMANDA!BW18</f>
        <v>1303.9049697831497</v>
      </c>
      <c r="BX17" s="77">
        <f>BX12*PROD_DEMANDA!BX18</f>
        <v>1282.9182599659712</v>
      </c>
      <c r="BY17" s="77">
        <f>BY12*PROD_DEMANDA!BY18</f>
        <v>1263.0496858627023</v>
      </c>
      <c r="BZ17" s="77">
        <f>BZ12*PROD_DEMANDA!BZ18</f>
        <v>1240.9899314738595</v>
      </c>
      <c r="CA17" s="77">
        <f>CA12*PROD_DEMANDA!CA18</f>
        <v>1217.536694982246</v>
      </c>
      <c r="CB17" s="77">
        <f>CB12*PROD_DEMANDA!CB18</f>
        <v>1370.5283389996569</v>
      </c>
      <c r="CC17" s="77">
        <f>CC12*PROD_DEMANDA!CC18</f>
        <v>1361.3113221702777</v>
      </c>
      <c r="CD17" s="77">
        <f>CD12*PROD_DEMANDA!CD18</f>
        <v>1356.9492967910019</v>
      </c>
      <c r="CE17" s="77">
        <f>CE12*PROD_DEMANDA!CE18</f>
        <v>1355.0636152163147</v>
      </c>
      <c r="CF17" s="77">
        <f>CF12*PROD_DEMANDA!CF18</f>
        <v>1355.0636152163147</v>
      </c>
      <c r="CG17" s="77">
        <f>CG12*PROD_DEMANDA!CG18</f>
        <v>1355.0636152163147</v>
      </c>
      <c r="CH17" s="77">
        <f>CH12*PROD_DEMANDA!CH18</f>
        <v>1355.0636152163147</v>
      </c>
      <c r="CI17" s="77">
        <f>CI12*PROD_DEMANDA!CI18</f>
        <v>1355.0636152163147</v>
      </c>
      <c r="CJ17" s="77">
        <f>CJ12*PROD_DEMANDA!CJ18</f>
        <v>1355.0636152163147</v>
      </c>
      <c r="CK17" s="77">
        <f>CK12*PROD_DEMANDA!CK18</f>
        <v>1355.0636152163147</v>
      </c>
      <c r="CL17" s="77">
        <f>CL12*PROD_DEMANDA!CL18</f>
        <v>1355.0636152163147</v>
      </c>
      <c r="CM17" s="77">
        <f>CM12*PROD_DEMANDA!CM18</f>
        <v>1355.0636152163147</v>
      </c>
      <c r="CN17" s="77">
        <f>CN12*PROD_DEMANDA!CN18</f>
        <v>1355.0636152163147</v>
      </c>
      <c r="CO17" s="77">
        <f>CO12*PROD_DEMANDA!CO18</f>
        <v>1355.0636152163147</v>
      </c>
      <c r="CP17" s="77">
        <f>CP12*PROD_DEMANDA!CP18</f>
        <v>1355.0636152163147</v>
      </c>
      <c r="CQ17" s="77">
        <f>CQ12*PROD_DEMANDA!CQ18</f>
        <v>1355.0636152163147</v>
      </c>
      <c r="CR17" s="77">
        <f>CR12*PROD_DEMANDA!CR18</f>
        <v>1355.0636152163147</v>
      </c>
      <c r="CS17" s="77">
        <f>CS12*PROD_DEMANDA!CS18</f>
        <v>1355.0636152163147</v>
      </c>
      <c r="CT17" s="77">
        <f>CT12*PROD_DEMANDA!CT18</f>
        <v>1355.0636152163147</v>
      </c>
      <c r="CU17" s="77">
        <f>CU12*PROD_DEMANDA!CU18</f>
        <v>1355.0636152163147</v>
      </c>
      <c r="CV17" s="77">
        <f>CV12*PROD_DEMANDA!CV18</f>
        <v>1355.0636152163147</v>
      </c>
      <c r="CW17" s="77">
        <f>CW12*PROD_DEMANDA!CW18</f>
        <v>1355.0636152163147</v>
      </c>
      <c r="CX17" s="77">
        <f>CX12*PROD_DEMANDA!CX18</f>
        <v>1355.0636152163147</v>
      </c>
      <c r="CY17" s="77">
        <f>CY12*PROD_DEMANDA!CY18</f>
        <v>1355.0636152163147</v>
      </c>
      <c r="CZ17" s="77">
        <f>CZ12*PROD_DEMANDA!CZ18</f>
        <v>1355.0636152163147</v>
      </c>
      <c r="DA17" s="77">
        <f>DA12*PROD_DEMANDA!DA18</f>
        <v>1355.0636152163147</v>
      </c>
      <c r="DB17" s="77">
        <f>DB12*PROD_DEMANDA!DB18</f>
        <v>1355.0636152163147</v>
      </c>
      <c r="DC17" s="77">
        <f>DC12*PROD_DEMANDA!DC18</f>
        <v>1355.0636152163147</v>
      </c>
      <c r="DD17" s="77">
        <f>DD12*PROD_DEMANDA!DD18</f>
        <v>1355.0636152163147</v>
      </c>
      <c r="DE17" s="77">
        <f>DE12*PROD_DEMANDA!DE18</f>
        <v>1355.0636152163147</v>
      </c>
      <c r="DF17" s="77">
        <f>DF12*PROD_DEMANDA!DF18</f>
        <v>1355.0636152163147</v>
      </c>
      <c r="DG17" s="77">
        <f>DG12*PROD_DEMANDA!DG18</f>
        <v>1355.0636152163147</v>
      </c>
      <c r="DH17" s="77">
        <f>DH12*PROD_DEMANDA!DH18</f>
        <v>1355.0636152163147</v>
      </c>
      <c r="DI17" s="77">
        <f>DI12*PROD_DEMANDA!DI18</f>
        <v>1355.0636152163147</v>
      </c>
      <c r="DJ17" s="77">
        <f>DJ12*PROD_DEMANDA!DJ18</f>
        <v>1355.0636152163147</v>
      </c>
      <c r="DK17" s="77">
        <f>DK12*PROD_DEMANDA!DK18</f>
        <v>1355.0636152163147</v>
      </c>
      <c r="DL17" s="77">
        <f>DL12*PROD_DEMANDA!DL18</f>
        <v>1355.0636152163147</v>
      </c>
      <c r="DM17" s="77">
        <f>DM12*PROD_DEMANDA!DM18</f>
        <v>1355.0636152163147</v>
      </c>
      <c r="DN17" s="77">
        <f>DN12*PROD_DEMANDA!DN18</f>
        <v>1355.0636152163147</v>
      </c>
      <c r="DO17" s="77">
        <f>DO12*PROD_DEMANDA!DO18</f>
        <v>1355.0636152163147</v>
      </c>
      <c r="DP17" s="77">
        <f>DP12*PROD_DEMANDA!DP18</f>
        <v>1355.0636152163147</v>
      </c>
      <c r="DQ17" s="77">
        <f>DQ12*PROD_DEMANDA!DQ18</f>
        <v>1355.0636152163147</v>
      </c>
      <c r="DR17" s="77">
        <f>DR12*PROD_DEMANDA!DR18</f>
        <v>1355.0636152163147</v>
      </c>
      <c r="DS17" s="77">
        <f>DS12*PROD_DEMANDA!DS18</f>
        <v>1355.0636152163147</v>
      </c>
    </row>
    <row r="18" spans="1:123" ht="15" customHeight="1" x14ac:dyDescent="0.2">
      <c r="B18" s="20" t="s">
        <v>942</v>
      </c>
      <c r="D18" s="72">
        <f>D13-D14-D15-SUP_OVERHEAD!D39-D16-D17</f>
        <v>0</v>
      </c>
      <c r="E18" s="72">
        <f>E13-E14-E15-SUP_OVERHEAD!E39-E16-E17</f>
        <v>0</v>
      </c>
      <c r="F18" s="72">
        <f>F13-F14-F15-SUP_OVERHEAD!F39-F16-F17</f>
        <v>0</v>
      </c>
      <c r="G18" s="72">
        <f>G13-G14-G15-SUP_OVERHEAD!G39-G16-G17</f>
        <v>0</v>
      </c>
      <c r="H18" s="72">
        <f>H13-H14-H15-SUP_OVERHEAD!H39-H16-H17</f>
        <v>0</v>
      </c>
      <c r="I18" s="72">
        <f>I13-I14-I15-SUP_OVERHEAD!I39-I16-I17</f>
        <v>0</v>
      </c>
      <c r="J18" s="72">
        <f>J13-J14-J15-SUP_OVERHEAD!J39-J16-J17</f>
        <v>597.92879607726491</v>
      </c>
      <c r="K18" s="72">
        <f>K13-K14-K15-SUP_OVERHEAD!K39-K16-K17</f>
        <v>5363.2890626135404</v>
      </c>
      <c r="L18" s="72">
        <f>L13-L14-L15-SUP_OVERHEAD!L39-L16-L17</f>
        <v>9756.655046189464</v>
      </c>
      <c r="M18" s="72">
        <f>M13-M14-M15-SUP_OVERHEAD!M39-M16-M17</f>
        <v>9831.1770463160374</v>
      </c>
      <c r="N18" s="72">
        <f>N13-N14-N15-SUP_OVERHEAD!N39-N16-N17</f>
        <v>9831.1770463160374</v>
      </c>
      <c r="O18" s="72">
        <f>O13-O14-O15-SUP_OVERHEAD!O39-O16-O17</f>
        <v>9831.1770463160374</v>
      </c>
      <c r="P18" s="72">
        <f>P13-P14-P15-SUP_OVERHEAD!P39-P16-P17</f>
        <v>9831.1770463160374</v>
      </c>
      <c r="Q18" s="72">
        <f>Q13-Q14-Q15-SUP_OVERHEAD!Q39-Q16-Q17</f>
        <v>9831.1770463160374</v>
      </c>
      <c r="R18" s="72">
        <f>R13-R14-R15-SUP_OVERHEAD!R39-R16-R17</f>
        <v>9831.1770463160374</v>
      </c>
      <c r="S18" s="72">
        <f>S13-S14-S15-SUP_OVERHEAD!S39-S16-S17</f>
        <v>9831.1770463160374</v>
      </c>
      <c r="T18" s="72">
        <f>T13-T14-T15-SUP_OVERHEAD!T39-T16-T17</f>
        <v>9944.1967030736523</v>
      </c>
      <c r="U18" s="72">
        <f>U13-U14-U15-SUP_OVERHEAD!U39-U16-U17</f>
        <v>9968.4948146842635</v>
      </c>
      <c r="V18" s="72">
        <f>V13-V14-V15-SUP_OVERHEAD!V39-V16-V17</f>
        <v>10081.202922757582</v>
      </c>
      <c r="W18" s="72">
        <f>W13-W14-W15-SUP_OVERHEAD!W39-W16-W17</f>
        <v>10199.736393720084</v>
      </c>
      <c r="X18" s="72">
        <f>X13-X14-X15-SUP_OVERHEAD!X39-X16-X17</f>
        <v>10229.87817708371</v>
      </c>
      <c r="Y18" s="72">
        <f>Y13-Y14-Y15-SUP_OVERHEAD!Y39-Y16-Y17</f>
        <v>10253.205296382517</v>
      </c>
      <c r="Z18" s="72">
        <f>Z13-Z14-Z15-SUP_OVERHEAD!Z39-Z16-Z17</f>
        <v>10264.617124528697</v>
      </c>
      <c r="AA18" s="72">
        <f>AA13-AA14-AA15-SUP_OVERHEAD!AA39-AA16-AA17</f>
        <v>9411.3984194927252</v>
      </c>
      <c r="AB18" s="72">
        <f>AB13-AB14-AB15-SUP_OVERHEAD!AB39-AB16-AB17</f>
        <v>9411.3984194927252</v>
      </c>
      <c r="AC18" s="72">
        <f>AC13-AC14-AC15-SUP_OVERHEAD!AC39-AC16-AC17</f>
        <v>9411.3984194927252</v>
      </c>
      <c r="AD18" s="72">
        <f>AD13-AD14-AD15-SUP_OVERHEAD!AD39-AD16-AD17</f>
        <v>9391.1862117426317</v>
      </c>
      <c r="AE18" s="72">
        <f>AE13-AE14-AE15-SUP_OVERHEAD!AE39-AE16-AE17</f>
        <v>9391.1862117426317</v>
      </c>
      <c r="AF18" s="72">
        <f>AF13-AF14-AF15-SUP_OVERHEAD!AF39-AF16-AF17</f>
        <v>9566.0824833135321</v>
      </c>
      <c r="AG18" s="72">
        <f>AG13-AG14-AG15-SUP_OVERHEAD!AG39-AG16-AG17</f>
        <v>9722.4207970490497</v>
      </c>
      <c r="AH18" s="72">
        <f>AH13-AH14-AH15-SUP_OVERHEAD!AH39-AH16-AH17</f>
        <v>9770.6292590916037</v>
      </c>
      <c r="AI18" s="72">
        <f>AI13-AI14-AI15-SUP_OVERHEAD!AI39-AI16-AI17</f>
        <v>9911.8557889843232</v>
      </c>
      <c r="AJ18" s="72">
        <f>AJ13-AJ14-AJ15-SUP_OVERHEAD!AJ39-AJ16-AJ17</f>
        <v>10041.998642115888</v>
      </c>
      <c r="AK18" s="72">
        <f>AK13-AK14-AK15-SUP_OVERHEAD!AK39-AK16-AK17</f>
        <v>10075.869829843246</v>
      </c>
      <c r="AL18" s="72">
        <f>AL13-AL14-AL15-SUP_OVERHEAD!AL39-AL16-AL17</f>
        <v>10077.79694880529</v>
      </c>
      <c r="AM18" s="72">
        <f>AM13-AM14-AM15-SUP_OVERHEAD!AM39-AM16-AM17</f>
        <v>10194.727625781778</v>
      </c>
      <c r="AN18" s="72">
        <f>AN13-AN14-AN15-SUP_OVERHEAD!AN39-AN16-AN17</f>
        <v>10290.16591944738</v>
      </c>
      <c r="AO18" s="72">
        <f>AO13-AO14-AO15-SUP_OVERHEAD!AO39-AO16-AO17</f>
        <v>10386.514289043071</v>
      </c>
      <c r="AP18" s="72">
        <f>AP13-AP14-AP15-SUP_OVERHEAD!AP39-AP16-AP17</f>
        <v>10483.920757432401</v>
      </c>
      <c r="AQ18" s="72">
        <f>AQ13-AQ14-AQ15-SUP_OVERHEAD!AQ39-AQ16-AQ17</f>
        <v>10515.019682353372</v>
      </c>
      <c r="AR18" s="72">
        <f>AR13-AR14-AR15-SUP_OVERHEAD!AR39-AR16-AR17</f>
        <v>10602.447875866044</v>
      </c>
      <c r="AS18" s="72">
        <f>AS13-AS14-AS15-SUP_OVERHEAD!AS39-AS16-AS17</f>
        <v>10625.76049787701</v>
      </c>
      <c r="AT18" s="72">
        <f>AT13-AT14-AT15-SUP_OVERHEAD!AT39-AT16-AT17</f>
        <v>10684.745280111209</v>
      </c>
      <c r="AU18" s="72">
        <f>AU13-AU14-AU15-SUP_OVERHEAD!AU39-AU16-AU17</f>
        <v>10750.427211916714</v>
      </c>
      <c r="AV18" s="72">
        <f>AV13-AV14-AV15-SUP_OVERHEAD!AV39-AV16-AV17</f>
        <v>10767.286435465743</v>
      </c>
      <c r="AW18" s="72">
        <f>AW13-AW14-AW15-SUP_OVERHEAD!AW39-AW16-AW17</f>
        <v>9845.4794516974216</v>
      </c>
      <c r="AX18" s="72">
        <f>AX13-AX14-AX15-SUP_OVERHEAD!AX39-AX16-AX17</f>
        <v>9855.5699807475539</v>
      </c>
      <c r="AY18" s="72">
        <f>AY13-AY14-AY15-SUP_OVERHEAD!AY39-AY16-AY17</f>
        <v>9855.5699807475539</v>
      </c>
      <c r="AZ18" s="72">
        <f>AZ13-AZ14-AZ15-SUP_OVERHEAD!AZ39-AZ16-AZ17</f>
        <v>9855.5699807475539</v>
      </c>
      <c r="BA18" s="72">
        <f>BA13-BA14-BA15-SUP_OVERHEAD!BA39-BA16-BA17</f>
        <v>9815.3458021506431</v>
      </c>
      <c r="BB18" s="72">
        <f>BB13-BB14-BB15-SUP_OVERHEAD!BB39-BB16-BB17</f>
        <v>9815.3458021506431</v>
      </c>
      <c r="BC18" s="72">
        <f>BC13-BC14-BC15-SUP_OVERHEAD!BC39-BC16-BC17</f>
        <v>9815.3458021506431</v>
      </c>
      <c r="BD18" s="72">
        <f>BD13-BD14-BD15-SUP_OVERHEAD!BD39-BD16-BD17</f>
        <v>9940.3734844260525</v>
      </c>
      <c r="BE18" s="72">
        <f>BE13-BE14-BE15-SUP_OVERHEAD!BE39-BE16-BE17</f>
        <v>10024.650565084896</v>
      </c>
      <c r="BF18" s="72">
        <f>BF13-BF14-BF15-SUP_OVERHEAD!BF39-BF16-BF17</f>
        <v>10091.143538688042</v>
      </c>
      <c r="BG18" s="72">
        <f>BG13-BG14-BG15-SUP_OVERHEAD!BG39-BG16-BG17</f>
        <v>10178.888973062669</v>
      </c>
      <c r="BH18" s="72">
        <f>BH13-BH14-BH15-SUP_OVERHEAD!BH39-BH16-BH17</f>
        <v>10252.560361098525</v>
      </c>
      <c r="BI18" s="72">
        <f>BI13-BI14-BI15-SUP_OVERHEAD!BI39-BI16-BI17</f>
        <v>10321.723191503801</v>
      </c>
      <c r="BJ18" s="72">
        <f>BJ13-BJ14-BJ15-SUP_OVERHEAD!BJ39-BJ16-BJ17</f>
        <v>10396.843328147972</v>
      </c>
      <c r="BK18" s="72">
        <f>BK13-BK14-BK15-SUP_OVERHEAD!BK39-BK16-BK17</f>
        <v>10427.730774296673</v>
      </c>
      <c r="BL18" s="72">
        <f>BL13-BL14-BL15-SUP_OVERHEAD!BL39-BL16-BL17</f>
        <v>10485.45402332007</v>
      </c>
      <c r="BM18" s="72">
        <f>BM13-BM14-BM15-SUP_OVERHEAD!BM39-BM16-BM17</f>
        <v>10540.067408285286</v>
      </c>
      <c r="BN18" s="72">
        <f>BN13-BN14-BN15-SUP_OVERHEAD!BN39-BN16-BN17</f>
        <v>10599.854194059113</v>
      </c>
      <c r="BO18" s="72">
        <f>BO13-BO14-BO15-SUP_OVERHEAD!BO39-BO16-BO17</f>
        <v>10649.24301804688</v>
      </c>
      <c r="BP18" s="72">
        <f>BP13-BP14-BP15-SUP_OVERHEAD!BP39-BP16-BP17</f>
        <v>10673.492911671809</v>
      </c>
      <c r="BQ18" s="72">
        <f>BQ13-BQ14-BQ15-SUP_OVERHEAD!BQ39-BQ16-BQ17</f>
        <v>10717.808372728969</v>
      </c>
      <c r="BR18" s="72">
        <f>BR13-BR14-BR15-SUP_OVERHEAD!BR39-BR16-BR17</f>
        <v>10766.619787192642</v>
      </c>
      <c r="BS18" s="72">
        <f>BS13-BS14-BS15-SUP_OVERHEAD!BS39-BS16-BS17</f>
        <v>10831.470449694682</v>
      </c>
      <c r="BT18" s="72">
        <f>BT13-BT14-BT15-SUP_OVERHEAD!BT39-BT16-BT17</f>
        <v>10873.845037128802</v>
      </c>
      <c r="BU18" s="72">
        <f>BU13-BU14-BU15-SUP_OVERHEAD!BU39-BU16-BU17</f>
        <v>10891.745098303898</v>
      </c>
      <c r="BV18" s="72">
        <f>BV13-BV14-BV15-SUP_OVERHEAD!BV39-BV16-BV17</f>
        <v>10927.935214228726</v>
      </c>
      <c r="BW18" s="72">
        <f>BW13-BW14-BW15-SUP_OVERHEAD!BW39-BW16-BW17</f>
        <v>10965.463005992624</v>
      </c>
      <c r="BX18" s="72">
        <f>BX13-BX14-BX15-SUP_OVERHEAD!BX39-BX16-BX17</f>
        <v>10996.853182695626</v>
      </c>
      <c r="BY18" s="72">
        <f>BY13-BY14-BY15-SUP_OVERHEAD!BY39-BY16-BY17</f>
        <v>11026.570944906633</v>
      </c>
      <c r="BZ18" s="72">
        <f>BZ13-BZ14-BZ15-SUP_OVERHEAD!BZ39-BZ16-BZ17</f>
        <v>11059.566092517804</v>
      </c>
      <c r="CA18" s="72">
        <f>CA13-CA14-CA15-SUP_OVERHEAD!CA39-CA16-CA17</f>
        <v>11094.645494870167</v>
      </c>
      <c r="CB18" s="72">
        <f>CB13-CB14-CB15-SUP_OVERHEAD!CB39-CB16-CB17</f>
        <v>10859.005197353079</v>
      </c>
      <c r="CC18" s="72">
        <f>CC13-CC14-CC15-SUP_OVERHEAD!CC39-CC16-CC17</f>
        <v>10872.848230601763</v>
      </c>
      <c r="CD18" s="72">
        <f>CD13-CD14-CD15-SUP_OVERHEAD!CD39-CD16-CD17</f>
        <v>10879.39955447094</v>
      </c>
      <c r="CE18" s="72">
        <f>CE13-CE14-CE15-SUP_OVERHEAD!CE39-CE16-CE17</f>
        <v>10882.231658742638</v>
      </c>
      <c r="CF18" s="72">
        <f>CF13-CF14-CF15-SUP_OVERHEAD!CF39-CF16-CF17</f>
        <v>10882.231658742638</v>
      </c>
      <c r="CG18" s="72">
        <f>CG13-CG14-CG15-SUP_OVERHEAD!CG39-CG16-CG17</f>
        <v>10882.231658742638</v>
      </c>
      <c r="CH18" s="72">
        <f>CH13-CH14-CH15-SUP_OVERHEAD!CH39-CH16-CH17</f>
        <v>10882.231658742638</v>
      </c>
      <c r="CI18" s="72">
        <f>CI13-CI14-CI15-SUP_OVERHEAD!CI39-CI16-CI17</f>
        <v>10882.231658742638</v>
      </c>
      <c r="CJ18" s="72">
        <f>CJ13-CJ14-CJ15-SUP_OVERHEAD!CJ39-CJ16-CJ17</f>
        <v>10882.231658742638</v>
      </c>
      <c r="CK18" s="72">
        <f>CK13-CK14-CK15-SUP_OVERHEAD!CK39-CK16-CK17</f>
        <v>10882.231658742638</v>
      </c>
      <c r="CL18" s="72">
        <f>CL13-CL14-CL15-SUP_OVERHEAD!CL39-CL16-CL17</f>
        <v>10882.231658742638</v>
      </c>
      <c r="CM18" s="72">
        <f>CM13-CM14-CM15-SUP_OVERHEAD!CM39-CM16-CM17</f>
        <v>10882.231658742638</v>
      </c>
      <c r="CN18" s="72">
        <f>CN13-CN14-CN15-SUP_OVERHEAD!CN39-CN16-CN17</f>
        <v>10882.231658742638</v>
      </c>
      <c r="CO18" s="72">
        <f>CO13-CO14-CO15-SUP_OVERHEAD!CO39-CO16-CO17</f>
        <v>10882.231658742638</v>
      </c>
      <c r="CP18" s="72">
        <f>CP13-CP14-CP15-SUP_OVERHEAD!CP39-CP16-CP17</f>
        <v>10882.231658742638</v>
      </c>
      <c r="CQ18" s="72">
        <f>CQ13-CQ14-CQ15-SUP_OVERHEAD!CQ39-CQ16-CQ17</f>
        <v>10882.231658742638</v>
      </c>
      <c r="CR18" s="72">
        <f>CR13-CR14-CR15-SUP_OVERHEAD!CR39-CR16-CR17</f>
        <v>10882.231658742638</v>
      </c>
      <c r="CS18" s="72">
        <f>CS13-CS14-CS15-SUP_OVERHEAD!CS39-CS16-CS17</f>
        <v>10882.231658742638</v>
      </c>
      <c r="CT18" s="72">
        <f>CT13-CT14-CT15-SUP_OVERHEAD!CT39-CT16-CT17</f>
        <v>10882.231658742638</v>
      </c>
      <c r="CU18" s="72">
        <f>CU13-CU14-CU15-SUP_OVERHEAD!CU39-CU16-CU17</f>
        <v>10882.231658742638</v>
      </c>
      <c r="CV18" s="72">
        <f>CV13-CV14-CV15-SUP_OVERHEAD!CV39-CV16-CV17</f>
        <v>10882.231658742638</v>
      </c>
      <c r="CW18" s="72">
        <f>CW13-CW14-CW15-SUP_OVERHEAD!CW39-CW16-CW17</f>
        <v>10882.231658742638</v>
      </c>
      <c r="CX18" s="72">
        <f>CX13-CX14-CX15-SUP_OVERHEAD!CX39-CX16-CX17</f>
        <v>10882.231658742638</v>
      </c>
      <c r="CY18" s="72">
        <f>CY13-CY14-CY15-SUP_OVERHEAD!CY39-CY16-CY17</f>
        <v>10882.231658742638</v>
      </c>
      <c r="CZ18" s="72">
        <f>CZ13-CZ14-CZ15-SUP_OVERHEAD!CZ39-CZ16-CZ17</f>
        <v>10882.231658742638</v>
      </c>
      <c r="DA18" s="72">
        <f>DA13-DA14-DA15-SUP_OVERHEAD!DA39-DA16-DA17</f>
        <v>10882.231658742638</v>
      </c>
      <c r="DB18" s="72">
        <f>DB13-DB14-DB15-SUP_OVERHEAD!DB39-DB16-DB17</f>
        <v>10882.231658742638</v>
      </c>
      <c r="DC18" s="72">
        <f>DC13-DC14-DC15-SUP_OVERHEAD!DC39-DC16-DC17</f>
        <v>10882.231658742638</v>
      </c>
      <c r="DD18" s="72">
        <f>DD13-DD14-DD15-SUP_OVERHEAD!DD39-DD16-DD17</f>
        <v>10882.231658742638</v>
      </c>
      <c r="DE18" s="72">
        <f>DE13-DE14-DE15-SUP_OVERHEAD!DE39-DE16-DE17</f>
        <v>10882.231658742638</v>
      </c>
      <c r="DF18" s="72">
        <f>DF13-DF14-DF15-SUP_OVERHEAD!DF39-DF16-DF17</f>
        <v>10882.231658742638</v>
      </c>
      <c r="DG18" s="72">
        <f>DG13-DG14-DG15-SUP_OVERHEAD!DG39-DG16-DG17</f>
        <v>10882.231658742638</v>
      </c>
      <c r="DH18" s="72">
        <f>DH13-DH14-DH15-SUP_OVERHEAD!DH39-DH16-DH17</f>
        <v>10882.231658742638</v>
      </c>
      <c r="DI18" s="72">
        <f>DI13-DI14-DI15-SUP_OVERHEAD!DI39-DI16-DI17</f>
        <v>10882.231658742638</v>
      </c>
      <c r="DJ18" s="72">
        <f>DJ13-DJ14-DJ15-SUP_OVERHEAD!DJ39-DJ16-DJ17</f>
        <v>10882.231658742638</v>
      </c>
      <c r="DK18" s="72">
        <f>DK13-DK14-DK15-SUP_OVERHEAD!DK39-DK16-DK17</f>
        <v>10882.231658742638</v>
      </c>
      <c r="DL18" s="72">
        <f>DL13-DL14-DL15-SUP_OVERHEAD!DL39-DL16-DL17</f>
        <v>10882.231658742638</v>
      </c>
      <c r="DM18" s="72">
        <f>DM13-DM14-DM15-SUP_OVERHEAD!DM39-DM16-DM17</f>
        <v>10882.231658742638</v>
      </c>
      <c r="DN18" s="72">
        <f>DN13-DN14-DN15-SUP_OVERHEAD!DN39-DN16-DN17</f>
        <v>10882.231658742638</v>
      </c>
      <c r="DO18" s="72">
        <f>DO13-DO14-DO15-SUP_OVERHEAD!DO39-DO16-DO17</f>
        <v>10882.231658742638</v>
      </c>
      <c r="DP18" s="72">
        <f>DP13-DP14-DP15-SUP_OVERHEAD!DP39-DP16-DP17</f>
        <v>10882.231658742638</v>
      </c>
      <c r="DQ18" s="72">
        <f>DQ13-DQ14-DQ15-SUP_OVERHEAD!DQ39-DQ16-DQ17</f>
        <v>10882.231658742638</v>
      </c>
      <c r="DR18" s="72">
        <f>DR13-DR14-DR15-SUP_OVERHEAD!DR39-DR16-DR17</f>
        <v>10882.231658742638</v>
      </c>
      <c r="DS18" s="72">
        <f>DS13-DS14-DS15-SUP_OVERHEAD!DS39-DS16-DS17</f>
        <v>10882.231658742638</v>
      </c>
    </row>
    <row r="19" spans="1:123" ht="15" customHeight="1" x14ac:dyDescent="0.2">
      <c r="A19" s="25" t="s">
        <v>904</v>
      </c>
      <c r="B19" s="100" t="s">
        <v>943</v>
      </c>
      <c r="C19" s="26"/>
      <c r="D19">
        <f t="shared" ref="D19:AI19" si="4">D31+D32</f>
        <v>0</v>
      </c>
      <c r="E19">
        <f t="shared" si="4"/>
        <v>0</v>
      </c>
      <c r="F19">
        <f t="shared" si="4"/>
        <v>0</v>
      </c>
      <c r="G19">
        <f t="shared" si="4"/>
        <v>0</v>
      </c>
      <c r="H19">
        <f t="shared" si="4"/>
        <v>0</v>
      </c>
      <c r="I19">
        <f t="shared" si="4"/>
        <v>0</v>
      </c>
      <c r="J19">
        <f t="shared" si="4"/>
        <v>50000</v>
      </c>
      <c r="K19">
        <f t="shared" si="4"/>
        <v>-10000</v>
      </c>
      <c r="L19">
        <f t="shared" si="4"/>
        <v>-10000</v>
      </c>
      <c r="M19">
        <f t="shared" si="4"/>
        <v>0</v>
      </c>
      <c r="N19">
        <f t="shared" si="4"/>
        <v>0</v>
      </c>
      <c r="O19">
        <f t="shared" si="4"/>
        <v>0</v>
      </c>
      <c r="P19">
        <f t="shared" si="4"/>
        <v>0</v>
      </c>
      <c r="Q19">
        <f t="shared" si="4"/>
        <v>0</v>
      </c>
      <c r="R19">
        <f t="shared" si="4"/>
        <v>0</v>
      </c>
      <c r="S19">
        <f t="shared" si="4"/>
        <v>0</v>
      </c>
      <c r="T19">
        <f t="shared" si="4"/>
        <v>0</v>
      </c>
      <c r="U19">
        <f t="shared" si="4"/>
        <v>0</v>
      </c>
      <c r="V19">
        <f t="shared" si="4"/>
        <v>0</v>
      </c>
      <c r="W19">
        <f t="shared" si="4"/>
        <v>0</v>
      </c>
      <c r="X19">
        <f t="shared" si="4"/>
        <v>0</v>
      </c>
      <c r="Y19">
        <f t="shared" si="4"/>
        <v>0</v>
      </c>
      <c r="Z19">
        <f t="shared" si="4"/>
        <v>0</v>
      </c>
      <c r="AA19">
        <f t="shared" si="4"/>
        <v>0</v>
      </c>
      <c r="AB19">
        <f t="shared" si="4"/>
        <v>0</v>
      </c>
      <c r="AC19">
        <f t="shared" si="4"/>
        <v>0</v>
      </c>
      <c r="AD19">
        <f t="shared" si="4"/>
        <v>0</v>
      </c>
      <c r="AE19">
        <f t="shared" si="4"/>
        <v>0</v>
      </c>
      <c r="AF19">
        <f t="shared" si="4"/>
        <v>0</v>
      </c>
      <c r="AG19">
        <f t="shared" si="4"/>
        <v>0</v>
      </c>
      <c r="AH19">
        <f t="shared" si="4"/>
        <v>0</v>
      </c>
      <c r="AI19">
        <f t="shared" si="4"/>
        <v>0</v>
      </c>
      <c r="AJ19">
        <f t="shared" ref="AJ19:BO19" si="5">AJ31+AJ32</f>
        <v>0</v>
      </c>
      <c r="AK19">
        <f t="shared" si="5"/>
        <v>0</v>
      </c>
      <c r="AL19">
        <f t="shared" si="5"/>
        <v>0</v>
      </c>
      <c r="AM19">
        <f t="shared" si="5"/>
        <v>0</v>
      </c>
      <c r="AN19">
        <f t="shared" si="5"/>
        <v>0</v>
      </c>
      <c r="AO19">
        <f t="shared" si="5"/>
        <v>0</v>
      </c>
      <c r="AP19">
        <f t="shared" si="5"/>
        <v>0</v>
      </c>
      <c r="AQ19">
        <f t="shared" si="5"/>
        <v>0</v>
      </c>
      <c r="AR19">
        <f t="shared" si="5"/>
        <v>0</v>
      </c>
      <c r="AS19">
        <f t="shared" si="5"/>
        <v>0</v>
      </c>
      <c r="AT19">
        <f t="shared" si="5"/>
        <v>0</v>
      </c>
      <c r="AU19">
        <f t="shared" si="5"/>
        <v>0</v>
      </c>
      <c r="AV19">
        <f t="shared" si="5"/>
        <v>0</v>
      </c>
      <c r="AW19">
        <f t="shared" si="5"/>
        <v>0</v>
      </c>
      <c r="AX19">
        <f t="shared" si="5"/>
        <v>0</v>
      </c>
      <c r="AY19">
        <f t="shared" si="5"/>
        <v>0</v>
      </c>
      <c r="AZ19">
        <f t="shared" si="5"/>
        <v>0</v>
      </c>
      <c r="BA19">
        <f t="shared" si="5"/>
        <v>0</v>
      </c>
      <c r="BB19">
        <f t="shared" si="5"/>
        <v>0</v>
      </c>
      <c r="BC19">
        <f t="shared" si="5"/>
        <v>0</v>
      </c>
      <c r="BD19">
        <f t="shared" si="5"/>
        <v>0</v>
      </c>
      <c r="BE19">
        <f t="shared" si="5"/>
        <v>0</v>
      </c>
      <c r="BF19">
        <f t="shared" si="5"/>
        <v>0</v>
      </c>
      <c r="BG19">
        <f t="shared" si="5"/>
        <v>0</v>
      </c>
      <c r="BH19">
        <f t="shared" si="5"/>
        <v>0</v>
      </c>
      <c r="BI19">
        <f t="shared" si="5"/>
        <v>0</v>
      </c>
      <c r="BJ19">
        <f t="shared" si="5"/>
        <v>0</v>
      </c>
      <c r="BK19">
        <f t="shared" si="5"/>
        <v>0</v>
      </c>
      <c r="BL19">
        <f t="shared" si="5"/>
        <v>0</v>
      </c>
      <c r="BM19">
        <f t="shared" si="5"/>
        <v>0</v>
      </c>
      <c r="BN19">
        <f t="shared" si="5"/>
        <v>0</v>
      </c>
      <c r="BO19">
        <f t="shared" si="5"/>
        <v>0</v>
      </c>
      <c r="BP19">
        <f t="shared" ref="BP19:CU19" si="6">BP31+BP32</f>
        <v>0</v>
      </c>
      <c r="BQ19">
        <f t="shared" si="6"/>
        <v>0</v>
      </c>
      <c r="BR19">
        <f t="shared" si="6"/>
        <v>0</v>
      </c>
      <c r="BS19">
        <f t="shared" si="6"/>
        <v>0</v>
      </c>
      <c r="BT19">
        <f t="shared" si="6"/>
        <v>0</v>
      </c>
      <c r="BU19">
        <f t="shared" si="6"/>
        <v>0</v>
      </c>
      <c r="BV19">
        <f t="shared" si="6"/>
        <v>0</v>
      </c>
      <c r="BW19">
        <f t="shared" si="6"/>
        <v>0</v>
      </c>
      <c r="BX19">
        <f t="shared" si="6"/>
        <v>0</v>
      </c>
      <c r="BY19">
        <f t="shared" si="6"/>
        <v>0</v>
      </c>
      <c r="BZ19">
        <f t="shared" si="6"/>
        <v>0</v>
      </c>
      <c r="CA19">
        <f t="shared" si="6"/>
        <v>0</v>
      </c>
      <c r="CB19">
        <f t="shared" si="6"/>
        <v>0</v>
      </c>
      <c r="CC19">
        <f t="shared" si="6"/>
        <v>0</v>
      </c>
      <c r="CD19">
        <f t="shared" si="6"/>
        <v>0</v>
      </c>
      <c r="CE19">
        <f t="shared" si="6"/>
        <v>0</v>
      </c>
      <c r="CF19">
        <f t="shared" si="6"/>
        <v>0</v>
      </c>
      <c r="CG19">
        <f t="shared" si="6"/>
        <v>0</v>
      </c>
      <c r="CH19">
        <f t="shared" si="6"/>
        <v>0</v>
      </c>
      <c r="CI19">
        <f t="shared" si="6"/>
        <v>0</v>
      </c>
      <c r="CJ19">
        <f t="shared" si="6"/>
        <v>0</v>
      </c>
      <c r="CK19">
        <f t="shared" si="6"/>
        <v>0</v>
      </c>
      <c r="CL19">
        <f t="shared" si="6"/>
        <v>0</v>
      </c>
      <c r="CM19">
        <f t="shared" si="6"/>
        <v>0</v>
      </c>
      <c r="CN19">
        <f t="shared" si="6"/>
        <v>0</v>
      </c>
      <c r="CO19">
        <f t="shared" si="6"/>
        <v>0</v>
      </c>
      <c r="CP19">
        <f t="shared" si="6"/>
        <v>0</v>
      </c>
      <c r="CQ19">
        <f t="shared" si="6"/>
        <v>0</v>
      </c>
      <c r="CR19">
        <f t="shared" si="6"/>
        <v>0</v>
      </c>
      <c r="CS19">
        <f t="shared" si="6"/>
        <v>0</v>
      </c>
      <c r="CT19">
        <f t="shared" si="6"/>
        <v>0</v>
      </c>
      <c r="CU19">
        <f t="shared" si="6"/>
        <v>0</v>
      </c>
      <c r="CV19">
        <f t="shared" ref="CV19:DS19" si="7">CV31+CV32</f>
        <v>0</v>
      </c>
      <c r="CW19">
        <f t="shared" si="7"/>
        <v>0</v>
      </c>
      <c r="CX19">
        <f t="shared" si="7"/>
        <v>0</v>
      </c>
      <c r="CY19">
        <f t="shared" si="7"/>
        <v>0</v>
      </c>
      <c r="CZ19">
        <f t="shared" si="7"/>
        <v>0</v>
      </c>
      <c r="DA19">
        <f t="shared" si="7"/>
        <v>0</v>
      </c>
      <c r="DB19">
        <f t="shared" si="7"/>
        <v>0</v>
      </c>
      <c r="DC19">
        <f t="shared" si="7"/>
        <v>0</v>
      </c>
      <c r="DD19">
        <f t="shared" si="7"/>
        <v>0</v>
      </c>
      <c r="DE19">
        <f t="shared" si="7"/>
        <v>0</v>
      </c>
      <c r="DF19">
        <f t="shared" si="7"/>
        <v>0</v>
      </c>
      <c r="DG19">
        <f t="shared" si="7"/>
        <v>0</v>
      </c>
      <c r="DH19">
        <f t="shared" si="7"/>
        <v>0</v>
      </c>
      <c r="DI19">
        <f t="shared" si="7"/>
        <v>0</v>
      </c>
      <c r="DJ19">
        <f t="shared" si="7"/>
        <v>0</v>
      </c>
      <c r="DK19">
        <f t="shared" si="7"/>
        <v>0</v>
      </c>
      <c r="DL19">
        <f t="shared" si="7"/>
        <v>0</v>
      </c>
      <c r="DM19">
        <f t="shared" si="7"/>
        <v>0</v>
      </c>
      <c r="DN19">
        <f t="shared" si="7"/>
        <v>0</v>
      </c>
      <c r="DO19">
        <f t="shared" si="7"/>
        <v>0</v>
      </c>
      <c r="DP19">
        <f t="shared" si="7"/>
        <v>0</v>
      </c>
      <c r="DQ19">
        <f t="shared" si="7"/>
        <v>0</v>
      </c>
      <c r="DR19">
        <f t="shared" si="7"/>
        <v>0</v>
      </c>
      <c r="DS19">
        <f t="shared" si="7"/>
        <v>0</v>
      </c>
    </row>
    <row r="20" spans="1:123" ht="15" customHeight="1" x14ac:dyDescent="0.2">
      <c r="B20" s="37" t="s">
        <v>944</v>
      </c>
      <c r="D20" s="77">
        <f>IF(AND(D4&gt;=MAX(1,SUP_CONTROL!$C$17-3),D4&lt;=SUP_CONTROL!$C$17-1),SUP_CAPEX_FLAGSHIP!$H$55/MIN(3,SUP_CONTROL!$C$17-1),0)</f>
        <v>0</v>
      </c>
      <c r="E20" s="77">
        <f>IF(AND(E4&gt;=MAX(1,SUP_CONTROL!$C$17-3),E4&lt;=SUP_CONTROL!$C$17-1),SUP_CAPEX_FLAGSHIP!$H$55/MIN(3,SUP_CONTROL!$C$17-1),0)</f>
        <v>0</v>
      </c>
      <c r="F20" s="77">
        <f>IF(AND(F4&gt;=MAX(1,SUP_CONTROL!$C$17-3),F4&lt;=SUP_CONTROL!$C$17-1),SUP_CAPEX_FLAGSHIP!$H$55/MIN(3,SUP_CONTROL!$C$17-1),0)</f>
        <v>0</v>
      </c>
      <c r="G20" s="77">
        <f>IF(AND(G4&gt;=MAX(1,SUP_CONTROL!$C$17-3),G4&lt;=SUP_CONTROL!$C$17-1),SUP_CAPEX_FLAGSHIP!$H$55/MIN(3,SUP_CONTROL!$C$17-1),0)</f>
        <v>161876.14025</v>
      </c>
      <c r="H20" s="77">
        <f>IF(AND(H4&gt;=MAX(1,SUP_CONTROL!$C$17-3),H4&lt;=SUP_CONTROL!$C$17-1),SUP_CAPEX_FLAGSHIP!$H$55/MIN(3,SUP_CONTROL!$C$17-1),0)</f>
        <v>161876.14025</v>
      </c>
      <c r="I20" s="77">
        <f>IF(AND(I4&gt;=MAX(1,SUP_CONTROL!$C$17-3),I4&lt;=SUP_CONTROL!$C$17-1),SUP_CAPEX_FLAGSHIP!$H$55/MIN(3,SUP_CONTROL!$C$17-1),0)</f>
        <v>161876.14025</v>
      </c>
      <c r="J20" s="77">
        <f>IF(AND(J4&gt;=MAX(1,SUP_CONTROL!$C$17-3),J4&lt;=SUP_CONTROL!$C$17-1),SUP_CAPEX_FLAGSHIP!$H$55/MIN(3,SUP_CONTROL!$C$17-1),0)</f>
        <v>0</v>
      </c>
      <c r="K20" s="77">
        <f>IF(AND(K4&gt;=MAX(1,SUP_CONTROL!$C$17-3),K4&lt;=SUP_CONTROL!$C$17-1),SUP_CAPEX_FLAGSHIP!$H$55/MIN(3,SUP_CONTROL!$C$17-1),0)</f>
        <v>0</v>
      </c>
      <c r="L20" s="77">
        <f>IF(AND(L4&gt;=MAX(1,SUP_CONTROL!$C$17-3),L4&lt;=SUP_CONTROL!$C$17-1),SUP_CAPEX_FLAGSHIP!$H$55/MIN(3,SUP_CONTROL!$C$17-1),0)</f>
        <v>0</v>
      </c>
      <c r="M20" s="77">
        <f>IF(AND(M4&gt;=MAX(1,SUP_CONTROL!$C$17-3),M4&lt;=SUP_CONTROL!$C$17-1),SUP_CAPEX_FLAGSHIP!$H$55/MIN(3,SUP_CONTROL!$C$17-1),0)</f>
        <v>0</v>
      </c>
      <c r="N20" s="77">
        <f>IF(AND(N4&gt;=MAX(1,SUP_CONTROL!$C$17-3),N4&lt;=SUP_CONTROL!$C$17-1),SUP_CAPEX_FLAGSHIP!$H$55/MIN(3,SUP_CONTROL!$C$17-1),0)</f>
        <v>0</v>
      </c>
      <c r="O20" s="77">
        <f>IF(AND(O4&gt;=MAX(1,SUP_CONTROL!$C$17-3),O4&lt;=SUP_CONTROL!$C$17-1),SUP_CAPEX_FLAGSHIP!$H$55/MIN(3,SUP_CONTROL!$C$17-1),0)</f>
        <v>0</v>
      </c>
      <c r="P20" s="77">
        <f>IF(AND(P4&gt;=MAX(1,SUP_CONTROL!$C$17-3),P4&lt;=SUP_CONTROL!$C$17-1),SUP_CAPEX_FLAGSHIP!$H$55/MIN(3,SUP_CONTROL!$C$17-1),0)</f>
        <v>0</v>
      </c>
      <c r="Q20" s="77">
        <f>IF(AND(Q4&gt;=MAX(1,SUP_CONTROL!$C$17-3),Q4&lt;=SUP_CONTROL!$C$17-1),SUP_CAPEX_FLAGSHIP!$H$55/MIN(3,SUP_CONTROL!$C$17-1),0)</f>
        <v>0</v>
      </c>
      <c r="R20" s="77">
        <f>IF(AND(R4&gt;=MAX(1,SUP_CONTROL!$C$17-3),R4&lt;=SUP_CONTROL!$C$17-1),SUP_CAPEX_FLAGSHIP!$H$55/MIN(3,SUP_CONTROL!$C$17-1),0)</f>
        <v>0</v>
      </c>
      <c r="S20" s="77">
        <f>IF(AND(S4&gt;=MAX(1,SUP_CONTROL!$C$17-3),S4&lt;=SUP_CONTROL!$C$17-1),SUP_CAPEX_FLAGSHIP!$H$55/MIN(3,SUP_CONTROL!$C$17-1),0)</f>
        <v>0</v>
      </c>
      <c r="T20" s="77">
        <f>IF(AND(T4&gt;=MAX(1,SUP_CONTROL!$C$17-3),T4&lt;=SUP_CONTROL!$C$17-1),SUP_CAPEX_FLAGSHIP!$H$55/MIN(3,SUP_CONTROL!$C$17-1),0)</f>
        <v>0</v>
      </c>
      <c r="U20" s="77">
        <f>IF(AND(U4&gt;=MAX(1,SUP_CONTROL!$C$17-3),U4&lt;=SUP_CONTROL!$C$17-1),SUP_CAPEX_FLAGSHIP!$H$55/MIN(3,SUP_CONTROL!$C$17-1),0)</f>
        <v>0</v>
      </c>
      <c r="V20" s="77">
        <f>IF(AND(V4&gt;=MAX(1,SUP_CONTROL!$C$17-3),V4&lt;=SUP_CONTROL!$C$17-1),SUP_CAPEX_FLAGSHIP!$H$55/MIN(3,SUP_CONTROL!$C$17-1),0)</f>
        <v>0</v>
      </c>
      <c r="W20" s="77">
        <f>IF(AND(W4&gt;=MAX(1,SUP_CONTROL!$C$17-3),W4&lt;=SUP_CONTROL!$C$17-1),SUP_CAPEX_FLAGSHIP!$H$55/MIN(3,SUP_CONTROL!$C$17-1),0)</f>
        <v>0</v>
      </c>
      <c r="X20" s="77">
        <f>IF(AND(X4&gt;=MAX(1,SUP_CONTROL!$C$17-3),X4&lt;=SUP_CONTROL!$C$17-1),SUP_CAPEX_FLAGSHIP!$H$55/MIN(3,SUP_CONTROL!$C$17-1),0)</f>
        <v>0</v>
      </c>
      <c r="Y20" s="77">
        <f>IF(AND(Y4&gt;=MAX(1,SUP_CONTROL!$C$17-3),Y4&lt;=SUP_CONTROL!$C$17-1),SUP_CAPEX_FLAGSHIP!$H$55/MIN(3,SUP_CONTROL!$C$17-1),0)</f>
        <v>0</v>
      </c>
      <c r="Z20" s="77">
        <f>IF(AND(Z4&gt;=MAX(1,SUP_CONTROL!$C$17-3),Z4&lt;=SUP_CONTROL!$C$17-1),SUP_CAPEX_FLAGSHIP!$H$55/MIN(3,SUP_CONTROL!$C$17-1),0)</f>
        <v>0</v>
      </c>
      <c r="AA20" s="77">
        <f>IF(AND(AA4&gt;=MAX(1,SUP_CONTROL!$C$17-3),AA4&lt;=SUP_CONTROL!$C$17-1),SUP_CAPEX_FLAGSHIP!$H$55/MIN(3,SUP_CONTROL!$C$17-1),0)</f>
        <v>0</v>
      </c>
      <c r="AB20" s="77">
        <f>IF(AND(AB4&gt;=MAX(1,SUP_CONTROL!$C$17-3),AB4&lt;=SUP_CONTROL!$C$17-1),SUP_CAPEX_FLAGSHIP!$H$55/MIN(3,SUP_CONTROL!$C$17-1),0)</f>
        <v>0</v>
      </c>
      <c r="AC20" s="77">
        <f>IF(AND(AC4&gt;=MAX(1,SUP_CONTROL!$C$17-3),AC4&lt;=SUP_CONTROL!$C$17-1),SUP_CAPEX_FLAGSHIP!$H$55/MIN(3,SUP_CONTROL!$C$17-1),0)</f>
        <v>0</v>
      </c>
      <c r="AD20" s="77">
        <f>IF(AND(AD4&gt;=MAX(1,SUP_CONTROL!$C$17-3),AD4&lt;=SUP_CONTROL!$C$17-1),SUP_CAPEX_FLAGSHIP!$H$55/MIN(3,SUP_CONTROL!$C$17-1),0)</f>
        <v>0</v>
      </c>
      <c r="AE20" s="77">
        <f>IF(AND(AE4&gt;=MAX(1,SUP_CONTROL!$C$17-3),AE4&lt;=SUP_CONTROL!$C$17-1),SUP_CAPEX_FLAGSHIP!$H$55/MIN(3,SUP_CONTROL!$C$17-1),0)</f>
        <v>0</v>
      </c>
      <c r="AF20" s="77">
        <f>IF(AND(AF4&gt;=MAX(1,SUP_CONTROL!$C$17-3),AF4&lt;=SUP_CONTROL!$C$17-1),SUP_CAPEX_FLAGSHIP!$H$55/MIN(3,SUP_CONTROL!$C$17-1),0)</f>
        <v>0</v>
      </c>
      <c r="AG20" s="77">
        <f>IF(AND(AG4&gt;=MAX(1,SUP_CONTROL!$C$17-3),AG4&lt;=SUP_CONTROL!$C$17-1),SUP_CAPEX_FLAGSHIP!$H$55/MIN(3,SUP_CONTROL!$C$17-1),0)</f>
        <v>0</v>
      </c>
      <c r="AH20" s="77">
        <f>IF(AND(AH4&gt;=MAX(1,SUP_CONTROL!$C$17-3),AH4&lt;=SUP_CONTROL!$C$17-1),SUP_CAPEX_FLAGSHIP!$H$55/MIN(3,SUP_CONTROL!$C$17-1),0)</f>
        <v>0</v>
      </c>
      <c r="AI20" s="77">
        <f>IF(AND(AI4&gt;=MAX(1,SUP_CONTROL!$C$17-3),AI4&lt;=SUP_CONTROL!$C$17-1),SUP_CAPEX_FLAGSHIP!$H$55/MIN(3,SUP_CONTROL!$C$17-1),0)</f>
        <v>0</v>
      </c>
      <c r="AJ20" s="77">
        <f>IF(AND(AJ4&gt;=MAX(1,SUP_CONTROL!$C$17-3),AJ4&lt;=SUP_CONTROL!$C$17-1),SUP_CAPEX_FLAGSHIP!$H$55/MIN(3,SUP_CONTROL!$C$17-1),0)</f>
        <v>0</v>
      </c>
      <c r="AK20" s="77">
        <f>IF(AND(AK4&gt;=MAX(1,SUP_CONTROL!$C$17-3),AK4&lt;=SUP_CONTROL!$C$17-1),SUP_CAPEX_FLAGSHIP!$H$55/MIN(3,SUP_CONTROL!$C$17-1),0)</f>
        <v>0</v>
      </c>
      <c r="AL20" s="77">
        <f>IF(AND(AL4&gt;=MAX(1,SUP_CONTROL!$C$17-3),AL4&lt;=SUP_CONTROL!$C$17-1),SUP_CAPEX_FLAGSHIP!$H$55/MIN(3,SUP_CONTROL!$C$17-1),0)</f>
        <v>0</v>
      </c>
      <c r="AM20" s="77">
        <f>IF(AND(AM4&gt;=MAX(1,SUP_CONTROL!$C$17-3),AM4&lt;=SUP_CONTROL!$C$17-1),SUP_CAPEX_FLAGSHIP!$H$55/MIN(3,SUP_CONTROL!$C$17-1),0)</f>
        <v>0</v>
      </c>
      <c r="AN20" s="77">
        <f>IF(AND(AN4&gt;=MAX(1,SUP_CONTROL!$C$17-3),AN4&lt;=SUP_CONTROL!$C$17-1),SUP_CAPEX_FLAGSHIP!$H$55/MIN(3,SUP_CONTROL!$C$17-1),0)</f>
        <v>0</v>
      </c>
      <c r="AO20" s="77">
        <f>IF(AND(AO4&gt;=MAX(1,SUP_CONTROL!$C$17-3),AO4&lt;=SUP_CONTROL!$C$17-1),SUP_CAPEX_FLAGSHIP!$H$55/MIN(3,SUP_CONTROL!$C$17-1),0)</f>
        <v>0</v>
      </c>
      <c r="AP20" s="77">
        <f>IF(AND(AP4&gt;=MAX(1,SUP_CONTROL!$C$17-3),AP4&lt;=SUP_CONTROL!$C$17-1),SUP_CAPEX_FLAGSHIP!$H$55/MIN(3,SUP_CONTROL!$C$17-1),0)</f>
        <v>0</v>
      </c>
      <c r="AQ20" s="77">
        <f>IF(AND(AQ4&gt;=MAX(1,SUP_CONTROL!$C$17-3),AQ4&lt;=SUP_CONTROL!$C$17-1),SUP_CAPEX_FLAGSHIP!$H$55/MIN(3,SUP_CONTROL!$C$17-1),0)</f>
        <v>0</v>
      </c>
      <c r="AR20" s="77">
        <f>IF(AND(AR4&gt;=MAX(1,SUP_CONTROL!$C$17-3),AR4&lt;=SUP_CONTROL!$C$17-1),SUP_CAPEX_FLAGSHIP!$H$55/MIN(3,SUP_CONTROL!$C$17-1),0)</f>
        <v>0</v>
      </c>
      <c r="AS20" s="77">
        <f>IF(AND(AS4&gt;=MAX(1,SUP_CONTROL!$C$17-3),AS4&lt;=SUP_CONTROL!$C$17-1),SUP_CAPEX_FLAGSHIP!$H$55/MIN(3,SUP_CONTROL!$C$17-1),0)</f>
        <v>0</v>
      </c>
      <c r="AT20" s="77">
        <f>IF(AND(AT4&gt;=MAX(1,SUP_CONTROL!$C$17-3),AT4&lt;=SUP_CONTROL!$C$17-1),SUP_CAPEX_FLAGSHIP!$H$55/MIN(3,SUP_CONTROL!$C$17-1),0)</f>
        <v>0</v>
      </c>
      <c r="AU20" s="77">
        <f>IF(AND(AU4&gt;=MAX(1,SUP_CONTROL!$C$17-3),AU4&lt;=SUP_CONTROL!$C$17-1),SUP_CAPEX_FLAGSHIP!$H$55/MIN(3,SUP_CONTROL!$C$17-1),0)</f>
        <v>0</v>
      </c>
      <c r="AV20" s="77">
        <f>IF(AND(AV4&gt;=MAX(1,SUP_CONTROL!$C$17-3),AV4&lt;=SUP_CONTROL!$C$17-1),SUP_CAPEX_FLAGSHIP!$H$55/MIN(3,SUP_CONTROL!$C$17-1),0)</f>
        <v>0</v>
      </c>
      <c r="AW20" s="77">
        <f>IF(AND(AW4&gt;=MAX(1,SUP_CONTROL!$C$17-3),AW4&lt;=SUP_CONTROL!$C$17-1),SUP_CAPEX_FLAGSHIP!$H$55/MIN(3,SUP_CONTROL!$C$17-1),0)</f>
        <v>0</v>
      </c>
      <c r="AX20" s="77">
        <f>IF(AND(AX4&gt;=MAX(1,SUP_CONTROL!$C$17-3),AX4&lt;=SUP_CONTROL!$C$17-1),SUP_CAPEX_FLAGSHIP!$H$55/MIN(3,SUP_CONTROL!$C$17-1),0)</f>
        <v>0</v>
      </c>
      <c r="AY20" s="77">
        <f>IF(AND(AY4&gt;=MAX(1,SUP_CONTROL!$C$17-3),AY4&lt;=SUP_CONTROL!$C$17-1),SUP_CAPEX_FLAGSHIP!$H$55/MIN(3,SUP_CONTROL!$C$17-1),0)</f>
        <v>0</v>
      </c>
      <c r="AZ20" s="77">
        <f>IF(AND(AZ4&gt;=MAX(1,SUP_CONTROL!$C$17-3),AZ4&lt;=SUP_CONTROL!$C$17-1),SUP_CAPEX_FLAGSHIP!$H$55/MIN(3,SUP_CONTROL!$C$17-1),0)</f>
        <v>0</v>
      </c>
      <c r="BA20" s="77">
        <f>IF(AND(BA4&gt;=MAX(1,SUP_CONTROL!$C$17-3),BA4&lt;=SUP_CONTROL!$C$17-1),SUP_CAPEX_FLAGSHIP!$H$55/MIN(3,SUP_CONTROL!$C$17-1),0)</f>
        <v>0</v>
      </c>
      <c r="BB20" s="77">
        <f>IF(AND(BB4&gt;=MAX(1,SUP_CONTROL!$C$17-3),BB4&lt;=SUP_CONTROL!$C$17-1),SUP_CAPEX_FLAGSHIP!$H$55/MIN(3,SUP_CONTROL!$C$17-1),0)</f>
        <v>0</v>
      </c>
      <c r="BC20" s="77">
        <f>IF(AND(BC4&gt;=MAX(1,SUP_CONTROL!$C$17-3),BC4&lt;=SUP_CONTROL!$C$17-1),SUP_CAPEX_FLAGSHIP!$H$55/MIN(3,SUP_CONTROL!$C$17-1),0)</f>
        <v>0</v>
      </c>
      <c r="BD20" s="77">
        <f>IF(AND(BD4&gt;=MAX(1,SUP_CONTROL!$C$17-3),BD4&lt;=SUP_CONTROL!$C$17-1),SUP_CAPEX_FLAGSHIP!$H$55/MIN(3,SUP_CONTROL!$C$17-1),0)</f>
        <v>0</v>
      </c>
      <c r="BE20" s="77">
        <f>IF(AND(BE4&gt;=MAX(1,SUP_CONTROL!$C$17-3),BE4&lt;=SUP_CONTROL!$C$17-1),SUP_CAPEX_FLAGSHIP!$H$55/MIN(3,SUP_CONTROL!$C$17-1),0)</f>
        <v>0</v>
      </c>
      <c r="BF20" s="77">
        <f>IF(AND(BF4&gt;=MAX(1,SUP_CONTROL!$C$17-3),BF4&lt;=SUP_CONTROL!$C$17-1),SUP_CAPEX_FLAGSHIP!$H$55/MIN(3,SUP_CONTROL!$C$17-1),0)</f>
        <v>0</v>
      </c>
      <c r="BG20" s="77">
        <f>IF(AND(BG4&gt;=MAX(1,SUP_CONTROL!$C$17-3),BG4&lt;=SUP_CONTROL!$C$17-1),SUP_CAPEX_FLAGSHIP!$H$55/MIN(3,SUP_CONTROL!$C$17-1),0)</f>
        <v>0</v>
      </c>
      <c r="BH20" s="77">
        <f>IF(AND(BH4&gt;=MAX(1,SUP_CONTROL!$C$17-3),BH4&lt;=SUP_CONTROL!$C$17-1),SUP_CAPEX_FLAGSHIP!$H$55/MIN(3,SUP_CONTROL!$C$17-1),0)</f>
        <v>0</v>
      </c>
      <c r="BI20" s="77">
        <f>IF(AND(BI4&gt;=MAX(1,SUP_CONTROL!$C$17-3),BI4&lt;=SUP_CONTROL!$C$17-1),SUP_CAPEX_FLAGSHIP!$H$55/MIN(3,SUP_CONTROL!$C$17-1),0)</f>
        <v>0</v>
      </c>
      <c r="BJ20" s="77">
        <f>IF(AND(BJ4&gt;=MAX(1,SUP_CONTROL!$C$17-3),BJ4&lt;=SUP_CONTROL!$C$17-1),SUP_CAPEX_FLAGSHIP!$H$55/MIN(3,SUP_CONTROL!$C$17-1),0)</f>
        <v>0</v>
      </c>
      <c r="BK20" s="77">
        <f>IF(AND(BK4&gt;=MAX(1,SUP_CONTROL!$C$17-3),BK4&lt;=SUP_CONTROL!$C$17-1),SUP_CAPEX_FLAGSHIP!$H$55/MIN(3,SUP_CONTROL!$C$17-1),0)</f>
        <v>0</v>
      </c>
      <c r="BL20" s="77">
        <f>IF(AND(BL4&gt;=MAX(1,SUP_CONTROL!$C$17-3),BL4&lt;=SUP_CONTROL!$C$17-1),SUP_CAPEX_FLAGSHIP!$H$55/MIN(3,SUP_CONTROL!$C$17-1),0)</f>
        <v>0</v>
      </c>
      <c r="BM20" s="77">
        <f>IF(AND(BM4&gt;=MAX(1,SUP_CONTROL!$C$17-3),BM4&lt;=SUP_CONTROL!$C$17-1),SUP_CAPEX_FLAGSHIP!$H$55/MIN(3,SUP_CONTROL!$C$17-1),0)</f>
        <v>0</v>
      </c>
      <c r="BN20" s="77">
        <f>IF(AND(BN4&gt;=MAX(1,SUP_CONTROL!$C$17-3),BN4&lt;=SUP_CONTROL!$C$17-1),SUP_CAPEX_FLAGSHIP!$H$55/MIN(3,SUP_CONTROL!$C$17-1),0)</f>
        <v>0</v>
      </c>
      <c r="BO20" s="77">
        <f>IF(AND(BO4&gt;=MAX(1,SUP_CONTROL!$C$17-3),BO4&lt;=SUP_CONTROL!$C$17-1),SUP_CAPEX_FLAGSHIP!$H$55/MIN(3,SUP_CONTROL!$C$17-1),0)</f>
        <v>0</v>
      </c>
      <c r="BP20" s="77">
        <f>IF(AND(BP4&gt;=MAX(1,SUP_CONTROL!$C$17-3),BP4&lt;=SUP_CONTROL!$C$17-1),SUP_CAPEX_FLAGSHIP!$H$55/MIN(3,SUP_CONTROL!$C$17-1),0)</f>
        <v>0</v>
      </c>
      <c r="BQ20" s="77">
        <f>IF(AND(BQ4&gt;=MAX(1,SUP_CONTROL!$C$17-3),BQ4&lt;=SUP_CONTROL!$C$17-1),SUP_CAPEX_FLAGSHIP!$H$55/MIN(3,SUP_CONTROL!$C$17-1),0)</f>
        <v>0</v>
      </c>
      <c r="BR20" s="77">
        <f>IF(AND(BR4&gt;=MAX(1,SUP_CONTROL!$C$17-3),BR4&lt;=SUP_CONTROL!$C$17-1),SUP_CAPEX_FLAGSHIP!$H$55/MIN(3,SUP_CONTROL!$C$17-1),0)</f>
        <v>0</v>
      </c>
      <c r="BS20" s="77">
        <f>IF(AND(BS4&gt;=MAX(1,SUP_CONTROL!$C$17-3),BS4&lt;=SUP_CONTROL!$C$17-1),SUP_CAPEX_FLAGSHIP!$H$55/MIN(3,SUP_CONTROL!$C$17-1),0)</f>
        <v>0</v>
      </c>
      <c r="BT20" s="77">
        <f>IF(AND(BT4&gt;=MAX(1,SUP_CONTROL!$C$17-3),BT4&lt;=SUP_CONTROL!$C$17-1),SUP_CAPEX_FLAGSHIP!$H$55/MIN(3,SUP_CONTROL!$C$17-1),0)</f>
        <v>0</v>
      </c>
      <c r="BU20" s="77">
        <f>IF(AND(BU4&gt;=MAX(1,SUP_CONTROL!$C$17-3),BU4&lt;=SUP_CONTROL!$C$17-1),SUP_CAPEX_FLAGSHIP!$H$55/MIN(3,SUP_CONTROL!$C$17-1),0)</f>
        <v>0</v>
      </c>
      <c r="BV20" s="77">
        <f>IF(AND(BV4&gt;=MAX(1,SUP_CONTROL!$C$17-3),BV4&lt;=SUP_CONTROL!$C$17-1),SUP_CAPEX_FLAGSHIP!$H$55/MIN(3,SUP_CONTROL!$C$17-1),0)</f>
        <v>0</v>
      </c>
      <c r="BW20" s="77">
        <f>IF(AND(BW4&gt;=MAX(1,SUP_CONTROL!$C$17-3),BW4&lt;=SUP_CONTROL!$C$17-1),SUP_CAPEX_FLAGSHIP!$H$55/MIN(3,SUP_CONTROL!$C$17-1),0)</f>
        <v>0</v>
      </c>
      <c r="BX20" s="77">
        <f>IF(AND(BX4&gt;=MAX(1,SUP_CONTROL!$C$17-3),BX4&lt;=SUP_CONTROL!$C$17-1),SUP_CAPEX_FLAGSHIP!$H$55/MIN(3,SUP_CONTROL!$C$17-1),0)</f>
        <v>0</v>
      </c>
      <c r="BY20" s="77">
        <f>IF(AND(BY4&gt;=MAX(1,SUP_CONTROL!$C$17-3),BY4&lt;=SUP_CONTROL!$C$17-1),SUP_CAPEX_FLAGSHIP!$H$55/MIN(3,SUP_CONTROL!$C$17-1),0)</f>
        <v>0</v>
      </c>
      <c r="BZ20" s="77">
        <f>IF(AND(BZ4&gt;=MAX(1,SUP_CONTROL!$C$17-3),BZ4&lt;=SUP_CONTROL!$C$17-1),SUP_CAPEX_FLAGSHIP!$H$55/MIN(3,SUP_CONTROL!$C$17-1),0)</f>
        <v>0</v>
      </c>
      <c r="CA20" s="77">
        <f>IF(AND(CA4&gt;=MAX(1,SUP_CONTROL!$C$17-3),CA4&lt;=SUP_CONTROL!$C$17-1),SUP_CAPEX_FLAGSHIP!$H$55/MIN(3,SUP_CONTROL!$C$17-1),0)</f>
        <v>0</v>
      </c>
      <c r="CB20" s="77">
        <f>IF(AND(CB4&gt;=MAX(1,SUP_CONTROL!$C$17-3),CB4&lt;=SUP_CONTROL!$C$17-1),SUP_CAPEX_FLAGSHIP!$H$55/MIN(3,SUP_CONTROL!$C$17-1),0)</f>
        <v>0</v>
      </c>
      <c r="CC20" s="77">
        <f>IF(AND(CC4&gt;=MAX(1,SUP_CONTROL!$C$17-3),CC4&lt;=SUP_CONTROL!$C$17-1),SUP_CAPEX_FLAGSHIP!$H$55/MIN(3,SUP_CONTROL!$C$17-1),0)</f>
        <v>0</v>
      </c>
      <c r="CD20" s="77">
        <f>IF(AND(CD4&gt;=MAX(1,SUP_CONTROL!$C$17-3),CD4&lt;=SUP_CONTROL!$C$17-1),SUP_CAPEX_FLAGSHIP!$H$55/MIN(3,SUP_CONTROL!$C$17-1),0)</f>
        <v>0</v>
      </c>
      <c r="CE20" s="77">
        <f>IF(AND(CE4&gt;=MAX(1,SUP_CONTROL!$C$17-3),CE4&lt;=SUP_CONTROL!$C$17-1),SUP_CAPEX_FLAGSHIP!$H$55/MIN(3,SUP_CONTROL!$C$17-1),0)</f>
        <v>0</v>
      </c>
      <c r="CF20" s="77">
        <f>IF(AND(CF4&gt;=MAX(1,SUP_CONTROL!$C$17-3),CF4&lt;=SUP_CONTROL!$C$17-1),SUP_CAPEX_FLAGSHIP!$H$55/MIN(3,SUP_CONTROL!$C$17-1),0)</f>
        <v>0</v>
      </c>
      <c r="CG20" s="77">
        <f>IF(AND(CG4&gt;=MAX(1,SUP_CONTROL!$C$17-3),CG4&lt;=SUP_CONTROL!$C$17-1),SUP_CAPEX_FLAGSHIP!$H$55/MIN(3,SUP_CONTROL!$C$17-1),0)</f>
        <v>0</v>
      </c>
      <c r="CH20" s="77">
        <f>IF(AND(CH4&gt;=MAX(1,SUP_CONTROL!$C$17-3),CH4&lt;=SUP_CONTROL!$C$17-1),SUP_CAPEX_FLAGSHIP!$H$55/MIN(3,SUP_CONTROL!$C$17-1),0)</f>
        <v>0</v>
      </c>
      <c r="CI20" s="77">
        <f>IF(AND(CI4&gt;=MAX(1,SUP_CONTROL!$C$17-3),CI4&lt;=SUP_CONTROL!$C$17-1),SUP_CAPEX_FLAGSHIP!$H$55/MIN(3,SUP_CONTROL!$C$17-1),0)</f>
        <v>0</v>
      </c>
      <c r="CJ20" s="77">
        <f>IF(AND(CJ4&gt;=MAX(1,SUP_CONTROL!$C$17-3),CJ4&lt;=SUP_CONTROL!$C$17-1),SUP_CAPEX_FLAGSHIP!$H$55/MIN(3,SUP_CONTROL!$C$17-1),0)</f>
        <v>0</v>
      </c>
      <c r="CK20" s="77">
        <f>IF(AND(CK4&gt;=MAX(1,SUP_CONTROL!$C$17-3),CK4&lt;=SUP_CONTROL!$C$17-1),SUP_CAPEX_FLAGSHIP!$H$55/MIN(3,SUP_CONTROL!$C$17-1),0)</f>
        <v>0</v>
      </c>
      <c r="CL20" s="77">
        <f>IF(AND(CL4&gt;=MAX(1,SUP_CONTROL!$C$17-3),CL4&lt;=SUP_CONTROL!$C$17-1),SUP_CAPEX_FLAGSHIP!$H$55/MIN(3,SUP_CONTROL!$C$17-1),0)</f>
        <v>0</v>
      </c>
      <c r="CM20" s="77">
        <f>IF(AND(CM4&gt;=MAX(1,SUP_CONTROL!$C$17-3),CM4&lt;=SUP_CONTROL!$C$17-1),SUP_CAPEX_FLAGSHIP!$H$55/MIN(3,SUP_CONTROL!$C$17-1),0)</f>
        <v>0</v>
      </c>
      <c r="CN20" s="77">
        <f>IF(AND(CN4&gt;=MAX(1,SUP_CONTROL!$C$17-3),CN4&lt;=SUP_CONTROL!$C$17-1),SUP_CAPEX_FLAGSHIP!$H$55/MIN(3,SUP_CONTROL!$C$17-1),0)</f>
        <v>0</v>
      </c>
      <c r="CO20" s="77">
        <f>IF(AND(CO4&gt;=MAX(1,SUP_CONTROL!$C$17-3),CO4&lt;=SUP_CONTROL!$C$17-1),SUP_CAPEX_FLAGSHIP!$H$55/MIN(3,SUP_CONTROL!$C$17-1),0)</f>
        <v>0</v>
      </c>
      <c r="CP20" s="77">
        <f>IF(AND(CP4&gt;=MAX(1,SUP_CONTROL!$C$17-3),CP4&lt;=SUP_CONTROL!$C$17-1),SUP_CAPEX_FLAGSHIP!$H$55/MIN(3,SUP_CONTROL!$C$17-1),0)</f>
        <v>0</v>
      </c>
      <c r="CQ20" s="77">
        <f>IF(AND(CQ4&gt;=MAX(1,SUP_CONTROL!$C$17-3),CQ4&lt;=SUP_CONTROL!$C$17-1),SUP_CAPEX_FLAGSHIP!$H$55/MIN(3,SUP_CONTROL!$C$17-1),0)</f>
        <v>0</v>
      </c>
      <c r="CR20" s="77">
        <f>IF(AND(CR4&gt;=MAX(1,SUP_CONTROL!$C$17-3),CR4&lt;=SUP_CONTROL!$C$17-1),SUP_CAPEX_FLAGSHIP!$H$55/MIN(3,SUP_CONTROL!$C$17-1),0)</f>
        <v>0</v>
      </c>
      <c r="CS20" s="77">
        <f>IF(AND(CS4&gt;=MAX(1,SUP_CONTROL!$C$17-3),CS4&lt;=SUP_CONTROL!$C$17-1),SUP_CAPEX_FLAGSHIP!$H$55/MIN(3,SUP_CONTROL!$C$17-1),0)</f>
        <v>0</v>
      </c>
      <c r="CT20" s="77">
        <f>IF(AND(CT4&gt;=MAX(1,SUP_CONTROL!$C$17-3),CT4&lt;=SUP_CONTROL!$C$17-1),SUP_CAPEX_FLAGSHIP!$H$55/MIN(3,SUP_CONTROL!$C$17-1),0)</f>
        <v>0</v>
      </c>
      <c r="CU20" s="77">
        <f>IF(AND(CU4&gt;=MAX(1,SUP_CONTROL!$C$17-3),CU4&lt;=SUP_CONTROL!$C$17-1),SUP_CAPEX_FLAGSHIP!$H$55/MIN(3,SUP_CONTROL!$C$17-1),0)</f>
        <v>0</v>
      </c>
      <c r="CV20" s="77">
        <f>IF(AND(CV4&gt;=MAX(1,SUP_CONTROL!$C$17-3),CV4&lt;=SUP_CONTROL!$C$17-1),SUP_CAPEX_FLAGSHIP!$H$55/MIN(3,SUP_CONTROL!$C$17-1),0)</f>
        <v>0</v>
      </c>
      <c r="CW20" s="77">
        <f>IF(AND(CW4&gt;=MAX(1,SUP_CONTROL!$C$17-3),CW4&lt;=SUP_CONTROL!$C$17-1),SUP_CAPEX_FLAGSHIP!$H$55/MIN(3,SUP_CONTROL!$C$17-1),0)</f>
        <v>0</v>
      </c>
      <c r="CX20" s="77">
        <f>IF(AND(CX4&gt;=MAX(1,SUP_CONTROL!$C$17-3),CX4&lt;=SUP_CONTROL!$C$17-1),SUP_CAPEX_FLAGSHIP!$H$55/MIN(3,SUP_CONTROL!$C$17-1),0)</f>
        <v>0</v>
      </c>
      <c r="CY20" s="77">
        <f>IF(AND(CY4&gt;=MAX(1,SUP_CONTROL!$C$17-3),CY4&lt;=SUP_CONTROL!$C$17-1),SUP_CAPEX_FLAGSHIP!$H$55/MIN(3,SUP_CONTROL!$C$17-1),0)</f>
        <v>0</v>
      </c>
      <c r="CZ20" s="77">
        <f>IF(AND(CZ4&gt;=MAX(1,SUP_CONTROL!$C$17-3),CZ4&lt;=SUP_CONTROL!$C$17-1),SUP_CAPEX_FLAGSHIP!$H$55/MIN(3,SUP_CONTROL!$C$17-1),0)</f>
        <v>0</v>
      </c>
      <c r="DA20" s="77">
        <f>IF(AND(DA4&gt;=MAX(1,SUP_CONTROL!$C$17-3),DA4&lt;=SUP_CONTROL!$C$17-1),SUP_CAPEX_FLAGSHIP!$H$55/MIN(3,SUP_CONTROL!$C$17-1),0)</f>
        <v>0</v>
      </c>
      <c r="DB20" s="77">
        <f>IF(AND(DB4&gt;=MAX(1,SUP_CONTROL!$C$17-3),DB4&lt;=SUP_CONTROL!$C$17-1),SUP_CAPEX_FLAGSHIP!$H$55/MIN(3,SUP_CONTROL!$C$17-1),0)</f>
        <v>0</v>
      </c>
      <c r="DC20" s="77">
        <f>IF(AND(DC4&gt;=MAX(1,SUP_CONTROL!$C$17-3),DC4&lt;=SUP_CONTROL!$C$17-1),SUP_CAPEX_FLAGSHIP!$H$55/MIN(3,SUP_CONTROL!$C$17-1),0)</f>
        <v>0</v>
      </c>
      <c r="DD20" s="77">
        <f>IF(AND(DD4&gt;=MAX(1,SUP_CONTROL!$C$17-3),DD4&lt;=SUP_CONTROL!$C$17-1),SUP_CAPEX_FLAGSHIP!$H$55/MIN(3,SUP_CONTROL!$C$17-1),0)</f>
        <v>0</v>
      </c>
      <c r="DE20" s="77">
        <f>IF(AND(DE4&gt;=MAX(1,SUP_CONTROL!$C$17-3),DE4&lt;=SUP_CONTROL!$C$17-1),SUP_CAPEX_FLAGSHIP!$H$55/MIN(3,SUP_CONTROL!$C$17-1),0)</f>
        <v>0</v>
      </c>
      <c r="DF20" s="77">
        <f>IF(AND(DF4&gt;=MAX(1,SUP_CONTROL!$C$17-3),DF4&lt;=SUP_CONTROL!$C$17-1),SUP_CAPEX_FLAGSHIP!$H$55/MIN(3,SUP_CONTROL!$C$17-1),0)</f>
        <v>0</v>
      </c>
      <c r="DG20" s="77">
        <f>IF(AND(DG4&gt;=MAX(1,SUP_CONTROL!$C$17-3),DG4&lt;=SUP_CONTROL!$C$17-1),SUP_CAPEX_FLAGSHIP!$H$55/MIN(3,SUP_CONTROL!$C$17-1),0)</f>
        <v>0</v>
      </c>
      <c r="DH20" s="77">
        <f>IF(AND(DH4&gt;=MAX(1,SUP_CONTROL!$C$17-3),DH4&lt;=SUP_CONTROL!$C$17-1),SUP_CAPEX_FLAGSHIP!$H$55/MIN(3,SUP_CONTROL!$C$17-1),0)</f>
        <v>0</v>
      </c>
      <c r="DI20" s="77">
        <f>IF(AND(DI4&gt;=MAX(1,SUP_CONTROL!$C$17-3),DI4&lt;=SUP_CONTROL!$C$17-1),SUP_CAPEX_FLAGSHIP!$H$55/MIN(3,SUP_CONTROL!$C$17-1),0)</f>
        <v>0</v>
      </c>
      <c r="DJ20" s="77">
        <f>IF(AND(DJ4&gt;=MAX(1,SUP_CONTROL!$C$17-3),DJ4&lt;=SUP_CONTROL!$C$17-1),SUP_CAPEX_FLAGSHIP!$H$55/MIN(3,SUP_CONTROL!$C$17-1),0)</f>
        <v>0</v>
      </c>
      <c r="DK20" s="77">
        <f>IF(AND(DK4&gt;=MAX(1,SUP_CONTROL!$C$17-3),DK4&lt;=SUP_CONTROL!$C$17-1),SUP_CAPEX_FLAGSHIP!$H$55/MIN(3,SUP_CONTROL!$C$17-1),0)</f>
        <v>0</v>
      </c>
      <c r="DL20" s="77">
        <f>IF(AND(DL4&gt;=MAX(1,SUP_CONTROL!$C$17-3),DL4&lt;=SUP_CONTROL!$C$17-1),SUP_CAPEX_FLAGSHIP!$H$55/MIN(3,SUP_CONTROL!$C$17-1),0)</f>
        <v>0</v>
      </c>
      <c r="DM20" s="77">
        <f>IF(AND(DM4&gt;=MAX(1,SUP_CONTROL!$C$17-3),DM4&lt;=SUP_CONTROL!$C$17-1),SUP_CAPEX_FLAGSHIP!$H$55/MIN(3,SUP_CONTROL!$C$17-1),0)</f>
        <v>0</v>
      </c>
      <c r="DN20" s="77">
        <f>IF(AND(DN4&gt;=MAX(1,SUP_CONTROL!$C$17-3),DN4&lt;=SUP_CONTROL!$C$17-1),SUP_CAPEX_FLAGSHIP!$H$55/MIN(3,SUP_CONTROL!$C$17-1),0)</f>
        <v>0</v>
      </c>
      <c r="DO20" s="77">
        <f>IF(AND(DO4&gt;=MAX(1,SUP_CONTROL!$C$17-3),DO4&lt;=SUP_CONTROL!$C$17-1),SUP_CAPEX_FLAGSHIP!$H$55/MIN(3,SUP_CONTROL!$C$17-1),0)</f>
        <v>0</v>
      </c>
      <c r="DP20" s="77">
        <f>IF(AND(DP4&gt;=MAX(1,SUP_CONTROL!$C$17-3),DP4&lt;=SUP_CONTROL!$C$17-1),SUP_CAPEX_FLAGSHIP!$H$55/MIN(3,SUP_CONTROL!$C$17-1),0)</f>
        <v>0</v>
      </c>
      <c r="DQ20" s="77">
        <f>IF(AND(DQ4&gt;=MAX(1,SUP_CONTROL!$C$17-3),DQ4&lt;=SUP_CONTROL!$C$17-1),SUP_CAPEX_FLAGSHIP!$H$55/MIN(3,SUP_CONTROL!$C$17-1),0)</f>
        <v>0</v>
      </c>
      <c r="DR20" s="77">
        <f>IF(AND(DR4&gt;=MAX(1,SUP_CONTROL!$C$17-3),DR4&lt;=SUP_CONTROL!$C$17-1),SUP_CAPEX_FLAGSHIP!$H$55/MIN(3,SUP_CONTROL!$C$17-1),0)</f>
        <v>0</v>
      </c>
      <c r="DS20" s="77">
        <f>IF(AND(DS4&gt;=MAX(1,SUP_CONTROL!$C$17-3),DS4&lt;=SUP_CONTROL!$C$17-1),SUP_CAPEX_FLAGSHIP!$H$55/MIN(3,SUP_CONTROL!$C$17-1),0)</f>
        <v>0</v>
      </c>
    </row>
    <row r="21" spans="1:123" ht="15" customHeight="1" x14ac:dyDescent="0.2">
      <c r="B21" s="37" t="s">
        <v>945</v>
      </c>
      <c r="D21" s="77">
        <f>IF(D4=MAX(1,SUP_CONTROL!$C$17-1),SUP_CONTROL!$C$19*SUP_OPEX!$F$23,0)</f>
        <v>0</v>
      </c>
      <c r="E21" s="77">
        <f>IF(E4=MAX(1,SUP_CONTROL!$C$17-1),SUP_CONTROL!$C$19*SUP_OPEX!$F$23,0)</f>
        <v>0</v>
      </c>
      <c r="F21" s="77">
        <f>IF(F4=MAX(1,SUP_CONTROL!$C$17-1),SUP_CONTROL!$C$19*SUP_OPEX!$F$23,0)</f>
        <v>0</v>
      </c>
      <c r="G21" s="77">
        <f>IF(G4=MAX(1,SUP_CONTROL!$C$17-1),SUP_CONTROL!$C$19*SUP_OPEX!$F$23,0)</f>
        <v>0</v>
      </c>
      <c r="H21" s="77">
        <f>IF(H4=MAX(1,SUP_CONTROL!$C$17-1),SUP_CONTROL!$C$19*SUP_OPEX!$F$23,0)</f>
        <v>0</v>
      </c>
      <c r="I21" s="77">
        <f>IF(I4=MAX(1,SUP_CONTROL!$C$17-1),SUP_CONTROL!$C$19*SUP_OPEX!$F$23,0)</f>
        <v>18645</v>
      </c>
      <c r="J21" s="77">
        <f>IF(J4=MAX(1,SUP_CONTROL!$C$17-1),SUP_CONTROL!$C$19*SUP_OPEX!$F$23,0)</f>
        <v>0</v>
      </c>
      <c r="K21" s="77">
        <f>IF(K4=MAX(1,SUP_CONTROL!$C$17-1),SUP_CONTROL!$C$19*SUP_OPEX!$F$23,0)</f>
        <v>0</v>
      </c>
      <c r="L21" s="77">
        <f>IF(L4=MAX(1,SUP_CONTROL!$C$17-1),SUP_CONTROL!$C$19*SUP_OPEX!$F$23,0)</f>
        <v>0</v>
      </c>
      <c r="M21" s="77">
        <f>IF(M4=MAX(1,SUP_CONTROL!$C$17-1),SUP_CONTROL!$C$19*SUP_OPEX!$F$23,0)</f>
        <v>0</v>
      </c>
      <c r="N21" s="77">
        <f>IF(N4=MAX(1,SUP_CONTROL!$C$17-1),SUP_CONTROL!$C$19*SUP_OPEX!$F$23,0)</f>
        <v>0</v>
      </c>
      <c r="O21" s="77">
        <f>IF(O4=MAX(1,SUP_CONTROL!$C$17-1),SUP_CONTROL!$C$19*SUP_OPEX!$F$23,0)</f>
        <v>0</v>
      </c>
      <c r="P21" s="77">
        <f>IF(P4=MAX(1,SUP_CONTROL!$C$17-1),SUP_CONTROL!$C$19*SUP_OPEX!$F$23,0)</f>
        <v>0</v>
      </c>
      <c r="Q21" s="77">
        <f>IF(Q4=MAX(1,SUP_CONTROL!$C$17-1),SUP_CONTROL!$C$19*SUP_OPEX!$F$23,0)</f>
        <v>0</v>
      </c>
      <c r="R21" s="77">
        <f>IF(R4=MAX(1,SUP_CONTROL!$C$17-1),SUP_CONTROL!$C$19*SUP_OPEX!$F$23,0)</f>
        <v>0</v>
      </c>
      <c r="S21" s="77">
        <f>IF(S4=MAX(1,SUP_CONTROL!$C$17-1),SUP_CONTROL!$C$19*SUP_OPEX!$F$23,0)</f>
        <v>0</v>
      </c>
      <c r="T21" s="77">
        <f>IF(T4=MAX(1,SUP_CONTROL!$C$17-1),SUP_CONTROL!$C$19*SUP_OPEX!$F$23,0)</f>
        <v>0</v>
      </c>
      <c r="U21" s="77">
        <f>IF(U4=MAX(1,SUP_CONTROL!$C$17-1),SUP_CONTROL!$C$19*SUP_OPEX!$F$23,0)</f>
        <v>0</v>
      </c>
      <c r="V21" s="77">
        <f>IF(V4=MAX(1,SUP_CONTROL!$C$17-1),SUP_CONTROL!$C$19*SUP_OPEX!$F$23,0)</f>
        <v>0</v>
      </c>
      <c r="W21" s="77">
        <f>IF(W4=MAX(1,SUP_CONTROL!$C$17-1),SUP_CONTROL!$C$19*SUP_OPEX!$F$23,0)</f>
        <v>0</v>
      </c>
      <c r="X21" s="77">
        <f>IF(X4=MAX(1,SUP_CONTROL!$C$17-1),SUP_CONTROL!$C$19*SUP_OPEX!$F$23,0)</f>
        <v>0</v>
      </c>
      <c r="Y21" s="77">
        <f>IF(Y4=MAX(1,SUP_CONTROL!$C$17-1),SUP_CONTROL!$C$19*SUP_OPEX!$F$23,0)</f>
        <v>0</v>
      </c>
      <c r="Z21" s="77">
        <f>IF(Z4=MAX(1,SUP_CONTROL!$C$17-1),SUP_CONTROL!$C$19*SUP_OPEX!$F$23,0)</f>
        <v>0</v>
      </c>
      <c r="AA21" s="77">
        <f>IF(AA4=MAX(1,SUP_CONTROL!$C$17-1),SUP_CONTROL!$C$19*SUP_OPEX!$F$23,0)</f>
        <v>0</v>
      </c>
      <c r="AB21" s="77">
        <f>IF(AB4=MAX(1,SUP_CONTROL!$C$17-1),SUP_CONTROL!$C$19*SUP_OPEX!$F$23,0)</f>
        <v>0</v>
      </c>
      <c r="AC21" s="77">
        <f>IF(AC4=MAX(1,SUP_CONTROL!$C$17-1),SUP_CONTROL!$C$19*SUP_OPEX!$F$23,0)</f>
        <v>0</v>
      </c>
      <c r="AD21" s="77">
        <f>IF(AD4=MAX(1,SUP_CONTROL!$C$17-1),SUP_CONTROL!$C$19*SUP_OPEX!$F$23,0)</f>
        <v>0</v>
      </c>
      <c r="AE21" s="77">
        <f>IF(AE4=MAX(1,SUP_CONTROL!$C$17-1),SUP_CONTROL!$C$19*SUP_OPEX!$F$23,0)</f>
        <v>0</v>
      </c>
      <c r="AF21" s="77">
        <f>IF(AF4=MAX(1,SUP_CONTROL!$C$17-1),SUP_CONTROL!$C$19*SUP_OPEX!$F$23,0)</f>
        <v>0</v>
      </c>
      <c r="AG21" s="77">
        <f>IF(AG4=MAX(1,SUP_CONTROL!$C$17-1),SUP_CONTROL!$C$19*SUP_OPEX!$F$23,0)</f>
        <v>0</v>
      </c>
      <c r="AH21" s="77">
        <f>IF(AH4=MAX(1,SUP_CONTROL!$C$17-1),SUP_CONTROL!$C$19*SUP_OPEX!$F$23,0)</f>
        <v>0</v>
      </c>
      <c r="AI21" s="77">
        <f>IF(AI4=MAX(1,SUP_CONTROL!$C$17-1),SUP_CONTROL!$C$19*SUP_OPEX!$F$23,0)</f>
        <v>0</v>
      </c>
      <c r="AJ21" s="77">
        <f>IF(AJ4=MAX(1,SUP_CONTROL!$C$17-1),SUP_CONTROL!$C$19*SUP_OPEX!$F$23,0)</f>
        <v>0</v>
      </c>
      <c r="AK21" s="77">
        <f>IF(AK4=MAX(1,SUP_CONTROL!$C$17-1),SUP_CONTROL!$C$19*SUP_OPEX!$F$23,0)</f>
        <v>0</v>
      </c>
      <c r="AL21" s="77">
        <f>IF(AL4=MAX(1,SUP_CONTROL!$C$17-1),SUP_CONTROL!$C$19*SUP_OPEX!$F$23,0)</f>
        <v>0</v>
      </c>
      <c r="AM21" s="77">
        <f>IF(AM4=MAX(1,SUP_CONTROL!$C$17-1),SUP_CONTROL!$C$19*SUP_OPEX!$F$23,0)</f>
        <v>0</v>
      </c>
      <c r="AN21" s="77">
        <f>IF(AN4=MAX(1,SUP_CONTROL!$C$17-1),SUP_CONTROL!$C$19*SUP_OPEX!$F$23,0)</f>
        <v>0</v>
      </c>
      <c r="AO21" s="77">
        <f>IF(AO4=MAX(1,SUP_CONTROL!$C$17-1),SUP_CONTROL!$C$19*SUP_OPEX!$F$23,0)</f>
        <v>0</v>
      </c>
      <c r="AP21" s="77">
        <f>IF(AP4=MAX(1,SUP_CONTROL!$C$17-1),SUP_CONTROL!$C$19*SUP_OPEX!$F$23,0)</f>
        <v>0</v>
      </c>
      <c r="AQ21" s="77">
        <f>IF(AQ4=MAX(1,SUP_CONTROL!$C$17-1),SUP_CONTROL!$C$19*SUP_OPEX!$F$23,0)</f>
        <v>0</v>
      </c>
      <c r="AR21" s="77">
        <f>IF(AR4=MAX(1,SUP_CONTROL!$C$17-1),SUP_CONTROL!$C$19*SUP_OPEX!$F$23,0)</f>
        <v>0</v>
      </c>
      <c r="AS21" s="77">
        <f>IF(AS4=MAX(1,SUP_CONTROL!$C$17-1),SUP_CONTROL!$C$19*SUP_OPEX!$F$23,0)</f>
        <v>0</v>
      </c>
      <c r="AT21" s="77">
        <f>IF(AT4=MAX(1,SUP_CONTROL!$C$17-1),SUP_CONTROL!$C$19*SUP_OPEX!$F$23,0)</f>
        <v>0</v>
      </c>
      <c r="AU21" s="77">
        <f>IF(AU4=MAX(1,SUP_CONTROL!$C$17-1),SUP_CONTROL!$C$19*SUP_OPEX!$F$23,0)</f>
        <v>0</v>
      </c>
      <c r="AV21" s="77">
        <f>IF(AV4=MAX(1,SUP_CONTROL!$C$17-1),SUP_CONTROL!$C$19*SUP_OPEX!$F$23,0)</f>
        <v>0</v>
      </c>
      <c r="AW21" s="77">
        <f>IF(AW4=MAX(1,SUP_CONTROL!$C$17-1),SUP_CONTROL!$C$19*SUP_OPEX!$F$23,0)</f>
        <v>0</v>
      </c>
      <c r="AX21" s="77">
        <f>IF(AX4=MAX(1,SUP_CONTROL!$C$17-1),SUP_CONTROL!$C$19*SUP_OPEX!$F$23,0)</f>
        <v>0</v>
      </c>
      <c r="AY21" s="77">
        <f>IF(AY4=MAX(1,SUP_CONTROL!$C$17-1),SUP_CONTROL!$C$19*SUP_OPEX!$F$23,0)</f>
        <v>0</v>
      </c>
      <c r="AZ21" s="77">
        <f>IF(AZ4=MAX(1,SUP_CONTROL!$C$17-1),SUP_CONTROL!$C$19*SUP_OPEX!$F$23,0)</f>
        <v>0</v>
      </c>
      <c r="BA21" s="77">
        <f>IF(BA4=MAX(1,SUP_CONTROL!$C$17-1),SUP_CONTROL!$C$19*SUP_OPEX!$F$23,0)</f>
        <v>0</v>
      </c>
      <c r="BB21" s="77">
        <f>IF(BB4=MAX(1,SUP_CONTROL!$C$17-1),SUP_CONTROL!$C$19*SUP_OPEX!$F$23,0)</f>
        <v>0</v>
      </c>
      <c r="BC21" s="77">
        <f>IF(BC4=MAX(1,SUP_CONTROL!$C$17-1),SUP_CONTROL!$C$19*SUP_OPEX!$F$23,0)</f>
        <v>0</v>
      </c>
      <c r="BD21" s="77">
        <f>IF(BD4=MAX(1,SUP_CONTROL!$C$17-1),SUP_CONTROL!$C$19*SUP_OPEX!$F$23,0)</f>
        <v>0</v>
      </c>
      <c r="BE21" s="77">
        <f>IF(BE4=MAX(1,SUP_CONTROL!$C$17-1),SUP_CONTROL!$C$19*SUP_OPEX!$F$23,0)</f>
        <v>0</v>
      </c>
      <c r="BF21" s="77">
        <f>IF(BF4=MAX(1,SUP_CONTROL!$C$17-1),SUP_CONTROL!$C$19*SUP_OPEX!$F$23,0)</f>
        <v>0</v>
      </c>
      <c r="BG21" s="77">
        <f>IF(BG4=MAX(1,SUP_CONTROL!$C$17-1),SUP_CONTROL!$C$19*SUP_OPEX!$F$23,0)</f>
        <v>0</v>
      </c>
      <c r="BH21" s="77">
        <f>IF(BH4=MAX(1,SUP_CONTROL!$C$17-1),SUP_CONTROL!$C$19*SUP_OPEX!$F$23,0)</f>
        <v>0</v>
      </c>
      <c r="BI21" s="77">
        <f>IF(BI4=MAX(1,SUP_CONTROL!$C$17-1),SUP_CONTROL!$C$19*SUP_OPEX!$F$23,0)</f>
        <v>0</v>
      </c>
      <c r="BJ21" s="77">
        <f>IF(BJ4=MAX(1,SUP_CONTROL!$C$17-1),SUP_CONTROL!$C$19*SUP_OPEX!$F$23,0)</f>
        <v>0</v>
      </c>
      <c r="BK21" s="77">
        <f>IF(BK4=MAX(1,SUP_CONTROL!$C$17-1),SUP_CONTROL!$C$19*SUP_OPEX!$F$23,0)</f>
        <v>0</v>
      </c>
      <c r="BL21" s="77">
        <f>IF(BL4=MAX(1,SUP_CONTROL!$C$17-1),SUP_CONTROL!$C$19*SUP_OPEX!$F$23,0)</f>
        <v>0</v>
      </c>
      <c r="BM21" s="77">
        <f>IF(BM4=MAX(1,SUP_CONTROL!$C$17-1),SUP_CONTROL!$C$19*SUP_OPEX!$F$23,0)</f>
        <v>0</v>
      </c>
      <c r="BN21" s="77">
        <f>IF(BN4=MAX(1,SUP_CONTROL!$C$17-1),SUP_CONTROL!$C$19*SUP_OPEX!$F$23,0)</f>
        <v>0</v>
      </c>
      <c r="BO21" s="77">
        <f>IF(BO4=MAX(1,SUP_CONTROL!$C$17-1),SUP_CONTROL!$C$19*SUP_OPEX!$F$23,0)</f>
        <v>0</v>
      </c>
      <c r="BP21" s="77">
        <f>IF(BP4=MAX(1,SUP_CONTROL!$C$17-1),SUP_CONTROL!$C$19*SUP_OPEX!$F$23,0)</f>
        <v>0</v>
      </c>
      <c r="BQ21" s="77">
        <f>IF(BQ4=MAX(1,SUP_CONTROL!$C$17-1),SUP_CONTROL!$C$19*SUP_OPEX!$F$23,0)</f>
        <v>0</v>
      </c>
      <c r="BR21" s="77">
        <f>IF(BR4=MAX(1,SUP_CONTROL!$C$17-1),SUP_CONTROL!$C$19*SUP_OPEX!$F$23,0)</f>
        <v>0</v>
      </c>
      <c r="BS21" s="77">
        <f>IF(BS4=MAX(1,SUP_CONTROL!$C$17-1),SUP_CONTROL!$C$19*SUP_OPEX!$F$23,0)</f>
        <v>0</v>
      </c>
      <c r="BT21" s="77">
        <f>IF(BT4=MAX(1,SUP_CONTROL!$C$17-1),SUP_CONTROL!$C$19*SUP_OPEX!$F$23,0)</f>
        <v>0</v>
      </c>
      <c r="BU21" s="77">
        <f>IF(BU4=MAX(1,SUP_CONTROL!$C$17-1),SUP_CONTROL!$C$19*SUP_OPEX!$F$23,0)</f>
        <v>0</v>
      </c>
      <c r="BV21" s="77">
        <f>IF(BV4=MAX(1,SUP_CONTROL!$C$17-1),SUP_CONTROL!$C$19*SUP_OPEX!$F$23,0)</f>
        <v>0</v>
      </c>
      <c r="BW21" s="77">
        <f>IF(BW4=MAX(1,SUP_CONTROL!$C$17-1),SUP_CONTROL!$C$19*SUP_OPEX!$F$23,0)</f>
        <v>0</v>
      </c>
      <c r="BX21" s="77">
        <f>IF(BX4=MAX(1,SUP_CONTROL!$C$17-1),SUP_CONTROL!$C$19*SUP_OPEX!$F$23,0)</f>
        <v>0</v>
      </c>
      <c r="BY21" s="77">
        <f>IF(BY4=MAX(1,SUP_CONTROL!$C$17-1),SUP_CONTROL!$C$19*SUP_OPEX!$F$23,0)</f>
        <v>0</v>
      </c>
      <c r="BZ21" s="77">
        <f>IF(BZ4=MAX(1,SUP_CONTROL!$C$17-1),SUP_CONTROL!$C$19*SUP_OPEX!$F$23,0)</f>
        <v>0</v>
      </c>
      <c r="CA21" s="77">
        <f>IF(CA4=MAX(1,SUP_CONTROL!$C$17-1),SUP_CONTROL!$C$19*SUP_OPEX!$F$23,0)</f>
        <v>0</v>
      </c>
      <c r="CB21" s="77">
        <f>IF(CB4=MAX(1,SUP_CONTROL!$C$17-1),SUP_CONTROL!$C$19*SUP_OPEX!$F$23,0)</f>
        <v>0</v>
      </c>
      <c r="CC21" s="77">
        <f>IF(CC4=MAX(1,SUP_CONTROL!$C$17-1),SUP_CONTROL!$C$19*SUP_OPEX!$F$23,0)</f>
        <v>0</v>
      </c>
      <c r="CD21" s="77">
        <f>IF(CD4=MAX(1,SUP_CONTROL!$C$17-1),SUP_CONTROL!$C$19*SUP_OPEX!$F$23,0)</f>
        <v>0</v>
      </c>
      <c r="CE21" s="77">
        <f>IF(CE4=MAX(1,SUP_CONTROL!$C$17-1),SUP_CONTROL!$C$19*SUP_OPEX!$F$23,0)</f>
        <v>0</v>
      </c>
      <c r="CF21" s="77">
        <f>IF(CF4=MAX(1,SUP_CONTROL!$C$17-1),SUP_CONTROL!$C$19*SUP_OPEX!$F$23,0)</f>
        <v>0</v>
      </c>
      <c r="CG21" s="77">
        <f>IF(CG4=MAX(1,SUP_CONTROL!$C$17-1),SUP_CONTROL!$C$19*SUP_OPEX!$F$23,0)</f>
        <v>0</v>
      </c>
      <c r="CH21" s="77">
        <f>IF(CH4=MAX(1,SUP_CONTROL!$C$17-1),SUP_CONTROL!$C$19*SUP_OPEX!$F$23,0)</f>
        <v>0</v>
      </c>
      <c r="CI21" s="77">
        <f>IF(CI4=MAX(1,SUP_CONTROL!$C$17-1),SUP_CONTROL!$C$19*SUP_OPEX!$F$23,0)</f>
        <v>0</v>
      </c>
      <c r="CJ21" s="77">
        <f>IF(CJ4=MAX(1,SUP_CONTROL!$C$17-1),SUP_CONTROL!$C$19*SUP_OPEX!$F$23,0)</f>
        <v>0</v>
      </c>
      <c r="CK21" s="77">
        <f>IF(CK4=MAX(1,SUP_CONTROL!$C$17-1),SUP_CONTROL!$C$19*SUP_OPEX!$F$23,0)</f>
        <v>0</v>
      </c>
      <c r="CL21" s="77">
        <f>IF(CL4=MAX(1,SUP_CONTROL!$C$17-1),SUP_CONTROL!$C$19*SUP_OPEX!$F$23,0)</f>
        <v>0</v>
      </c>
      <c r="CM21" s="77">
        <f>IF(CM4=MAX(1,SUP_CONTROL!$C$17-1),SUP_CONTROL!$C$19*SUP_OPEX!$F$23,0)</f>
        <v>0</v>
      </c>
      <c r="CN21" s="77">
        <f>IF(CN4=MAX(1,SUP_CONTROL!$C$17-1),SUP_CONTROL!$C$19*SUP_OPEX!$F$23,0)</f>
        <v>0</v>
      </c>
      <c r="CO21" s="77">
        <f>IF(CO4=MAX(1,SUP_CONTROL!$C$17-1),SUP_CONTROL!$C$19*SUP_OPEX!$F$23,0)</f>
        <v>0</v>
      </c>
      <c r="CP21" s="77">
        <f>IF(CP4=MAX(1,SUP_CONTROL!$C$17-1),SUP_CONTROL!$C$19*SUP_OPEX!$F$23,0)</f>
        <v>0</v>
      </c>
      <c r="CQ21" s="77">
        <f>IF(CQ4=MAX(1,SUP_CONTROL!$C$17-1),SUP_CONTROL!$C$19*SUP_OPEX!$F$23,0)</f>
        <v>0</v>
      </c>
      <c r="CR21" s="77">
        <f>IF(CR4=MAX(1,SUP_CONTROL!$C$17-1),SUP_CONTROL!$C$19*SUP_OPEX!$F$23,0)</f>
        <v>0</v>
      </c>
      <c r="CS21" s="77">
        <f>IF(CS4=MAX(1,SUP_CONTROL!$C$17-1),SUP_CONTROL!$C$19*SUP_OPEX!$F$23,0)</f>
        <v>0</v>
      </c>
      <c r="CT21" s="77">
        <f>IF(CT4=MAX(1,SUP_CONTROL!$C$17-1),SUP_CONTROL!$C$19*SUP_OPEX!$F$23,0)</f>
        <v>0</v>
      </c>
      <c r="CU21" s="77">
        <f>IF(CU4=MAX(1,SUP_CONTROL!$C$17-1),SUP_CONTROL!$C$19*SUP_OPEX!$F$23,0)</f>
        <v>0</v>
      </c>
      <c r="CV21" s="77">
        <f>IF(CV4=MAX(1,SUP_CONTROL!$C$17-1),SUP_CONTROL!$C$19*SUP_OPEX!$F$23,0)</f>
        <v>0</v>
      </c>
      <c r="CW21" s="77">
        <f>IF(CW4=MAX(1,SUP_CONTROL!$C$17-1),SUP_CONTROL!$C$19*SUP_OPEX!$F$23,0)</f>
        <v>0</v>
      </c>
      <c r="CX21" s="77">
        <f>IF(CX4=MAX(1,SUP_CONTROL!$C$17-1),SUP_CONTROL!$C$19*SUP_OPEX!$F$23,0)</f>
        <v>0</v>
      </c>
      <c r="CY21" s="77">
        <f>IF(CY4=MAX(1,SUP_CONTROL!$C$17-1),SUP_CONTROL!$C$19*SUP_OPEX!$F$23,0)</f>
        <v>0</v>
      </c>
      <c r="CZ21" s="77">
        <f>IF(CZ4=MAX(1,SUP_CONTROL!$C$17-1),SUP_CONTROL!$C$19*SUP_OPEX!$F$23,0)</f>
        <v>0</v>
      </c>
      <c r="DA21" s="77">
        <f>IF(DA4=MAX(1,SUP_CONTROL!$C$17-1),SUP_CONTROL!$C$19*SUP_OPEX!$F$23,0)</f>
        <v>0</v>
      </c>
      <c r="DB21" s="77">
        <f>IF(DB4=MAX(1,SUP_CONTROL!$C$17-1),SUP_CONTROL!$C$19*SUP_OPEX!$F$23,0)</f>
        <v>0</v>
      </c>
      <c r="DC21" s="77">
        <f>IF(DC4=MAX(1,SUP_CONTROL!$C$17-1),SUP_CONTROL!$C$19*SUP_OPEX!$F$23,0)</f>
        <v>0</v>
      </c>
      <c r="DD21" s="77">
        <f>IF(DD4=MAX(1,SUP_CONTROL!$C$17-1),SUP_CONTROL!$C$19*SUP_OPEX!$F$23,0)</f>
        <v>0</v>
      </c>
      <c r="DE21" s="77">
        <f>IF(DE4=MAX(1,SUP_CONTROL!$C$17-1),SUP_CONTROL!$C$19*SUP_OPEX!$F$23,0)</f>
        <v>0</v>
      </c>
      <c r="DF21" s="77">
        <f>IF(DF4=MAX(1,SUP_CONTROL!$C$17-1),SUP_CONTROL!$C$19*SUP_OPEX!$F$23,0)</f>
        <v>0</v>
      </c>
      <c r="DG21" s="77">
        <f>IF(DG4=MAX(1,SUP_CONTROL!$C$17-1),SUP_CONTROL!$C$19*SUP_OPEX!$F$23,0)</f>
        <v>0</v>
      </c>
      <c r="DH21" s="77">
        <f>IF(DH4=MAX(1,SUP_CONTROL!$C$17-1),SUP_CONTROL!$C$19*SUP_OPEX!$F$23,0)</f>
        <v>0</v>
      </c>
      <c r="DI21" s="77">
        <f>IF(DI4=MAX(1,SUP_CONTROL!$C$17-1),SUP_CONTROL!$C$19*SUP_OPEX!$F$23,0)</f>
        <v>0</v>
      </c>
      <c r="DJ21" s="77">
        <f>IF(DJ4=MAX(1,SUP_CONTROL!$C$17-1),SUP_CONTROL!$C$19*SUP_OPEX!$F$23,0)</f>
        <v>0</v>
      </c>
      <c r="DK21" s="77">
        <f>IF(DK4=MAX(1,SUP_CONTROL!$C$17-1),SUP_CONTROL!$C$19*SUP_OPEX!$F$23,0)</f>
        <v>0</v>
      </c>
      <c r="DL21" s="77">
        <f>IF(DL4=MAX(1,SUP_CONTROL!$C$17-1),SUP_CONTROL!$C$19*SUP_OPEX!$F$23,0)</f>
        <v>0</v>
      </c>
      <c r="DM21" s="77">
        <f>IF(DM4=MAX(1,SUP_CONTROL!$C$17-1),SUP_CONTROL!$C$19*SUP_OPEX!$F$23,0)</f>
        <v>0</v>
      </c>
      <c r="DN21" s="77">
        <f>IF(DN4=MAX(1,SUP_CONTROL!$C$17-1),SUP_CONTROL!$C$19*SUP_OPEX!$F$23,0)</f>
        <v>0</v>
      </c>
      <c r="DO21" s="77">
        <f>IF(DO4=MAX(1,SUP_CONTROL!$C$17-1),SUP_CONTROL!$C$19*SUP_OPEX!$F$23,0)</f>
        <v>0</v>
      </c>
      <c r="DP21" s="77">
        <f>IF(DP4=MAX(1,SUP_CONTROL!$C$17-1),SUP_CONTROL!$C$19*SUP_OPEX!$F$23,0)</f>
        <v>0</v>
      </c>
      <c r="DQ21" s="77">
        <f>IF(DQ4=MAX(1,SUP_CONTROL!$C$17-1),SUP_CONTROL!$C$19*SUP_OPEX!$F$23,0)</f>
        <v>0</v>
      </c>
      <c r="DR21" s="77">
        <f>IF(DR4=MAX(1,SUP_CONTROL!$C$17-1),SUP_CONTROL!$C$19*SUP_OPEX!$F$23,0)</f>
        <v>0</v>
      </c>
      <c r="DS21" s="77">
        <f>IF(DS4=MAX(1,SUP_CONTROL!$C$17-1),SUP_CONTROL!$C$19*SUP_OPEX!$F$23,0)</f>
        <v>0</v>
      </c>
    </row>
    <row r="22" spans="1:123" ht="15" customHeight="1" x14ac:dyDescent="0.2">
      <c r="B22" s="37" t="s">
        <v>946</v>
      </c>
      <c r="D22" s="77">
        <f>D20</f>
        <v>0</v>
      </c>
      <c r="E22" s="77">
        <f t="shared" ref="E22:AJ22" si="8">D22+E20</f>
        <v>0</v>
      </c>
      <c r="F22" s="77">
        <f t="shared" si="8"/>
        <v>0</v>
      </c>
      <c r="G22" s="77">
        <f t="shared" si="8"/>
        <v>161876.14025</v>
      </c>
      <c r="H22" s="77">
        <f t="shared" si="8"/>
        <v>323752.28049999999</v>
      </c>
      <c r="I22" s="77">
        <f t="shared" si="8"/>
        <v>485628.42074999999</v>
      </c>
      <c r="J22" s="77">
        <f t="shared" si="8"/>
        <v>485628.42074999999</v>
      </c>
      <c r="K22" s="77">
        <f t="shared" si="8"/>
        <v>485628.42074999999</v>
      </c>
      <c r="L22" s="77">
        <f t="shared" si="8"/>
        <v>485628.42074999999</v>
      </c>
      <c r="M22" s="77">
        <f t="shared" si="8"/>
        <v>485628.42074999999</v>
      </c>
      <c r="N22" s="77">
        <f t="shared" si="8"/>
        <v>485628.42074999999</v>
      </c>
      <c r="O22" s="77">
        <f t="shared" si="8"/>
        <v>485628.42074999999</v>
      </c>
      <c r="P22" s="77">
        <f t="shared" si="8"/>
        <v>485628.42074999999</v>
      </c>
      <c r="Q22" s="77">
        <f t="shared" si="8"/>
        <v>485628.42074999999</v>
      </c>
      <c r="R22" s="77">
        <f t="shared" si="8"/>
        <v>485628.42074999999</v>
      </c>
      <c r="S22" s="77">
        <f t="shared" si="8"/>
        <v>485628.42074999999</v>
      </c>
      <c r="T22" s="77">
        <f t="shared" si="8"/>
        <v>485628.42074999999</v>
      </c>
      <c r="U22" s="77">
        <f t="shared" si="8"/>
        <v>485628.42074999999</v>
      </c>
      <c r="V22" s="77">
        <f t="shared" si="8"/>
        <v>485628.42074999999</v>
      </c>
      <c r="W22" s="77">
        <f t="shared" si="8"/>
        <v>485628.42074999999</v>
      </c>
      <c r="X22" s="77">
        <f t="shared" si="8"/>
        <v>485628.42074999999</v>
      </c>
      <c r="Y22" s="77">
        <f t="shared" si="8"/>
        <v>485628.42074999999</v>
      </c>
      <c r="Z22" s="77">
        <f t="shared" si="8"/>
        <v>485628.42074999999</v>
      </c>
      <c r="AA22" s="77">
        <f t="shared" si="8"/>
        <v>485628.42074999999</v>
      </c>
      <c r="AB22" s="77">
        <f t="shared" si="8"/>
        <v>485628.42074999999</v>
      </c>
      <c r="AC22" s="77">
        <f t="shared" si="8"/>
        <v>485628.42074999999</v>
      </c>
      <c r="AD22" s="77">
        <f t="shared" si="8"/>
        <v>485628.42074999999</v>
      </c>
      <c r="AE22" s="77">
        <f t="shared" si="8"/>
        <v>485628.42074999999</v>
      </c>
      <c r="AF22" s="77">
        <f t="shared" si="8"/>
        <v>485628.42074999999</v>
      </c>
      <c r="AG22" s="77">
        <f t="shared" si="8"/>
        <v>485628.42074999999</v>
      </c>
      <c r="AH22" s="77">
        <f t="shared" si="8"/>
        <v>485628.42074999999</v>
      </c>
      <c r="AI22" s="77">
        <f t="shared" si="8"/>
        <v>485628.42074999999</v>
      </c>
      <c r="AJ22" s="77">
        <f t="shared" si="8"/>
        <v>485628.42074999999</v>
      </c>
      <c r="AK22" s="77">
        <f t="shared" ref="AK22:BP22" si="9">AJ22+AK20</f>
        <v>485628.42074999999</v>
      </c>
      <c r="AL22" s="77">
        <f t="shared" si="9"/>
        <v>485628.42074999999</v>
      </c>
      <c r="AM22" s="77">
        <f t="shared" si="9"/>
        <v>485628.42074999999</v>
      </c>
      <c r="AN22" s="77">
        <f t="shared" si="9"/>
        <v>485628.42074999999</v>
      </c>
      <c r="AO22" s="77">
        <f t="shared" si="9"/>
        <v>485628.42074999999</v>
      </c>
      <c r="AP22" s="77">
        <f t="shared" si="9"/>
        <v>485628.42074999999</v>
      </c>
      <c r="AQ22" s="77">
        <f t="shared" si="9"/>
        <v>485628.42074999999</v>
      </c>
      <c r="AR22" s="77">
        <f t="shared" si="9"/>
        <v>485628.42074999999</v>
      </c>
      <c r="AS22" s="77">
        <f t="shared" si="9"/>
        <v>485628.42074999999</v>
      </c>
      <c r="AT22" s="77">
        <f t="shared" si="9"/>
        <v>485628.42074999999</v>
      </c>
      <c r="AU22" s="77">
        <f t="shared" si="9"/>
        <v>485628.42074999999</v>
      </c>
      <c r="AV22" s="77">
        <f t="shared" si="9"/>
        <v>485628.42074999999</v>
      </c>
      <c r="AW22" s="77">
        <f t="shared" si="9"/>
        <v>485628.42074999999</v>
      </c>
      <c r="AX22" s="77">
        <f t="shared" si="9"/>
        <v>485628.42074999999</v>
      </c>
      <c r="AY22" s="77">
        <f t="shared" si="9"/>
        <v>485628.42074999999</v>
      </c>
      <c r="AZ22" s="77">
        <f t="shared" si="9"/>
        <v>485628.42074999999</v>
      </c>
      <c r="BA22" s="77">
        <f t="shared" si="9"/>
        <v>485628.42074999999</v>
      </c>
      <c r="BB22" s="77">
        <f t="shared" si="9"/>
        <v>485628.42074999999</v>
      </c>
      <c r="BC22" s="77">
        <f t="shared" si="9"/>
        <v>485628.42074999999</v>
      </c>
      <c r="BD22" s="77">
        <f t="shared" si="9"/>
        <v>485628.42074999999</v>
      </c>
      <c r="BE22" s="77">
        <f t="shared" si="9"/>
        <v>485628.42074999999</v>
      </c>
      <c r="BF22" s="77">
        <f t="shared" si="9"/>
        <v>485628.42074999999</v>
      </c>
      <c r="BG22" s="77">
        <f t="shared" si="9"/>
        <v>485628.42074999999</v>
      </c>
      <c r="BH22" s="77">
        <f t="shared" si="9"/>
        <v>485628.42074999999</v>
      </c>
      <c r="BI22" s="77">
        <f t="shared" si="9"/>
        <v>485628.42074999999</v>
      </c>
      <c r="BJ22" s="77">
        <f t="shared" si="9"/>
        <v>485628.42074999999</v>
      </c>
      <c r="BK22" s="77">
        <f t="shared" si="9"/>
        <v>485628.42074999999</v>
      </c>
      <c r="BL22" s="77">
        <f t="shared" si="9"/>
        <v>485628.42074999999</v>
      </c>
      <c r="BM22" s="77">
        <f t="shared" si="9"/>
        <v>485628.42074999999</v>
      </c>
      <c r="BN22" s="77">
        <f t="shared" si="9"/>
        <v>485628.42074999999</v>
      </c>
      <c r="BO22" s="77">
        <f t="shared" si="9"/>
        <v>485628.42074999999</v>
      </c>
      <c r="BP22" s="77">
        <f t="shared" si="9"/>
        <v>485628.42074999999</v>
      </c>
      <c r="BQ22" s="77">
        <f t="shared" ref="BQ22:CV22" si="10">BP22+BQ20</f>
        <v>485628.42074999999</v>
      </c>
      <c r="BR22" s="77">
        <f t="shared" si="10"/>
        <v>485628.42074999999</v>
      </c>
      <c r="BS22" s="77">
        <f t="shared" si="10"/>
        <v>485628.42074999999</v>
      </c>
      <c r="BT22" s="77">
        <f t="shared" si="10"/>
        <v>485628.42074999999</v>
      </c>
      <c r="BU22" s="77">
        <f t="shared" si="10"/>
        <v>485628.42074999999</v>
      </c>
      <c r="BV22" s="77">
        <f t="shared" si="10"/>
        <v>485628.42074999999</v>
      </c>
      <c r="BW22" s="77">
        <f t="shared" si="10"/>
        <v>485628.42074999999</v>
      </c>
      <c r="BX22" s="77">
        <f t="shared" si="10"/>
        <v>485628.42074999999</v>
      </c>
      <c r="BY22" s="77">
        <f t="shared" si="10"/>
        <v>485628.42074999999</v>
      </c>
      <c r="BZ22" s="77">
        <f t="shared" si="10"/>
        <v>485628.42074999999</v>
      </c>
      <c r="CA22" s="77">
        <f t="shared" si="10"/>
        <v>485628.42074999999</v>
      </c>
      <c r="CB22" s="77">
        <f t="shared" si="10"/>
        <v>485628.42074999999</v>
      </c>
      <c r="CC22" s="77">
        <f t="shared" si="10"/>
        <v>485628.42074999999</v>
      </c>
      <c r="CD22" s="77">
        <f t="shared" si="10"/>
        <v>485628.42074999999</v>
      </c>
      <c r="CE22" s="77">
        <f t="shared" si="10"/>
        <v>485628.42074999999</v>
      </c>
      <c r="CF22" s="77">
        <f t="shared" si="10"/>
        <v>485628.42074999999</v>
      </c>
      <c r="CG22" s="77">
        <f t="shared" si="10"/>
        <v>485628.42074999999</v>
      </c>
      <c r="CH22" s="77">
        <f t="shared" si="10"/>
        <v>485628.42074999999</v>
      </c>
      <c r="CI22" s="77">
        <f t="shared" si="10"/>
        <v>485628.42074999999</v>
      </c>
      <c r="CJ22" s="77">
        <f t="shared" si="10"/>
        <v>485628.42074999999</v>
      </c>
      <c r="CK22" s="77">
        <f t="shared" si="10"/>
        <v>485628.42074999999</v>
      </c>
      <c r="CL22" s="77">
        <f t="shared" si="10"/>
        <v>485628.42074999999</v>
      </c>
      <c r="CM22" s="77">
        <f t="shared" si="10"/>
        <v>485628.42074999999</v>
      </c>
      <c r="CN22" s="77">
        <f t="shared" si="10"/>
        <v>485628.42074999999</v>
      </c>
      <c r="CO22" s="77">
        <f t="shared" si="10"/>
        <v>485628.42074999999</v>
      </c>
      <c r="CP22" s="77">
        <f t="shared" si="10"/>
        <v>485628.42074999999</v>
      </c>
      <c r="CQ22" s="77">
        <f t="shared" si="10"/>
        <v>485628.42074999999</v>
      </c>
      <c r="CR22" s="77">
        <f t="shared" si="10"/>
        <v>485628.42074999999</v>
      </c>
      <c r="CS22" s="77">
        <f t="shared" si="10"/>
        <v>485628.42074999999</v>
      </c>
      <c r="CT22" s="77">
        <f t="shared" si="10"/>
        <v>485628.42074999999</v>
      </c>
      <c r="CU22" s="77">
        <f t="shared" si="10"/>
        <v>485628.42074999999</v>
      </c>
      <c r="CV22" s="77">
        <f t="shared" si="10"/>
        <v>485628.42074999999</v>
      </c>
      <c r="CW22" s="77">
        <f t="shared" ref="CW22:DS22" si="11">CV22+CW20</f>
        <v>485628.42074999999</v>
      </c>
      <c r="CX22" s="77">
        <f t="shared" si="11"/>
        <v>485628.42074999999</v>
      </c>
      <c r="CY22" s="77">
        <f t="shared" si="11"/>
        <v>485628.42074999999</v>
      </c>
      <c r="CZ22" s="77">
        <f t="shared" si="11"/>
        <v>485628.42074999999</v>
      </c>
      <c r="DA22" s="77">
        <f t="shared" si="11"/>
        <v>485628.42074999999</v>
      </c>
      <c r="DB22" s="77">
        <f t="shared" si="11"/>
        <v>485628.42074999999</v>
      </c>
      <c r="DC22" s="77">
        <f t="shared" si="11"/>
        <v>485628.42074999999</v>
      </c>
      <c r="DD22" s="77">
        <f t="shared" si="11"/>
        <v>485628.42074999999</v>
      </c>
      <c r="DE22" s="77">
        <f t="shared" si="11"/>
        <v>485628.42074999999</v>
      </c>
      <c r="DF22" s="77">
        <f t="shared" si="11"/>
        <v>485628.42074999999</v>
      </c>
      <c r="DG22" s="77">
        <f t="shared" si="11"/>
        <v>485628.42074999999</v>
      </c>
      <c r="DH22" s="77">
        <f t="shared" si="11"/>
        <v>485628.42074999999</v>
      </c>
      <c r="DI22" s="77">
        <f t="shared" si="11"/>
        <v>485628.42074999999</v>
      </c>
      <c r="DJ22" s="77">
        <f t="shared" si="11"/>
        <v>485628.42074999999</v>
      </c>
      <c r="DK22" s="77">
        <f t="shared" si="11"/>
        <v>485628.42074999999</v>
      </c>
      <c r="DL22" s="77">
        <f t="shared" si="11"/>
        <v>485628.42074999999</v>
      </c>
      <c r="DM22" s="77">
        <f t="shared" si="11"/>
        <v>485628.42074999999</v>
      </c>
      <c r="DN22" s="77">
        <f t="shared" si="11"/>
        <v>485628.42074999999</v>
      </c>
      <c r="DO22" s="77">
        <f t="shared" si="11"/>
        <v>485628.42074999999</v>
      </c>
      <c r="DP22" s="77">
        <f t="shared" si="11"/>
        <v>485628.42074999999</v>
      </c>
      <c r="DQ22" s="77">
        <f t="shared" si="11"/>
        <v>485628.42074999999</v>
      </c>
      <c r="DR22" s="77">
        <f t="shared" si="11"/>
        <v>485628.42074999999</v>
      </c>
      <c r="DS22" s="77">
        <f t="shared" si="11"/>
        <v>485628.42074999999</v>
      </c>
    </row>
    <row r="23" spans="1:123" ht="15" customHeight="1" x14ac:dyDescent="0.2">
      <c r="B23" s="37" t="s">
        <v>947</v>
      </c>
      <c r="D23" s="77">
        <f>D22/(SUP_OPEX!$C$43*12)</f>
        <v>0</v>
      </c>
      <c r="E23" s="77">
        <f>E22/(SUP_OPEX!$C$43*12)</f>
        <v>0</v>
      </c>
      <c r="F23" s="77">
        <f>F22/(SUP_OPEX!$C$43*12)</f>
        <v>0</v>
      </c>
      <c r="G23" s="77">
        <f>G22/(SUP_OPEX!$C$43*12)</f>
        <v>1348.9678354166667</v>
      </c>
      <c r="H23" s="77">
        <f>H22/(SUP_OPEX!$C$43*12)</f>
        <v>2697.9356708333335</v>
      </c>
      <c r="I23" s="77">
        <f>I22/(SUP_OPEX!$C$43*12)</f>
        <v>4046.9035062499997</v>
      </c>
      <c r="J23" s="77">
        <f>J22/(SUP_OPEX!$C$43*12)</f>
        <v>4046.9035062499997</v>
      </c>
      <c r="K23" s="77">
        <f>K22/(SUP_OPEX!$C$43*12)</f>
        <v>4046.9035062499997</v>
      </c>
      <c r="L23" s="77">
        <f>L22/(SUP_OPEX!$C$43*12)</f>
        <v>4046.9035062499997</v>
      </c>
      <c r="M23" s="77">
        <f>M22/(SUP_OPEX!$C$43*12)</f>
        <v>4046.9035062499997</v>
      </c>
      <c r="N23" s="77">
        <f>N22/(SUP_OPEX!$C$43*12)</f>
        <v>4046.9035062499997</v>
      </c>
      <c r="O23" s="77">
        <f>O22/(SUP_OPEX!$C$43*12)</f>
        <v>4046.9035062499997</v>
      </c>
      <c r="P23" s="77">
        <f>P22/(SUP_OPEX!$C$43*12)</f>
        <v>4046.9035062499997</v>
      </c>
      <c r="Q23" s="77">
        <f>Q22/(SUP_OPEX!$C$43*12)</f>
        <v>4046.9035062499997</v>
      </c>
      <c r="R23" s="77">
        <f>R22/(SUP_OPEX!$C$43*12)</f>
        <v>4046.9035062499997</v>
      </c>
      <c r="S23" s="77">
        <f>S22/(SUP_OPEX!$C$43*12)</f>
        <v>4046.9035062499997</v>
      </c>
      <c r="T23" s="77">
        <f>T22/(SUP_OPEX!$C$43*12)</f>
        <v>4046.9035062499997</v>
      </c>
      <c r="U23" s="77">
        <f>U22/(SUP_OPEX!$C$43*12)</f>
        <v>4046.9035062499997</v>
      </c>
      <c r="V23" s="77">
        <f>V22/(SUP_OPEX!$C$43*12)</f>
        <v>4046.9035062499997</v>
      </c>
      <c r="W23" s="77">
        <f>W22/(SUP_OPEX!$C$43*12)</f>
        <v>4046.9035062499997</v>
      </c>
      <c r="X23" s="77">
        <f>X22/(SUP_OPEX!$C$43*12)</f>
        <v>4046.9035062499997</v>
      </c>
      <c r="Y23" s="77">
        <f>Y22/(SUP_OPEX!$C$43*12)</f>
        <v>4046.9035062499997</v>
      </c>
      <c r="Z23" s="77">
        <f>Z22/(SUP_OPEX!$C$43*12)</f>
        <v>4046.9035062499997</v>
      </c>
      <c r="AA23" s="77">
        <f>AA22/(SUP_OPEX!$C$43*12)</f>
        <v>4046.9035062499997</v>
      </c>
      <c r="AB23" s="77">
        <f>AB22/(SUP_OPEX!$C$43*12)</f>
        <v>4046.9035062499997</v>
      </c>
      <c r="AC23" s="77">
        <f>AC22/(SUP_OPEX!$C$43*12)</f>
        <v>4046.9035062499997</v>
      </c>
      <c r="AD23" s="77">
        <f>AD22/(SUP_OPEX!$C$43*12)</f>
        <v>4046.9035062499997</v>
      </c>
      <c r="AE23" s="77">
        <f>AE22/(SUP_OPEX!$C$43*12)</f>
        <v>4046.9035062499997</v>
      </c>
      <c r="AF23" s="77">
        <f>AF22/(SUP_OPEX!$C$43*12)</f>
        <v>4046.9035062499997</v>
      </c>
      <c r="AG23" s="77">
        <f>AG22/(SUP_OPEX!$C$43*12)</f>
        <v>4046.9035062499997</v>
      </c>
      <c r="AH23" s="77">
        <f>AH22/(SUP_OPEX!$C$43*12)</f>
        <v>4046.9035062499997</v>
      </c>
      <c r="AI23" s="77">
        <f>AI22/(SUP_OPEX!$C$43*12)</f>
        <v>4046.9035062499997</v>
      </c>
      <c r="AJ23" s="77">
        <f>AJ22/(SUP_OPEX!$C$43*12)</f>
        <v>4046.9035062499997</v>
      </c>
      <c r="AK23" s="77">
        <f>AK22/(SUP_OPEX!$C$43*12)</f>
        <v>4046.9035062499997</v>
      </c>
      <c r="AL23" s="77">
        <f>AL22/(SUP_OPEX!$C$43*12)</f>
        <v>4046.9035062499997</v>
      </c>
      <c r="AM23" s="77">
        <f>AM22/(SUP_OPEX!$C$43*12)</f>
        <v>4046.9035062499997</v>
      </c>
      <c r="AN23" s="77">
        <f>AN22/(SUP_OPEX!$C$43*12)</f>
        <v>4046.9035062499997</v>
      </c>
      <c r="AO23" s="77">
        <f>AO22/(SUP_OPEX!$C$43*12)</f>
        <v>4046.9035062499997</v>
      </c>
      <c r="AP23" s="77">
        <f>AP22/(SUP_OPEX!$C$43*12)</f>
        <v>4046.9035062499997</v>
      </c>
      <c r="AQ23" s="77">
        <f>AQ22/(SUP_OPEX!$C$43*12)</f>
        <v>4046.9035062499997</v>
      </c>
      <c r="AR23" s="77">
        <f>AR22/(SUP_OPEX!$C$43*12)</f>
        <v>4046.9035062499997</v>
      </c>
      <c r="AS23" s="77">
        <f>AS22/(SUP_OPEX!$C$43*12)</f>
        <v>4046.9035062499997</v>
      </c>
      <c r="AT23" s="77">
        <f>AT22/(SUP_OPEX!$C$43*12)</f>
        <v>4046.9035062499997</v>
      </c>
      <c r="AU23" s="77">
        <f>AU22/(SUP_OPEX!$C$43*12)</f>
        <v>4046.9035062499997</v>
      </c>
      <c r="AV23" s="77">
        <f>AV22/(SUP_OPEX!$C$43*12)</f>
        <v>4046.9035062499997</v>
      </c>
      <c r="AW23" s="77">
        <f>AW22/(SUP_OPEX!$C$43*12)</f>
        <v>4046.9035062499997</v>
      </c>
      <c r="AX23" s="77">
        <f>AX22/(SUP_OPEX!$C$43*12)</f>
        <v>4046.9035062499997</v>
      </c>
      <c r="AY23" s="77">
        <f>AY22/(SUP_OPEX!$C$43*12)</f>
        <v>4046.9035062499997</v>
      </c>
      <c r="AZ23" s="77">
        <f>AZ22/(SUP_OPEX!$C$43*12)</f>
        <v>4046.9035062499997</v>
      </c>
      <c r="BA23" s="77">
        <f>BA22/(SUP_OPEX!$C$43*12)</f>
        <v>4046.9035062499997</v>
      </c>
      <c r="BB23" s="77">
        <f>BB22/(SUP_OPEX!$C$43*12)</f>
        <v>4046.9035062499997</v>
      </c>
      <c r="BC23" s="77">
        <f>BC22/(SUP_OPEX!$C$43*12)</f>
        <v>4046.9035062499997</v>
      </c>
      <c r="BD23" s="77">
        <f>BD22/(SUP_OPEX!$C$43*12)</f>
        <v>4046.9035062499997</v>
      </c>
      <c r="BE23" s="77">
        <f>BE22/(SUP_OPEX!$C$43*12)</f>
        <v>4046.9035062499997</v>
      </c>
      <c r="BF23" s="77">
        <f>BF22/(SUP_OPEX!$C$43*12)</f>
        <v>4046.9035062499997</v>
      </c>
      <c r="BG23" s="77">
        <f>BG22/(SUP_OPEX!$C$43*12)</f>
        <v>4046.9035062499997</v>
      </c>
      <c r="BH23" s="77">
        <f>BH22/(SUP_OPEX!$C$43*12)</f>
        <v>4046.9035062499997</v>
      </c>
      <c r="BI23" s="77">
        <f>BI22/(SUP_OPEX!$C$43*12)</f>
        <v>4046.9035062499997</v>
      </c>
      <c r="BJ23" s="77">
        <f>BJ22/(SUP_OPEX!$C$43*12)</f>
        <v>4046.9035062499997</v>
      </c>
      <c r="BK23" s="77">
        <f>BK22/(SUP_OPEX!$C$43*12)</f>
        <v>4046.9035062499997</v>
      </c>
      <c r="BL23" s="77">
        <f>BL22/(SUP_OPEX!$C$43*12)</f>
        <v>4046.9035062499997</v>
      </c>
      <c r="BM23" s="77">
        <f>BM22/(SUP_OPEX!$C$43*12)</f>
        <v>4046.9035062499997</v>
      </c>
      <c r="BN23" s="77">
        <f>BN22/(SUP_OPEX!$C$43*12)</f>
        <v>4046.9035062499997</v>
      </c>
      <c r="BO23" s="77">
        <f>BO22/(SUP_OPEX!$C$43*12)</f>
        <v>4046.9035062499997</v>
      </c>
      <c r="BP23" s="77">
        <f>BP22/(SUP_OPEX!$C$43*12)</f>
        <v>4046.9035062499997</v>
      </c>
      <c r="BQ23" s="77">
        <f>BQ22/(SUP_OPEX!$C$43*12)</f>
        <v>4046.9035062499997</v>
      </c>
      <c r="BR23" s="77">
        <f>BR22/(SUP_OPEX!$C$43*12)</f>
        <v>4046.9035062499997</v>
      </c>
      <c r="BS23" s="77">
        <f>BS22/(SUP_OPEX!$C$43*12)</f>
        <v>4046.9035062499997</v>
      </c>
      <c r="BT23" s="77">
        <f>BT22/(SUP_OPEX!$C$43*12)</f>
        <v>4046.9035062499997</v>
      </c>
      <c r="BU23" s="77">
        <f>BU22/(SUP_OPEX!$C$43*12)</f>
        <v>4046.9035062499997</v>
      </c>
      <c r="BV23" s="77">
        <f>BV22/(SUP_OPEX!$C$43*12)</f>
        <v>4046.9035062499997</v>
      </c>
      <c r="BW23" s="77">
        <f>BW22/(SUP_OPEX!$C$43*12)</f>
        <v>4046.9035062499997</v>
      </c>
      <c r="BX23" s="77">
        <f>BX22/(SUP_OPEX!$C$43*12)</f>
        <v>4046.9035062499997</v>
      </c>
      <c r="BY23" s="77">
        <f>BY22/(SUP_OPEX!$C$43*12)</f>
        <v>4046.9035062499997</v>
      </c>
      <c r="BZ23" s="77">
        <f>BZ22/(SUP_OPEX!$C$43*12)</f>
        <v>4046.9035062499997</v>
      </c>
      <c r="CA23" s="77">
        <f>CA22/(SUP_OPEX!$C$43*12)</f>
        <v>4046.9035062499997</v>
      </c>
      <c r="CB23" s="77">
        <f>CB22/(SUP_OPEX!$C$43*12)</f>
        <v>4046.9035062499997</v>
      </c>
      <c r="CC23" s="77">
        <f>CC22/(SUP_OPEX!$C$43*12)</f>
        <v>4046.9035062499997</v>
      </c>
      <c r="CD23" s="77">
        <f>CD22/(SUP_OPEX!$C$43*12)</f>
        <v>4046.9035062499997</v>
      </c>
      <c r="CE23" s="77">
        <f>CE22/(SUP_OPEX!$C$43*12)</f>
        <v>4046.9035062499997</v>
      </c>
      <c r="CF23" s="77">
        <f>CF22/(SUP_OPEX!$C$43*12)</f>
        <v>4046.9035062499997</v>
      </c>
      <c r="CG23" s="77">
        <f>CG22/(SUP_OPEX!$C$43*12)</f>
        <v>4046.9035062499997</v>
      </c>
      <c r="CH23" s="77">
        <f>CH22/(SUP_OPEX!$C$43*12)</f>
        <v>4046.9035062499997</v>
      </c>
      <c r="CI23" s="77">
        <f>CI22/(SUP_OPEX!$C$43*12)</f>
        <v>4046.9035062499997</v>
      </c>
      <c r="CJ23" s="77">
        <f>CJ22/(SUP_OPEX!$C$43*12)</f>
        <v>4046.9035062499997</v>
      </c>
      <c r="CK23" s="77">
        <f>CK22/(SUP_OPEX!$C$43*12)</f>
        <v>4046.9035062499997</v>
      </c>
      <c r="CL23" s="77">
        <f>CL22/(SUP_OPEX!$C$43*12)</f>
        <v>4046.9035062499997</v>
      </c>
      <c r="CM23" s="77">
        <f>CM22/(SUP_OPEX!$C$43*12)</f>
        <v>4046.9035062499997</v>
      </c>
      <c r="CN23" s="77">
        <f>CN22/(SUP_OPEX!$C$43*12)</f>
        <v>4046.9035062499997</v>
      </c>
      <c r="CO23" s="77">
        <f>CO22/(SUP_OPEX!$C$43*12)</f>
        <v>4046.9035062499997</v>
      </c>
      <c r="CP23" s="77">
        <f>CP22/(SUP_OPEX!$C$43*12)</f>
        <v>4046.9035062499997</v>
      </c>
      <c r="CQ23" s="77">
        <f>CQ22/(SUP_OPEX!$C$43*12)</f>
        <v>4046.9035062499997</v>
      </c>
      <c r="CR23" s="77">
        <f>CR22/(SUP_OPEX!$C$43*12)</f>
        <v>4046.9035062499997</v>
      </c>
      <c r="CS23" s="77">
        <f>CS22/(SUP_OPEX!$C$43*12)</f>
        <v>4046.9035062499997</v>
      </c>
      <c r="CT23" s="77">
        <f>CT22/(SUP_OPEX!$C$43*12)</f>
        <v>4046.9035062499997</v>
      </c>
      <c r="CU23" s="77">
        <f>CU22/(SUP_OPEX!$C$43*12)</f>
        <v>4046.9035062499997</v>
      </c>
      <c r="CV23" s="77">
        <f>CV22/(SUP_OPEX!$C$43*12)</f>
        <v>4046.9035062499997</v>
      </c>
      <c r="CW23" s="77">
        <f>CW22/(SUP_OPEX!$C$43*12)</f>
        <v>4046.9035062499997</v>
      </c>
      <c r="CX23" s="77">
        <f>CX22/(SUP_OPEX!$C$43*12)</f>
        <v>4046.9035062499997</v>
      </c>
      <c r="CY23" s="77">
        <f>CY22/(SUP_OPEX!$C$43*12)</f>
        <v>4046.9035062499997</v>
      </c>
      <c r="CZ23" s="77">
        <f>CZ22/(SUP_OPEX!$C$43*12)</f>
        <v>4046.9035062499997</v>
      </c>
      <c r="DA23" s="77">
        <f>DA22/(SUP_OPEX!$C$43*12)</f>
        <v>4046.9035062499997</v>
      </c>
      <c r="DB23" s="77">
        <f>DB22/(SUP_OPEX!$C$43*12)</f>
        <v>4046.9035062499997</v>
      </c>
      <c r="DC23" s="77">
        <f>DC22/(SUP_OPEX!$C$43*12)</f>
        <v>4046.9035062499997</v>
      </c>
      <c r="DD23" s="77">
        <f>DD22/(SUP_OPEX!$C$43*12)</f>
        <v>4046.9035062499997</v>
      </c>
      <c r="DE23" s="77">
        <f>DE22/(SUP_OPEX!$C$43*12)</f>
        <v>4046.9035062499997</v>
      </c>
      <c r="DF23" s="77">
        <f>DF22/(SUP_OPEX!$C$43*12)</f>
        <v>4046.9035062499997</v>
      </c>
      <c r="DG23" s="77">
        <f>DG22/(SUP_OPEX!$C$43*12)</f>
        <v>4046.9035062499997</v>
      </c>
      <c r="DH23" s="77">
        <f>DH22/(SUP_OPEX!$C$43*12)</f>
        <v>4046.9035062499997</v>
      </c>
      <c r="DI23" s="77">
        <f>DI22/(SUP_OPEX!$C$43*12)</f>
        <v>4046.9035062499997</v>
      </c>
      <c r="DJ23" s="77">
        <f>DJ22/(SUP_OPEX!$C$43*12)</f>
        <v>4046.9035062499997</v>
      </c>
      <c r="DK23" s="77">
        <f>DK22/(SUP_OPEX!$C$43*12)</f>
        <v>4046.9035062499997</v>
      </c>
      <c r="DL23" s="77">
        <f>DL22/(SUP_OPEX!$C$43*12)</f>
        <v>4046.9035062499997</v>
      </c>
      <c r="DM23" s="77">
        <f>DM22/(SUP_OPEX!$C$43*12)</f>
        <v>4046.9035062499997</v>
      </c>
      <c r="DN23" s="77">
        <f>DN22/(SUP_OPEX!$C$43*12)</f>
        <v>4046.9035062499997</v>
      </c>
      <c r="DO23" s="77">
        <f>DO22/(SUP_OPEX!$C$43*12)</f>
        <v>4046.9035062499997</v>
      </c>
      <c r="DP23" s="77">
        <f>DP22/(SUP_OPEX!$C$43*12)</f>
        <v>4046.9035062499997</v>
      </c>
      <c r="DQ23" s="77">
        <f>DQ22/(SUP_OPEX!$C$43*12)</f>
        <v>4046.9035062499997</v>
      </c>
      <c r="DR23" s="77">
        <f>DR22/(SUP_OPEX!$C$43*12)</f>
        <v>4046.9035062499997</v>
      </c>
      <c r="DS23" s="77">
        <f>DS22/(SUP_OPEX!$C$43*12)</f>
        <v>4046.9035062499997</v>
      </c>
    </row>
    <row r="24" spans="1:123" ht="15" customHeight="1" x14ac:dyDescent="0.2">
      <c r="B24" s="37" t="s">
        <v>910</v>
      </c>
      <c r="D24" s="77">
        <f t="shared" ref="D24:AI24" si="12">D18-D23</f>
        <v>0</v>
      </c>
      <c r="E24" s="77">
        <f t="shared" si="12"/>
        <v>0</v>
      </c>
      <c r="F24" s="77">
        <f t="shared" si="12"/>
        <v>0</v>
      </c>
      <c r="G24" s="77">
        <f t="shared" si="12"/>
        <v>-1348.9678354166667</v>
      </c>
      <c r="H24" s="77">
        <f t="shared" si="12"/>
        <v>-2697.9356708333335</v>
      </c>
      <c r="I24" s="77">
        <f t="shared" si="12"/>
        <v>-4046.9035062499997</v>
      </c>
      <c r="J24" s="77">
        <f t="shared" si="12"/>
        <v>-3448.9747101727348</v>
      </c>
      <c r="K24" s="77">
        <f t="shared" si="12"/>
        <v>1316.3855563635407</v>
      </c>
      <c r="L24" s="77">
        <f t="shared" si="12"/>
        <v>5709.7515399394642</v>
      </c>
      <c r="M24" s="77">
        <f t="shared" si="12"/>
        <v>5784.2735400660376</v>
      </c>
      <c r="N24" s="77">
        <f t="shared" si="12"/>
        <v>5784.2735400660376</v>
      </c>
      <c r="O24" s="77">
        <f t="shared" si="12"/>
        <v>5784.2735400660376</v>
      </c>
      <c r="P24" s="77">
        <f t="shared" si="12"/>
        <v>5784.2735400660376</v>
      </c>
      <c r="Q24" s="77">
        <f t="shared" si="12"/>
        <v>5784.2735400660376</v>
      </c>
      <c r="R24" s="77">
        <f t="shared" si="12"/>
        <v>5784.2735400660376</v>
      </c>
      <c r="S24" s="77">
        <f t="shared" si="12"/>
        <v>5784.2735400660376</v>
      </c>
      <c r="T24" s="77">
        <f t="shared" si="12"/>
        <v>5897.2931968236526</v>
      </c>
      <c r="U24" s="77">
        <f t="shared" si="12"/>
        <v>5921.5913084342637</v>
      </c>
      <c r="V24" s="77">
        <f t="shared" si="12"/>
        <v>6034.2994165075825</v>
      </c>
      <c r="W24" s="77">
        <f t="shared" si="12"/>
        <v>6152.8328874700846</v>
      </c>
      <c r="X24" s="77">
        <f t="shared" si="12"/>
        <v>6182.9746708337107</v>
      </c>
      <c r="Y24" s="77">
        <f t="shared" si="12"/>
        <v>6206.3017901325175</v>
      </c>
      <c r="Z24" s="77">
        <f t="shared" si="12"/>
        <v>6217.7136182786971</v>
      </c>
      <c r="AA24" s="77">
        <f t="shared" si="12"/>
        <v>5364.4949132427255</v>
      </c>
      <c r="AB24" s="77">
        <f t="shared" si="12"/>
        <v>5364.4949132427255</v>
      </c>
      <c r="AC24" s="77">
        <f t="shared" si="12"/>
        <v>5364.4949132427255</v>
      </c>
      <c r="AD24" s="77">
        <f t="shared" si="12"/>
        <v>5344.282705492632</v>
      </c>
      <c r="AE24" s="77">
        <f t="shared" si="12"/>
        <v>5344.282705492632</v>
      </c>
      <c r="AF24" s="77">
        <f t="shared" si="12"/>
        <v>5519.1789770635323</v>
      </c>
      <c r="AG24" s="77">
        <f t="shared" si="12"/>
        <v>5675.51729079905</v>
      </c>
      <c r="AH24" s="77">
        <f t="shared" si="12"/>
        <v>5723.7257528416039</v>
      </c>
      <c r="AI24" s="77">
        <f t="shared" si="12"/>
        <v>5864.9522827343235</v>
      </c>
      <c r="AJ24" s="77">
        <f t="shared" ref="AJ24:BO24" si="13">AJ18-AJ23</f>
        <v>5995.0951358658886</v>
      </c>
      <c r="AK24" s="77">
        <f t="shared" si="13"/>
        <v>6028.9663235932467</v>
      </c>
      <c r="AL24" s="77">
        <f t="shared" si="13"/>
        <v>6030.8934425552898</v>
      </c>
      <c r="AM24" s="77">
        <f t="shared" si="13"/>
        <v>6147.8241195317778</v>
      </c>
      <c r="AN24" s="77">
        <f t="shared" si="13"/>
        <v>6243.2624131973798</v>
      </c>
      <c r="AO24" s="77">
        <f t="shared" si="13"/>
        <v>6339.6107827930709</v>
      </c>
      <c r="AP24" s="77">
        <f t="shared" si="13"/>
        <v>6437.0172511824012</v>
      </c>
      <c r="AQ24" s="77">
        <f t="shared" si="13"/>
        <v>6468.1161761033718</v>
      </c>
      <c r="AR24" s="77">
        <f t="shared" si="13"/>
        <v>6555.5443696160446</v>
      </c>
      <c r="AS24" s="77">
        <f t="shared" si="13"/>
        <v>6578.8569916270108</v>
      </c>
      <c r="AT24" s="77">
        <f t="shared" si="13"/>
        <v>6637.8417738612088</v>
      </c>
      <c r="AU24" s="77">
        <f t="shared" si="13"/>
        <v>6703.5237056667147</v>
      </c>
      <c r="AV24" s="77">
        <f t="shared" si="13"/>
        <v>6720.3829292157434</v>
      </c>
      <c r="AW24" s="77">
        <f t="shared" si="13"/>
        <v>5798.5759454474219</v>
      </c>
      <c r="AX24" s="77">
        <f t="shared" si="13"/>
        <v>5808.6664744975542</v>
      </c>
      <c r="AY24" s="77">
        <f t="shared" si="13"/>
        <v>5808.6664744975542</v>
      </c>
      <c r="AZ24" s="77">
        <f t="shared" si="13"/>
        <v>5808.6664744975542</v>
      </c>
      <c r="BA24" s="77">
        <f t="shared" si="13"/>
        <v>5768.4422959006433</v>
      </c>
      <c r="BB24" s="77">
        <f t="shared" si="13"/>
        <v>5768.4422959006433</v>
      </c>
      <c r="BC24" s="77">
        <f t="shared" si="13"/>
        <v>5768.4422959006433</v>
      </c>
      <c r="BD24" s="77">
        <f t="shared" si="13"/>
        <v>5893.4699781760528</v>
      </c>
      <c r="BE24" s="77">
        <f t="shared" si="13"/>
        <v>5977.7470588348961</v>
      </c>
      <c r="BF24" s="77">
        <f t="shared" si="13"/>
        <v>6044.2400324380424</v>
      </c>
      <c r="BG24" s="77">
        <f t="shared" si="13"/>
        <v>6131.9854668126691</v>
      </c>
      <c r="BH24" s="77">
        <f t="shared" si="13"/>
        <v>6205.6568548485257</v>
      </c>
      <c r="BI24" s="77">
        <f t="shared" si="13"/>
        <v>6274.8196852538013</v>
      </c>
      <c r="BJ24" s="77">
        <f t="shared" si="13"/>
        <v>6349.9398218979723</v>
      </c>
      <c r="BK24" s="77">
        <f t="shared" si="13"/>
        <v>6380.8272680466735</v>
      </c>
      <c r="BL24" s="77">
        <f t="shared" si="13"/>
        <v>6438.5505170700699</v>
      </c>
      <c r="BM24" s="77">
        <f t="shared" si="13"/>
        <v>6493.1639020352859</v>
      </c>
      <c r="BN24" s="77">
        <f t="shared" si="13"/>
        <v>6552.9506878091133</v>
      </c>
      <c r="BO24" s="77">
        <f t="shared" si="13"/>
        <v>6602.3395117968803</v>
      </c>
      <c r="BP24" s="77">
        <f t="shared" ref="BP24:CU24" si="14">BP18-BP23</f>
        <v>6626.5894054218088</v>
      </c>
      <c r="BQ24" s="77">
        <f t="shared" si="14"/>
        <v>6670.9048664789689</v>
      </c>
      <c r="BR24" s="77">
        <f t="shared" si="14"/>
        <v>6719.7162809426418</v>
      </c>
      <c r="BS24" s="77">
        <f t="shared" si="14"/>
        <v>6784.5669434446818</v>
      </c>
      <c r="BT24" s="77">
        <f t="shared" si="14"/>
        <v>6826.941530878802</v>
      </c>
      <c r="BU24" s="77">
        <f t="shared" si="14"/>
        <v>6844.8415920538982</v>
      </c>
      <c r="BV24" s="77">
        <f t="shared" si="14"/>
        <v>6881.0317079787264</v>
      </c>
      <c r="BW24" s="77">
        <f t="shared" si="14"/>
        <v>6918.5594997426242</v>
      </c>
      <c r="BX24" s="77">
        <f t="shared" si="14"/>
        <v>6949.9496764456262</v>
      </c>
      <c r="BY24" s="77">
        <f t="shared" si="14"/>
        <v>6979.6674386566328</v>
      </c>
      <c r="BZ24" s="77">
        <f t="shared" si="14"/>
        <v>7012.6625862678038</v>
      </c>
      <c r="CA24" s="77">
        <f t="shared" si="14"/>
        <v>7047.7419886201669</v>
      </c>
      <c r="CB24" s="77">
        <f t="shared" si="14"/>
        <v>6812.1016911030792</v>
      </c>
      <c r="CC24" s="77">
        <f t="shared" si="14"/>
        <v>6825.9447243517634</v>
      </c>
      <c r="CD24" s="77">
        <f t="shared" si="14"/>
        <v>6832.4960482209399</v>
      </c>
      <c r="CE24" s="77">
        <f t="shared" si="14"/>
        <v>6835.3281524926379</v>
      </c>
      <c r="CF24" s="77">
        <f t="shared" si="14"/>
        <v>6835.3281524926379</v>
      </c>
      <c r="CG24" s="77">
        <f t="shared" si="14"/>
        <v>6835.3281524926379</v>
      </c>
      <c r="CH24" s="77">
        <f t="shared" si="14"/>
        <v>6835.3281524926379</v>
      </c>
      <c r="CI24" s="77">
        <f t="shared" si="14"/>
        <v>6835.3281524926379</v>
      </c>
      <c r="CJ24" s="77">
        <f t="shared" si="14"/>
        <v>6835.3281524926379</v>
      </c>
      <c r="CK24" s="77">
        <f t="shared" si="14"/>
        <v>6835.3281524926379</v>
      </c>
      <c r="CL24" s="77">
        <f t="shared" si="14"/>
        <v>6835.3281524926379</v>
      </c>
      <c r="CM24" s="77">
        <f t="shared" si="14"/>
        <v>6835.3281524926379</v>
      </c>
      <c r="CN24" s="77">
        <f t="shared" si="14"/>
        <v>6835.3281524926379</v>
      </c>
      <c r="CO24" s="77">
        <f t="shared" si="14"/>
        <v>6835.3281524926379</v>
      </c>
      <c r="CP24" s="77">
        <f t="shared" si="14"/>
        <v>6835.3281524926379</v>
      </c>
      <c r="CQ24" s="77">
        <f t="shared" si="14"/>
        <v>6835.3281524926379</v>
      </c>
      <c r="CR24" s="77">
        <f t="shared" si="14"/>
        <v>6835.3281524926379</v>
      </c>
      <c r="CS24" s="77">
        <f t="shared" si="14"/>
        <v>6835.3281524926379</v>
      </c>
      <c r="CT24" s="77">
        <f t="shared" si="14"/>
        <v>6835.3281524926379</v>
      </c>
      <c r="CU24" s="77">
        <f t="shared" si="14"/>
        <v>6835.3281524926379</v>
      </c>
      <c r="CV24" s="77">
        <f t="shared" ref="CV24:EA24" si="15">CV18-CV23</f>
        <v>6835.3281524926379</v>
      </c>
      <c r="CW24" s="77">
        <f t="shared" si="15"/>
        <v>6835.3281524926379</v>
      </c>
      <c r="CX24" s="77">
        <f t="shared" si="15"/>
        <v>6835.3281524926379</v>
      </c>
      <c r="CY24" s="77">
        <f t="shared" si="15"/>
        <v>6835.3281524926379</v>
      </c>
      <c r="CZ24" s="77">
        <f t="shared" si="15"/>
        <v>6835.3281524926379</v>
      </c>
      <c r="DA24" s="77">
        <f t="shared" si="15"/>
        <v>6835.3281524926379</v>
      </c>
      <c r="DB24" s="77">
        <f t="shared" si="15"/>
        <v>6835.3281524926379</v>
      </c>
      <c r="DC24" s="77">
        <f t="shared" si="15"/>
        <v>6835.3281524926379</v>
      </c>
      <c r="DD24" s="77">
        <f t="shared" si="15"/>
        <v>6835.3281524926379</v>
      </c>
      <c r="DE24" s="77">
        <f t="shared" si="15"/>
        <v>6835.3281524926379</v>
      </c>
      <c r="DF24" s="77">
        <f t="shared" si="15"/>
        <v>6835.3281524926379</v>
      </c>
      <c r="DG24" s="77">
        <f t="shared" si="15"/>
        <v>6835.3281524926379</v>
      </c>
      <c r="DH24" s="77">
        <f t="shared" si="15"/>
        <v>6835.3281524926379</v>
      </c>
      <c r="DI24" s="77">
        <f t="shared" si="15"/>
        <v>6835.3281524926379</v>
      </c>
      <c r="DJ24" s="77">
        <f t="shared" si="15"/>
        <v>6835.3281524926379</v>
      </c>
      <c r="DK24" s="77">
        <f t="shared" si="15"/>
        <v>6835.3281524926379</v>
      </c>
      <c r="DL24" s="77">
        <f t="shared" si="15"/>
        <v>6835.3281524926379</v>
      </c>
      <c r="DM24" s="77">
        <f t="shared" si="15"/>
        <v>6835.3281524926379</v>
      </c>
      <c r="DN24" s="77">
        <f t="shared" si="15"/>
        <v>6835.3281524926379</v>
      </c>
      <c r="DO24" s="77">
        <f t="shared" si="15"/>
        <v>6835.3281524926379</v>
      </c>
      <c r="DP24" s="77">
        <f t="shared" si="15"/>
        <v>6835.3281524926379</v>
      </c>
      <c r="DQ24" s="77">
        <f t="shared" si="15"/>
        <v>6835.3281524926379</v>
      </c>
      <c r="DR24" s="77">
        <f t="shared" si="15"/>
        <v>6835.3281524926379</v>
      </c>
      <c r="DS24" s="77">
        <f t="shared" si="15"/>
        <v>6835.3281524926379</v>
      </c>
    </row>
    <row r="25" spans="1:123" ht="15" customHeight="1" x14ac:dyDescent="0.2">
      <c r="B25" s="37" t="s">
        <v>948</v>
      </c>
      <c r="D25" s="77">
        <f>MAX(0,D24)*SUP_CONTROL!$C$33</f>
        <v>0</v>
      </c>
      <c r="E25" s="77">
        <f>MAX(0,E24)*SUP_CONTROL!$C$33</f>
        <v>0</v>
      </c>
      <c r="F25" s="77">
        <f>MAX(0,F24)*SUP_CONTROL!$C$33</f>
        <v>0</v>
      </c>
      <c r="G25" s="77">
        <f>MAX(0,G24)*SUP_CONTROL!$C$33</f>
        <v>0</v>
      </c>
      <c r="H25" s="77">
        <f>MAX(0,H24)*SUP_CONTROL!$C$33</f>
        <v>0</v>
      </c>
      <c r="I25" s="77">
        <f>MAX(0,I24)*SUP_CONTROL!$C$33</f>
        <v>0</v>
      </c>
      <c r="J25" s="77">
        <f>MAX(0,J24)*SUP_CONTROL!$C$33</f>
        <v>0</v>
      </c>
      <c r="K25" s="77">
        <f>MAX(0,K24)*SUP_CONTROL!$C$33</f>
        <v>447.57108916360386</v>
      </c>
      <c r="L25" s="77">
        <f>MAX(0,L24)*SUP_CONTROL!$C$33</f>
        <v>1941.3155235794179</v>
      </c>
      <c r="M25" s="77">
        <f>MAX(0,M24)*SUP_CONTROL!$C$33</f>
        <v>1966.6530036224528</v>
      </c>
      <c r="N25" s="77">
        <f>MAX(0,N24)*SUP_CONTROL!$C$33</f>
        <v>1966.6530036224528</v>
      </c>
      <c r="O25" s="77">
        <f>MAX(0,O24)*SUP_CONTROL!$C$33</f>
        <v>1966.6530036224528</v>
      </c>
      <c r="P25" s="77">
        <f>MAX(0,P24)*SUP_CONTROL!$C$33</f>
        <v>1966.6530036224528</v>
      </c>
      <c r="Q25" s="77">
        <f>MAX(0,Q24)*SUP_CONTROL!$C$33</f>
        <v>1966.6530036224528</v>
      </c>
      <c r="R25" s="77">
        <f>MAX(0,R24)*SUP_CONTROL!$C$33</f>
        <v>1966.6530036224528</v>
      </c>
      <c r="S25" s="77">
        <f>MAX(0,S24)*SUP_CONTROL!$C$33</f>
        <v>1966.6530036224528</v>
      </c>
      <c r="T25" s="77">
        <f>MAX(0,T24)*SUP_CONTROL!$C$33</f>
        <v>2005.0796869200419</v>
      </c>
      <c r="U25" s="77">
        <f>MAX(0,U24)*SUP_CONTROL!$C$33</f>
        <v>2013.3410448676498</v>
      </c>
      <c r="V25" s="77">
        <f>MAX(0,V24)*SUP_CONTROL!$C$33</f>
        <v>2051.6618016125781</v>
      </c>
      <c r="W25" s="77">
        <f>MAX(0,W24)*SUP_CONTROL!$C$33</f>
        <v>2091.963181739829</v>
      </c>
      <c r="X25" s="77">
        <f>MAX(0,X24)*SUP_CONTROL!$C$33</f>
        <v>2102.2113880834618</v>
      </c>
      <c r="Y25" s="77">
        <f>MAX(0,Y24)*SUP_CONTROL!$C$33</f>
        <v>2110.142608645056</v>
      </c>
      <c r="Z25" s="77">
        <f>MAX(0,Z24)*SUP_CONTROL!$C$33</f>
        <v>2114.0226302147571</v>
      </c>
      <c r="AA25" s="77">
        <f>MAX(0,AA24)*SUP_CONTROL!$C$33</f>
        <v>1823.9282705025269</v>
      </c>
      <c r="AB25" s="77">
        <f>MAX(0,AB24)*SUP_CONTROL!$C$33</f>
        <v>1823.9282705025269</v>
      </c>
      <c r="AC25" s="77">
        <f>MAX(0,AC24)*SUP_CONTROL!$C$33</f>
        <v>1823.9282705025269</v>
      </c>
      <c r="AD25" s="77">
        <f>MAX(0,AD24)*SUP_CONTROL!$C$33</f>
        <v>1817.056119867495</v>
      </c>
      <c r="AE25" s="77">
        <f>MAX(0,AE24)*SUP_CONTROL!$C$33</f>
        <v>1817.056119867495</v>
      </c>
      <c r="AF25" s="77">
        <f>MAX(0,AF24)*SUP_CONTROL!$C$33</f>
        <v>1876.5208522016012</v>
      </c>
      <c r="AG25" s="77">
        <f>MAX(0,AG24)*SUP_CONTROL!$C$33</f>
        <v>1929.6758788716772</v>
      </c>
      <c r="AH25" s="77">
        <f>MAX(0,AH24)*SUP_CONTROL!$C$33</f>
        <v>1946.0667559661454</v>
      </c>
      <c r="AI25" s="77">
        <f>MAX(0,AI24)*SUP_CONTROL!$C$33</f>
        <v>1994.0837761296702</v>
      </c>
      <c r="AJ25" s="77">
        <f>MAX(0,AJ24)*SUP_CONTROL!$C$33</f>
        <v>2038.3323461944024</v>
      </c>
      <c r="AK25" s="77">
        <f>MAX(0,AK24)*SUP_CONTROL!$C$33</f>
        <v>2049.8485500217039</v>
      </c>
      <c r="AL25" s="77">
        <f>MAX(0,AL24)*SUP_CONTROL!$C$33</f>
        <v>2050.5037704687988</v>
      </c>
      <c r="AM25" s="77">
        <f>MAX(0,AM24)*SUP_CONTROL!$C$33</f>
        <v>2090.2602006408047</v>
      </c>
      <c r="AN25" s="77">
        <f>MAX(0,AN24)*SUP_CONTROL!$C$33</f>
        <v>2122.7092204871092</v>
      </c>
      <c r="AO25" s="77">
        <f>MAX(0,AO24)*SUP_CONTROL!$C$33</f>
        <v>2155.4676661496442</v>
      </c>
      <c r="AP25" s="77">
        <f>MAX(0,AP24)*SUP_CONTROL!$C$33</f>
        <v>2188.5858654020167</v>
      </c>
      <c r="AQ25" s="77">
        <f>MAX(0,AQ24)*SUP_CONTROL!$C$33</f>
        <v>2199.1594998751466</v>
      </c>
      <c r="AR25" s="77">
        <f>MAX(0,AR24)*SUP_CONTROL!$C$33</f>
        <v>2228.8850856694553</v>
      </c>
      <c r="AS25" s="77">
        <f>MAX(0,AS24)*SUP_CONTROL!$C$33</f>
        <v>2236.8113771531839</v>
      </c>
      <c r="AT25" s="77">
        <f>MAX(0,AT24)*SUP_CONTROL!$C$33</f>
        <v>2256.866203112811</v>
      </c>
      <c r="AU25" s="77">
        <f>MAX(0,AU24)*SUP_CONTROL!$C$33</f>
        <v>2279.1980599266831</v>
      </c>
      <c r="AV25" s="77">
        <f>MAX(0,AV24)*SUP_CONTROL!$C$33</f>
        <v>2284.9301959333529</v>
      </c>
      <c r="AW25" s="77">
        <f>MAX(0,AW24)*SUP_CONTROL!$C$33</f>
        <v>1971.5158214521236</v>
      </c>
      <c r="AX25" s="77">
        <f>MAX(0,AX24)*SUP_CONTROL!$C$33</f>
        <v>1974.9466013291685</v>
      </c>
      <c r="AY25" s="77">
        <f>MAX(0,AY24)*SUP_CONTROL!$C$33</f>
        <v>1974.9466013291685</v>
      </c>
      <c r="AZ25" s="77">
        <f>MAX(0,AZ24)*SUP_CONTROL!$C$33</f>
        <v>1974.9466013291685</v>
      </c>
      <c r="BA25" s="77">
        <f>MAX(0,BA24)*SUP_CONTROL!$C$33</f>
        <v>1961.2703806062189</v>
      </c>
      <c r="BB25" s="77">
        <f>MAX(0,BB24)*SUP_CONTROL!$C$33</f>
        <v>1961.2703806062189</v>
      </c>
      <c r="BC25" s="77">
        <f>MAX(0,BC24)*SUP_CONTROL!$C$33</f>
        <v>1961.2703806062189</v>
      </c>
      <c r="BD25" s="77">
        <f>MAX(0,BD24)*SUP_CONTROL!$C$33</f>
        <v>2003.7797925798582</v>
      </c>
      <c r="BE25" s="77">
        <f>MAX(0,BE24)*SUP_CONTROL!$C$33</f>
        <v>2032.4340000038649</v>
      </c>
      <c r="BF25" s="77">
        <f>MAX(0,BF24)*SUP_CONTROL!$C$33</f>
        <v>2055.0416110289348</v>
      </c>
      <c r="BG25" s="77">
        <f>MAX(0,BG24)*SUP_CONTROL!$C$33</f>
        <v>2084.8750587163076</v>
      </c>
      <c r="BH25" s="77">
        <f>MAX(0,BH24)*SUP_CONTROL!$C$33</f>
        <v>2109.9233306484989</v>
      </c>
      <c r="BI25" s="77">
        <f>MAX(0,BI24)*SUP_CONTROL!$C$33</f>
        <v>2133.4386929862926</v>
      </c>
      <c r="BJ25" s="77">
        <f>MAX(0,BJ24)*SUP_CONTROL!$C$33</f>
        <v>2158.9795394453108</v>
      </c>
      <c r="BK25" s="77">
        <f>MAX(0,BK24)*SUP_CONTROL!$C$33</f>
        <v>2169.4812711358691</v>
      </c>
      <c r="BL25" s="77">
        <f>MAX(0,BL24)*SUP_CONTROL!$C$33</f>
        <v>2189.1071758038238</v>
      </c>
      <c r="BM25" s="77">
        <f>MAX(0,BM24)*SUP_CONTROL!$C$33</f>
        <v>2207.6757266919972</v>
      </c>
      <c r="BN25" s="77">
        <f>MAX(0,BN24)*SUP_CONTROL!$C$33</f>
        <v>2228.0032338550986</v>
      </c>
      <c r="BO25" s="77">
        <f>MAX(0,BO24)*SUP_CONTROL!$C$33</f>
        <v>2244.7954340109395</v>
      </c>
      <c r="BP25" s="77">
        <f>MAX(0,BP24)*SUP_CONTROL!$C$33</f>
        <v>2253.0403978434151</v>
      </c>
      <c r="BQ25" s="77">
        <f>MAX(0,BQ24)*SUP_CONTROL!$C$33</f>
        <v>2268.1076546028494</v>
      </c>
      <c r="BR25" s="77">
        <f>MAX(0,BR24)*SUP_CONTROL!$C$33</f>
        <v>2284.7035355204985</v>
      </c>
      <c r="BS25" s="77">
        <f>MAX(0,BS24)*SUP_CONTROL!$C$33</f>
        <v>2306.7527607711918</v>
      </c>
      <c r="BT25" s="77">
        <f>MAX(0,BT24)*SUP_CONTROL!$C$33</f>
        <v>2321.1601204987928</v>
      </c>
      <c r="BU25" s="77">
        <f>MAX(0,BU24)*SUP_CONTROL!$C$33</f>
        <v>2327.2461412983257</v>
      </c>
      <c r="BV25" s="77">
        <f>MAX(0,BV24)*SUP_CONTROL!$C$33</f>
        <v>2339.5507807127669</v>
      </c>
      <c r="BW25" s="77">
        <f>MAX(0,BW24)*SUP_CONTROL!$C$33</f>
        <v>2352.3102299124926</v>
      </c>
      <c r="BX25" s="77">
        <f>MAX(0,BX24)*SUP_CONTROL!$C$33</f>
        <v>2362.9828899915133</v>
      </c>
      <c r="BY25" s="77">
        <f>MAX(0,BY24)*SUP_CONTROL!$C$33</f>
        <v>2373.0869291432555</v>
      </c>
      <c r="BZ25" s="77">
        <f>MAX(0,BZ24)*SUP_CONTROL!$C$33</f>
        <v>2384.3052793310535</v>
      </c>
      <c r="CA25" s="77">
        <f>MAX(0,CA24)*SUP_CONTROL!$C$33</f>
        <v>2396.2322761308569</v>
      </c>
      <c r="CB25" s="77">
        <f>MAX(0,CB24)*SUP_CONTROL!$C$33</f>
        <v>2316.1145749750472</v>
      </c>
      <c r="CC25" s="77">
        <f>MAX(0,CC24)*SUP_CONTROL!$C$33</f>
        <v>2320.8212062795997</v>
      </c>
      <c r="CD25" s="77">
        <f>MAX(0,CD24)*SUP_CONTROL!$C$33</f>
        <v>2323.0486563951199</v>
      </c>
      <c r="CE25" s="77">
        <f>MAX(0,CE24)*SUP_CONTROL!$C$33</f>
        <v>2324.0115718474972</v>
      </c>
      <c r="CF25" s="77">
        <f>MAX(0,CF24)*SUP_CONTROL!$C$33</f>
        <v>2324.0115718474972</v>
      </c>
      <c r="CG25" s="77">
        <f>MAX(0,CG24)*SUP_CONTROL!$C$33</f>
        <v>2324.0115718474972</v>
      </c>
      <c r="CH25" s="77">
        <f>MAX(0,CH24)*SUP_CONTROL!$C$33</f>
        <v>2324.0115718474972</v>
      </c>
      <c r="CI25" s="77">
        <f>MAX(0,CI24)*SUP_CONTROL!$C$33</f>
        <v>2324.0115718474972</v>
      </c>
      <c r="CJ25" s="77">
        <f>MAX(0,CJ24)*SUP_CONTROL!$C$33</f>
        <v>2324.0115718474972</v>
      </c>
      <c r="CK25" s="77">
        <f>MAX(0,CK24)*SUP_CONTROL!$C$33</f>
        <v>2324.0115718474972</v>
      </c>
      <c r="CL25" s="77">
        <f>MAX(0,CL24)*SUP_CONTROL!$C$33</f>
        <v>2324.0115718474972</v>
      </c>
      <c r="CM25" s="77">
        <f>MAX(0,CM24)*SUP_CONTROL!$C$33</f>
        <v>2324.0115718474972</v>
      </c>
      <c r="CN25" s="77">
        <f>MAX(0,CN24)*SUP_CONTROL!$C$33</f>
        <v>2324.0115718474972</v>
      </c>
      <c r="CO25" s="77">
        <f>MAX(0,CO24)*SUP_CONTROL!$C$33</f>
        <v>2324.0115718474972</v>
      </c>
      <c r="CP25" s="77">
        <f>MAX(0,CP24)*SUP_CONTROL!$C$33</f>
        <v>2324.0115718474972</v>
      </c>
      <c r="CQ25" s="77">
        <f>MAX(0,CQ24)*SUP_CONTROL!$C$33</f>
        <v>2324.0115718474972</v>
      </c>
      <c r="CR25" s="77">
        <f>MAX(0,CR24)*SUP_CONTROL!$C$33</f>
        <v>2324.0115718474972</v>
      </c>
      <c r="CS25" s="77">
        <f>MAX(0,CS24)*SUP_CONTROL!$C$33</f>
        <v>2324.0115718474972</v>
      </c>
      <c r="CT25" s="77">
        <f>MAX(0,CT24)*SUP_CONTROL!$C$33</f>
        <v>2324.0115718474972</v>
      </c>
      <c r="CU25" s="77">
        <f>MAX(0,CU24)*SUP_CONTROL!$C$33</f>
        <v>2324.0115718474972</v>
      </c>
      <c r="CV25" s="77">
        <f>MAX(0,CV24)*SUP_CONTROL!$C$33</f>
        <v>2324.0115718474972</v>
      </c>
      <c r="CW25" s="77">
        <f>MAX(0,CW24)*SUP_CONTROL!$C$33</f>
        <v>2324.0115718474972</v>
      </c>
      <c r="CX25" s="77">
        <f>MAX(0,CX24)*SUP_CONTROL!$C$33</f>
        <v>2324.0115718474972</v>
      </c>
      <c r="CY25" s="77">
        <f>MAX(0,CY24)*SUP_CONTROL!$C$33</f>
        <v>2324.0115718474972</v>
      </c>
      <c r="CZ25" s="77">
        <f>MAX(0,CZ24)*SUP_CONTROL!$C$33</f>
        <v>2324.0115718474972</v>
      </c>
      <c r="DA25" s="77">
        <f>MAX(0,DA24)*SUP_CONTROL!$C$33</f>
        <v>2324.0115718474972</v>
      </c>
      <c r="DB25" s="77">
        <f>MAX(0,DB24)*SUP_CONTROL!$C$33</f>
        <v>2324.0115718474972</v>
      </c>
      <c r="DC25" s="77">
        <f>MAX(0,DC24)*SUP_CONTROL!$C$33</f>
        <v>2324.0115718474972</v>
      </c>
      <c r="DD25" s="77">
        <f>MAX(0,DD24)*SUP_CONTROL!$C$33</f>
        <v>2324.0115718474972</v>
      </c>
      <c r="DE25" s="77">
        <f>MAX(0,DE24)*SUP_CONTROL!$C$33</f>
        <v>2324.0115718474972</v>
      </c>
      <c r="DF25" s="77">
        <f>MAX(0,DF24)*SUP_CONTROL!$C$33</f>
        <v>2324.0115718474972</v>
      </c>
      <c r="DG25" s="77">
        <f>MAX(0,DG24)*SUP_CONTROL!$C$33</f>
        <v>2324.0115718474972</v>
      </c>
      <c r="DH25" s="77">
        <f>MAX(0,DH24)*SUP_CONTROL!$C$33</f>
        <v>2324.0115718474972</v>
      </c>
      <c r="DI25" s="77">
        <f>MAX(0,DI24)*SUP_CONTROL!$C$33</f>
        <v>2324.0115718474972</v>
      </c>
      <c r="DJ25" s="77">
        <f>MAX(0,DJ24)*SUP_CONTROL!$C$33</f>
        <v>2324.0115718474972</v>
      </c>
      <c r="DK25" s="77">
        <f>MAX(0,DK24)*SUP_CONTROL!$C$33</f>
        <v>2324.0115718474972</v>
      </c>
      <c r="DL25" s="77">
        <f>MAX(0,DL24)*SUP_CONTROL!$C$33</f>
        <v>2324.0115718474972</v>
      </c>
      <c r="DM25" s="77">
        <f>MAX(0,DM24)*SUP_CONTROL!$C$33</f>
        <v>2324.0115718474972</v>
      </c>
      <c r="DN25" s="77">
        <f>MAX(0,DN24)*SUP_CONTROL!$C$33</f>
        <v>2324.0115718474972</v>
      </c>
      <c r="DO25" s="77">
        <f>MAX(0,DO24)*SUP_CONTROL!$C$33</f>
        <v>2324.0115718474972</v>
      </c>
      <c r="DP25" s="77">
        <f>MAX(0,DP24)*SUP_CONTROL!$C$33</f>
        <v>2324.0115718474972</v>
      </c>
      <c r="DQ25" s="77">
        <f>MAX(0,DQ24)*SUP_CONTROL!$C$33</f>
        <v>2324.0115718474972</v>
      </c>
      <c r="DR25" s="77">
        <f>MAX(0,DR24)*SUP_CONTROL!$C$33</f>
        <v>2324.0115718474972</v>
      </c>
      <c r="DS25" s="77">
        <f>MAX(0,DS24)*SUP_CONTROL!$C$33</f>
        <v>2324.0115718474972</v>
      </c>
    </row>
    <row r="26" spans="1:123" ht="15" customHeight="1" x14ac:dyDescent="0.2">
      <c r="B26" s="20" t="s">
        <v>912</v>
      </c>
      <c r="D26" s="72">
        <f t="shared" ref="D26:AI26" si="16">D18-D25</f>
        <v>0</v>
      </c>
      <c r="E26" s="72">
        <f t="shared" si="16"/>
        <v>0</v>
      </c>
      <c r="F26" s="72">
        <f t="shared" si="16"/>
        <v>0</v>
      </c>
      <c r="G26" s="72">
        <f t="shared" si="16"/>
        <v>0</v>
      </c>
      <c r="H26" s="72">
        <f t="shared" si="16"/>
        <v>0</v>
      </c>
      <c r="I26" s="72">
        <f t="shared" si="16"/>
        <v>0</v>
      </c>
      <c r="J26" s="72">
        <f t="shared" si="16"/>
        <v>597.92879607726491</v>
      </c>
      <c r="K26" s="72">
        <f t="shared" si="16"/>
        <v>4915.7179734499368</v>
      </c>
      <c r="L26" s="72">
        <f t="shared" si="16"/>
        <v>7815.3395226100456</v>
      </c>
      <c r="M26" s="72">
        <f t="shared" si="16"/>
        <v>7864.5240426935843</v>
      </c>
      <c r="N26" s="72">
        <f t="shared" si="16"/>
        <v>7864.5240426935843</v>
      </c>
      <c r="O26" s="72">
        <f t="shared" si="16"/>
        <v>7864.5240426935843</v>
      </c>
      <c r="P26" s="72">
        <f t="shared" si="16"/>
        <v>7864.5240426935843</v>
      </c>
      <c r="Q26" s="72">
        <f t="shared" si="16"/>
        <v>7864.5240426935843</v>
      </c>
      <c r="R26" s="72">
        <f t="shared" si="16"/>
        <v>7864.5240426935843</v>
      </c>
      <c r="S26" s="72">
        <f t="shared" si="16"/>
        <v>7864.5240426935843</v>
      </c>
      <c r="T26" s="72">
        <f t="shared" si="16"/>
        <v>7939.1170161536102</v>
      </c>
      <c r="U26" s="72">
        <f t="shared" si="16"/>
        <v>7955.1537698166139</v>
      </c>
      <c r="V26" s="72">
        <f t="shared" si="16"/>
        <v>8029.5411211450046</v>
      </c>
      <c r="W26" s="72">
        <f t="shared" si="16"/>
        <v>8107.7732119802549</v>
      </c>
      <c r="X26" s="72">
        <f t="shared" si="16"/>
        <v>8127.6667890002482</v>
      </c>
      <c r="Y26" s="72">
        <f t="shared" si="16"/>
        <v>8143.0626877374616</v>
      </c>
      <c r="Z26" s="72">
        <f t="shared" si="16"/>
        <v>8150.5944943139402</v>
      </c>
      <c r="AA26" s="72">
        <f t="shared" si="16"/>
        <v>7587.4701489901981</v>
      </c>
      <c r="AB26" s="72">
        <f t="shared" si="16"/>
        <v>7587.4701489901981</v>
      </c>
      <c r="AC26" s="72">
        <f t="shared" si="16"/>
        <v>7587.4701489901981</v>
      </c>
      <c r="AD26" s="72">
        <f t="shared" si="16"/>
        <v>7574.1300918751367</v>
      </c>
      <c r="AE26" s="72">
        <f t="shared" si="16"/>
        <v>7574.1300918751367</v>
      </c>
      <c r="AF26" s="72">
        <f t="shared" si="16"/>
        <v>7689.5616311119311</v>
      </c>
      <c r="AG26" s="72">
        <f t="shared" si="16"/>
        <v>7792.7449181773727</v>
      </c>
      <c r="AH26" s="72">
        <f t="shared" si="16"/>
        <v>7824.5625031254585</v>
      </c>
      <c r="AI26" s="72">
        <f t="shared" si="16"/>
        <v>7917.7720128546534</v>
      </c>
      <c r="AJ26" s="72">
        <f t="shared" ref="AJ26:BO26" si="17">AJ18-AJ25</f>
        <v>8003.6662959214864</v>
      </c>
      <c r="AK26" s="72">
        <f t="shared" si="17"/>
        <v>8026.0212798215425</v>
      </c>
      <c r="AL26" s="72">
        <f t="shared" si="17"/>
        <v>8027.2931783364911</v>
      </c>
      <c r="AM26" s="72">
        <f t="shared" si="17"/>
        <v>8104.4674251409724</v>
      </c>
      <c r="AN26" s="72">
        <f t="shared" si="17"/>
        <v>8167.4566989602699</v>
      </c>
      <c r="AO26" s="72">
        <f t="shared" si="17"/>
        <v>8231.0466228934274</v>
      </c>
      <c r="AP26" s="72">
        <f t="shared" si="17"/>
        <v>8295.3348920303833</v>
      </c>
      <c r="AQ26" s="72">
        <f t="shared" si="17"/>
        <v>8315.8601824782254</v>
      </c>
      <c r="AR26" s="72">
        <f t="shared" si="17"/>
        <v>8373.562790196589</v>
      </c>
      <c r="AS26" s="72">
        <f t="shared" si="17"/>
        <v>8388.9491207238261</v>
      </c>
      <c r="AT26" s="72">
        <f t="shared" si="17"/>
        <v>8427.8790769983971</v>
      </c>
      <c r="AU26" s="72">
        <f t="shared" si="17"/>
        <v>8471.2291519900318</v>
      </c>
      <c r="AV26" s="72">
        <f t="shared" si="17"/>
        <v>8482.3562395323897</v>
      </c>
      <c r="AW26" s="72">
        <f t="shared" si="17"/>
        <v>7873.9636302452982</v>
      </c>
      <c r="AX26" s="72">
        <f t="shared" si="17"/>
        <v>7880.6233794183854</v>
      </c>
      <c r="AY26" s="72">
        <f t="shared" si="17"/>
        <v>7880.6233794183854</v>
      </c>
      <c r="AZ26" s="72">
        <f t="shared" si="17"/>
        <v>7880.6233794183854</v>
      </c>
      <c r="BA26" s="72">
        <f t="shared" si="17"/>
        <v>7854.075421544424</v>
      </c>
      <c r="BB26" s="72">
        <f t="shared" si="17"/>
        <v>7854.075421544424</v>
      </c>
      <c r="BC26" s="72">
        <f t="shared" si="17"/>
        <v>7854.075421544424</v>
      </c>
      <c r="BD26" s="72">
        <f t="shared" si="17"/>
        <v>7936.5936918461939</v>
      </c>
      <c r="BE26" s="72">
        <f t="shared" si="17"/>
        <v>7992.2165650810311</v>
      </c>
      <c r="BF26" s="72">
        <f t="shared" si="17"/>
        <v>8036.1019276591069</v>
      </c>
      <c r="BG26" s="72">
        <f t="shared" si="17"/>
        <v>8094.0139143463612</v>
      </c>
      <c r="BH26" s="72">
        <f t="shared" si="17"/>
        <v>8142.6370304500269</v>
      </c>
      <c r="BI26" s="72">
        <f t="shared" si="17"/>
        <v>8188.2844985175088</v>
      </c>
      <c r="BJ26" s="72">
        <f t="shared" si="17"/>
        <v>8237.8637887026616</v>
      </c>
      <c r="BK26" s="72">
        <f t="shared" si="17"/>
        <v>8258.249503160805</v>
      </c>
      <c r="BL26" s="72">
        <f t="shared" si="17"/>
        <v>8296.3468475162463</v>
      </c>
      <c r="BM26" s="72">
        <f t="shared" si="17"/>
        <v>8332.391681593288</v>
      </c>
      <c r="BN26" s="72">
        <f t="shared" si="17"/>
        <v>8371.850960204014</v>
      </c>
      <c r="BO26" s="72">
        <f t="shared" si="17"/>
        <v>8404.447584035941</v>
      </c>
      <c r="BP26" s="72">
        <f t="shared" ref="BP26:CU26" si="18">BP18-BP25</f>
        <v>8420.4525138283934</v>
      </c>
      <c r="BQ26" s="72">
        <f t="shared" si="18"/>
        <v>8449.7007181261197</v>
      </c>
      <c r="BR26" s="72">
        <f t="shared" si="18"/>
        <v>8481.9162516721426</v>
      </c>
      <c r="BS26" s="72">
        <f t="shared" si="18"/>
        <v>8524.7176889234906</v>
      </c>
      <c r="BT26" s="72">
        <f t="shared" si="18"/>
        <v>8552.684916630009</v>
      </c>
      <c r="BU26" s="72">
        <f t="shared" si="18"/>
        <v>8564.4989570055732</v>
      </c>
      <c r="BV26" s="72">
        <f t="shared" si="18"/>
        <v>8588.3844335159592</v>
      </c>
      <c r="BW26" s="72">
        <f t="shared" si="18"/>
        <v>8613.1527760801309</v>
      </c>
      <c r="BX26" s="72">
        <f t="shared" si="18"/>
        <v>8633.8702927041122</v>
      </c>
      <c r="BY26" s="72">
        <f t="shared" si="18"/>
        <v>8653.4840157633771</v>
      </c>
      <c r="BZ26" s="72">
        <f t="shared" si="18"/>
        <v>8675.2608131867491</v>
      </c>
      <c r="CA26" s="72">
        <f t="shared" si="18"/>
        <v>8698.4132187393097</v>
      </c>
      <c r="CB26" s="72">
        <f t="shared" si="18"/>
        <v>8542.8906223780323</v>
      </c>
      <c r="CC26" s="72">
        <f t="shared" si="18"/>
        <v>8552.0270243221639</v>
      </c>
      <c r="CD26" s="72">
        <f t="shared" si="18"/>
        <v>8556.3508980758197</v>
      </c>
      <c r="CE26" s="72">
        <f t="shared" si="18"/>
        <v>8558.2200868951404</v>
      </c>
      <c r="CF26" s="72">
        <f t="shared" si="18"/>
        <v>8558.2200868951404</v>
      </c>
      <c r="CG26" s="72">
        <f t="shared" si="18"/>
        <v>8558.2200868951404</v>
      </c>
      <c r="CH26" s="72">
        <f t="shared" si="18"/>
        <v>8558.2200868951404</v>
      </c>
      <c r="CI26" s="72">
        <f t="shared" si="18"/>
        <v>8558.2200868951404</v>
      </c>
      <c r="CJ26" s="72">
        <f t="shared" si="18"/>
        <v>8558.2200868951404</v>
      </c>
      <c r="CK26" s="72">
        <f t="shared" si="18"/>
        <v>8558.2200868951404</v>
      </c>
      <c r="CL26" s="72">
        <f t="shared" si="18"/>
        <v>8558.2200868951404</v>
      </c>
      <c r="CM26" s="72">
        <f t="shared" si="18"/>
        <v>8558.2200868951404</v>
      </c>
      <c r="CN26" s="72">
        <f t="shared" si="18"/>
        <v>8558.2200868951404</v>
      </c>
      <c r="CO26" s="72">
        <f t="shared" si="18"/>
        <v>8558.2200868951404</v>
      </c>
      <c r="CP26" s="72">
        <f t="shared" si="18"/>
        <v>8558.2200868951404</v>
      </c>
      <c r="CQ26" s="72">
        <f t="shared" si="18"/>
        <v>8558.2200868951404</v>
      </c>
      <c r="CR26" s="72">
        <f t="shared" si="18"/>
        <v>8558.2200868951404</v>
      </c>
      <c r="CS26" s="72">
        <f t="shared" si="18"/>
        <v>8558.2200868951404</v>
      </c>
      <c r="CT26" s="72">
        <f t="shared" si="18"/>
        <v>8558.2200868951404</v>
      </c>
      <c r="CU26" s="72">
        <f t="shared" si="18"/>
        <v>8558.2200868951404</v>
      </c>
      <c r="CV26" s="72">
        <f t="shared" ref="CV26:EA26" si="19">CV18-CV25</f>
        <v>8558.2200868951404</v>
      </c>
      <c r="CW26" s="72">
        <f t="shared" si="19"/>
        <v>8558.2200868951404</v>
      </c>
      <c r="CX26" s="72">
        <f t="shared" si="19"/>
        <v>8558.2200868951404</v>
      </c>
      <c r="CY26" s="72">
        <f t="shared" si="19"/>
        <v>8558.2200868951404</v>
      </c>
      <c r="CZ26" s="72">
        <f t="shared" si="19"/>
        <v>8558.2200868951404</v>
      </c>
      <c r="DA26" s="72">
        <f t="shared" si="19"/>
        <v>8558.2200868951404</v>
      </c>
      <c r="DB26" s="72">
        <f t="shared" si="19"/>
        <v>8558.2200868951404</v>
      </c>
      <c r="DC26" s="72">
        <f t="shared" si="19"/>
        <v>8558.2200868951404</v>
      </c>
      <c r="DD26" s="72">
        <f t="shared" si="19"/>
        <v>8558.2200868951404</v>
      </c>
      <c r="DE26" s="72">
        <f t="shared" si="19"/>
        <v>8558.2200868951404</v>
      </c>
      <c r="DF26" s="72">
        <f t="shared" si="19"/>
        <v>8558.2200868951404</v>
      </c>
      <c r="DG26" s="72">
        <f t="shared" si="19"/>
        <v>8558.2200868951404</v>
      </c>
      <c r="DH26" s="72">
        <f t="shared" si="19"/>
        <v>8558.2200868951404</v>
      </c>
      <c r="DI26" s="72">
        <f t="shared" si="19"/>
        <v>8558.2200868951404</v>
      </c>
      <c r="DJ26" s="72">
        <f t="shared" si="19"/>
        <v>8558.2200868951404</v>
      </c>
      <c r="DK26" s="72">
        <f t="shared" si="19"/>
        <v>8558.2200868951404</v>
      </c>
      <c r="DL26" s="72">
        <f t="shared" si="19"/>
        <v>8558.2200868951404</v>
      </c>
      <c r="DM26" s="72">
        <f t="shared" si="19"/>
        <v>8558.2200868951404</v>
      </c>
      <c r="DN26" s="72">
        <f t="shared" si="19"/>
        <v>8558.2200868951404</v>
      </c>
      <c r="DO26" s="72">
        <f t="shared" si="19"/>
        <v>8558.2200868951404</v>
      </c>
      <c r="DP26" s="72">
        <f t="shared" si="19"/>
        <v>8558.2200868951404</v>
      </c>
      <c r="DQ26" s="72">
        <f t="shared" si="19"/>
        <v>8558.2200868951404</v>
      </c>
      <c r="DR26" s="72">
        <f t="shared" si="19"/>
        <v>8558.2200868951404</v>
      </c>
      <c r="DS26" s="72">
        <f t="shared" si="19"/>
        <v>8558.2200868951404</v>
      </c>
    </row>
    <row r="27" spans="1:123" ht="15" customHeight="1" x14ac:dyDescent="0.2">
      <c r="B27" s="20" t="s">
        <v>949</v>
      </c>
      <c r="D27" s="72">
        <f t="shared" ref="D27:AI27" si="20">D26-D20-D21-D19</f>
        <v>0</v>
      </c>
      <c r="E27" s="72">
        <f t="shared" si="20"/>
        <v>0</v>
      </c>
      <c r="F27" s="72">
        <f t="shared" si="20"/>
        <v>0</v>
      </c>
      <c r="G27" s="72">
        <f t="shared" si="20"/>
        <v>-161876.14025</v>
      </c>
      <c r="H27" s="72">
        <f t="shared" si="20"/>
        <v>-161876.14025</v>
      </c>
      <c r="I27" s="72">
        <f t="shared" si="20"/>
        <v>-180521.14025</v>
      </c>
      <c r="J27" s="72">
        <f t="shared" si="20"/>
        <v>-49402.071203922736</v>
      </c>
      <c r="K27" s="72">
        <f t="shared" si="20"/>
        <v>14915.717973449937</v>
      </c>
      <c r="L27" s="72">
        <f t="shared" si="20"/>
        <v>17815.339522610047</v>
      </c>
      <c r="M27" s="72">
        <f t="shared" si="20"/>
        <v>7864.5240426935843</v>
      </c>
      <c r="N27" s="72">
        <f t="shared" si="20"/>
        <v>7864.5240426935843</v>
      </c>
      <c r="O27" s="72">
        <f t="shared" si="20"/>
        <v>7864.5240426935843</v>
      </c>
      <c r="P27" s="72">
        <f t="shared" si="20"/>
        <v>7864.5240426935843</v>
      </c>
      <c r="Q27" s="72">
        <f t="shared" si="20"/>
        <v>7864.5240426935843</v>
      </c>
      <c r="R27" s="72">
        <f t="shared" si="20"/>
        <v>7864.5240426935843</v>
      </c>
      <c r="S27" s="72">
        <f t="shared" si="20"/>
        <v>7864.5240426935843</v>
      </c>
      <c r="T27" s="72">
        <f t="shared" si="20"/>
        <v>7939.1170161536102</v>
      </c>
      <c r="U27" s="72">
        <f t="shared" si="20"/>
        <v>7955.1537698166139</v>
      </c>
      <c r="V27" s="72">
        <f t="shared" si="20"/>
        <v>8029.5411211450046</v>
      </c>
      <c r="W27" s="72">
        <f t="shared" si="20"/>
        <v>8107.7732119802549</v>
      </c>
      <c r="X27" s="72">
        <f t="shared" si="20"/>
        <v>8127.6667890002482</v>
      </c>
      <c r="Y27" s="72">
        <f t="shared" si="20"/>
        <v>8143.0626877374616</v>
      </c>
      <c r="Z27" s="72">
        <f t="shared" si="20"/>
        <v>8150.5944943139402</v>
      </c>
      <c r="AA27" s="72">
        <f t="shared" si="20"/>
        <v>7587.4701489901981</v>
      </c>
      <c r="AB27" s="72">
        <f t="shared" si="20"/>
        <v>7587.4701489901981</v>
      </c>
      <c r="AC27" s="72">
        <f t="shared" si="20"/>
        <v>7587.4701489901981</v>
      </c>
      <c r="AD27" s="72">
        <f t="shared" si="20"/>
        <v>7574.1300918751367</v>
      </c>
      <c r="AE27" s="72">
        <f t="shared" si="20"/>
        <v>7574.1300918751367</v>
      </c>
      <c r="AF27" s="72">
        <f t="shared" si="20"/>
        <v>7689.5616311119311</v>
      </c>
      <c r="AG27" s="72">
        <f t="shared" si="20"/>
        <v>7792.7449181773727</v>
      </c>
      <c r="AH27" s="72">
        <f t="shared" si="20"/>
        <v>7824.5625031254585</v>
      </c>
      <c r="AI27" s="72">
        <f t="shared" si="20"/>
        <v>7917.7720128546534</v>
      </c>
      <c r="AJ27" s="72">
        <f t="shared" ref="AJ27:BO27" si="21">AJ26-AJ20-AJ21-AJ19</f>
        <v>8003.6662959214864</v>
      </c>
      <c r="AK27" s="72">
        <f t="shared" si="21"/>
        <v>8026.0212798215425</v>
      </c>
      <c r="AL27" s="72">
        <f t="shared" si="21"/>
        <v>8027.2931783364911</v>
      </c>
      <c r="AM27" s="72">
        <f t="shared" si="21"/>
        <v>8104.4674251409724</v>
      </c>
      <c r="AN27" s="72">
        <f t="shared" si="21"/>
        <v>8167.4566989602699</v>
      </c>
      <c r="AO27" s="72">
        <f t="shared" si="21"/>
        <v>8231.0466228934274</v>
      </c>
      <c r="AP27" s="72">
        <f t="shared" si="21"/>
        <v>8295.3348920303833</v>
      </c>
      <c r="AQ27" s="72">
        <f t="shared" si="21"/>
        <v>8315.8601824782254</v>
      </c>
      <c r="AR27" s="72">
        <f t="shared" si="21"/>
        <v>8373.562790196589</v>
      </c>
      <c r="AS27" s="72">
        <f t="shared" si="21"/>
        <v>8388.9491207238261</v>
      </c>
      <c r="AT27" s="72">
        <f t="shared" si="21"/>
        <v>8427.8790769983971</v>
      </c>
      <c r="AU27" s="72">
        <f t="shared" si="21"/>
        <v>8471.2291519900318</v>
      </c>
      <c r="AV27" s="72">
        <f t="shared" si="21"/>
        <v>8482.3562395323897</v>
      </c>
      <c r="AW27" s="72">
        <f t="shared" si="21"/>
        <v>7873.9636302452982</v>
      </c>
      <c r="AX27" s="72">
        <f t="shared" si="21"/>
        <v>7880.6233794183854</v>
      </c>
      <c r="AY27" s="72">
        <f t="shared" si="21"/>
        <v>7880.6233794183854</v>
      </c>
      <c r="AZ27" s="72">
        <f t="shared" si="21"/>
        <v>7880.6233794183854</v>
      </c>
      <c r="BA27" s="72">
        <f t="shared" si="21"/>
        <v>7854.075421544424</v>
      </c>
      <c r="BB27" s="72">
        <f t="shared" si="21"/>
        <v>7854.075421544424</v>
      </c>
      <c r="BC27" s="72">
        <f t="shared" si="21"/>
        <v>7854.075421544424</v>
      </c>
      <c r="BD27" s="72">
        <f t="shared" si="21"/>
        <v>7936.5936918461939</v>
      </c>
      <c r="BE27" s="72">
        <f t="shared" si="21"/>
        <v>7992.2165650810311</v>
      </c>
      <c r="BF27" s="72">
        <f t="shared" si="21"/>
        <v>8036.1019276591069</v>
      </c>
      <c r="BG27" s="72">
        <f t="shared" si="21"/>
        <v>8094.0139143463612</v>
      </c>
      <c r="BH27" s="72">
        <f t="shared" si="21"/>
        <v>8142.6370304500269</v>
      </c>
      <c r="BI27" s="72">
        <f t="shared" si="21"/>
        <v>8188.2844985175088</v>
      </c>
      <c r="BJ27" s="72">
        <f t="shared" si="21"/>
        <v>8237.8637887026616</v>
      </c>
      <c r="BK27" s="72">
        <f t="shared" si="21"/>
        <v>8258.249503160805</v>
      </c>
      <c r="BL27" s="72">
        <f t="shared" si="21"/>
        <v>8296.3468475162463</v>
      </c>
      <c r="BM27" s="72">
        <f t="shared" si="21"/>
        <v>8332.391681593288</v>
      </c>
      <c r="BN27" s="72">
        <f t="shared" si="21"/>
        <v>8371.850960204014</v>
      </c>
      <c r="BO27" s="72">
        <f t="shared" si="21"/>
        <v>8404.447584035941</v>
      </c>
      <c r="BP27" s="72">
        <f t="shared" ref="BP27:CU27" si="22">BP26-BP20-BP21-BP19</f>
        <v>8420.4525138283934</v>
      </c>
      <c r="BQ27" s="72">
        <f t="shared" si="22"/>
        <v>8449.7007181261197</v>
      </c>
      <c r="BR27" s="72">
        <f t="shared" si="22"/>
        <v>8481.9162516721426</v>
      </c>
      <c r="BS27" s="72">
        <f t="shared" si="22"/>
        <v>8524.7176889234906</v>
      </c>
      <c r="BT27" s="72">
        <f t="shared" si="22"/>
        <v>8552.684916630009</v>
      </c>
      <c r="BU27" s="72">
        <f t="shared" si="22"/>
        <v>8564.4989570055732</v>
      </c>
      <c r="BV27" s="72">
        <f t="shared" si="22"/>
        <v>8588.3844335159592</v>
      </c>
      <c r="BW27" s="72">
        <f t="shared" si="22"/>
        <v>8613.1527760801309</v>
      </c>
      <c r="BX27" s="72">
        <f t="shared" si="22"/>
        <v>8633.8702927041122</v>
      </c>
      <c r="BY27" s="72">
        <f t="shared" si="22"/>
        <v>8653.4840157633771</v>
      </c>
      <c r="BZ27" s="72">
        <f t="shared" si="22"/>
        <v>8675.2608131867491</v>
      </c>
      <c r="CA27" s="72">
        <f t="shared" si="22"/>
        <v>8698.4132187393097</v>
      </c>
      <c r="CB27" s="72">
        <f t="shared" si="22"/>
        <v>8542.8906223780323</v>
      </c>
      <c r="CC27" s="72">
        <f t="shared" si="22"/>
        <v>8552.0270243221639</v>
      </c>
      <c r="CD27" s="72">
        <f t="shared" si="22"/>
        <v>8556.3508980758197</v>
      </c>
      <c r="CE27" s="72">
        <f t="shared" si="22"/>
        <v>8558.2200868951404</v>
      </c>
      <c r="CF27" s="72">
        <f t="shared" si="22"/>
        <v>8558.2200868951404</v>
      </c>
      <c r="CG27" s="72">
        <f t="shared" si="22"/>
        <v>8558.2200868951404</v>
      </c>
      <c r="CH27" s="72">
        <f t="shared" si="22"/>
        <v>8558.2200868951404</v>
      </c>
      <c r="CI27" s="72">
        <f t="shared" si="22"/>
        <v>8558.2200868951404</v>
      </c>
      <c r="CJ27" s="72">
        <f t="shared" si="22"/>
        <v>8558.2200868951404</v>
      </c>
      <c r="CK27" s="72">
        <f t="shared" si="22"/>
        <v>8558.2200868951404</v>
      </c>
      <c r="CL27" s="72">
        <f t="shared" si="22"/>
        <v>8558.2200868951404</v>
      </c>
      <c r="CM27" s="72">
        <f t="shared" si="22"/>
        <v>8558.2200868951404</v>
      </c>
      <c r="CN27" s="72">
        <f t="shared" si="22"/>
        <v>8558.2200868951404</v>
      </c>
      <c r="CO27" s="72">
        <f t="shared" si="22"/>
        <v>8558.2200868951404</v>
      </c>
      <c r="CP27" s="72">
        <f t="shared" si="22"/>
        <v>8558.2200868951404</v>
      </c>
      <c r="CQ27" s="72">
        <f t="shared" si="22"/>
        <v>8558.2200868951404</v>
      </c>
      <c r="CR27" s="72">
        <f t="shared" si="22"/>
        <v>8558.2200868951404</v>
      </c>
      <c r="CS27" s="72">
        <f t="shared" si="22"/>
        <v>8558.2200868951404</v>
      </c>
      <c r="CT27" s="72">
        <f t="shared" si="22"/>
        <v>8558.2200868951404</v>
      </c>
      <c r="CU27" s="72">
        <f t="shared" si="22"/>
        <v>8558.2200868951404</v>
      </c>
      <c r="CV27" s="72">
        <f t="shared" ref="CV27:EA27" si="23">CV26-CV20-CV21-CV19</f>
        <v>8558.2200868951404</v>
      </c>
      <c r="CW27" s="72">
        <f t="shared" si="23"/>
        <v>8558.2200868951404</v>
      </c>
      <c r="CX27" s="72">
        <f t="shared" si="23"/>
        <v>8558.2200868951404</v>
      </c>
      <c r="CY27" s="72">
        <f t="shared" si="23"/>
        <v>8558.2200868951404</v>
      </c>
      <c r="CZ27" s="72">
        <f t="shared" si="23"/>
        <v>8558.2200868951404</v>
      </c>
      <c r="DA27" s="72">
        <f t="shared" si="23"/>
        <v>8558.2200868951404</v>
      </c>
      <c r="DB27" s="72">
        <f t="shared" si="23"/>
        <v>8558.2200868951404</v>
      </c>
      <c r="DC27" s="72">
        <f t="shared" si="23"/>
        <v>8558.2200868951404</v>
      </c>
      <c r="DD27" s="72">
        <f t="shared" si="23"/>
        <v>8558.2200868951404</v>
      </c>
      <c r="DE27" s="72">
        <f t="shared" si="23"/>
        <v>8558.2200868951404</v>
      </c>
      <c r="DF27" s="72">
        <f t="shared" si="23"/>
        <v>8558.2200868951404</v>
      </c>
      <c r="DG27" s="72">
        <f t="shared" si="23"/>
        <v>8558.2200868951404</v>
      </c>
      <c r="DH27" s="72">
        <f t="shared" si="23"/>
        <v>8558.2200868951404</v>
      </c>
      <c r="DI27" s="72">
        <f t="shared" si="23"/>
        <v>8558.2200868951404</v>
      </c>
      <c r="DJ27" s="72">
        <f t="shared" si="23"/>
        <v>8558.2200868951404</v>
      </c>
      <c r="DK27" s="72">
        <f t="shared" si="23"/>
        <v>8558.2200868951404</v>
      </c>
      <c r="DL27" s="72">
        <f t="shared" si="23"/>
        <v>8558.2200868951404</v>
      </c>
      <c r="DM27" s="72">
        <f t="shared" si="23"/>
        <v>8558.2200868951404</v>
      </c>
      <c r="DN27" s="72">
        <f t="shared" si="23"/>
        <v>8558.2200868951404</v>
      </c>
      <c r="DO27" s="72">
        <f t="shared" si="23"/>
        <v>8558.2200868951404</v>
      </c>
      <c r="DP27" s="72">
        <f t="shared" si="23"/>
        <v>8558.2200868951404</v>
      </c>
      <c r="DQ27" s="72">
        <f t="shared" si="23"/>
        <v>8558.2200868951404</v>
      </c>
      <c r="DR27" s="72">
        <f t="shared" si="23"/>
        <v>8558.2200868951404</v>
      </c>
      <c r="DS27" s="72">
        <f t="shared" si="23"/>
        <v>8558.2200868951404</v>
      </c>
    </row>
    <row r="28" spans="1:123" ht="15" customHeight="1" x14ac:dyDescent="0.2">
      <c r="B28" s="37" t="s">
        <v>914</v>
      </c>
      <c r="D28" s="77">
        <f>D27</f>
        <v>0</v>
      </c>
      <c r="E28" s="77">
        <f t="shared" ref="E28:AJ28" si="24">D28+E27</f>
        <v>0</v>
      </c>
      <c r="F28" s="77">
        <f t="shared" si="24"/>
        <v>0</v>
      </c>
      <c r="G28" s="77">
        <f t="shared" si="24"/>
        <v>-161876.14025</v>
      </c>
      <c r="H28" s="77">
        <f t="shared" si="24"/>
        <v>-323752.28049999999</v>
      </c>
      <c r="I28" s="77">
        <f t="shared" si="24"/>
        <v>-504273.42074999999</v>
      </c>
      <c r="J28" s="77">
        <f t="shared" si="24"/>
        <v>-553675.49195392267</v>
      </c>
      <c r="K28" s="77">
        <f t="shared" si="24"/>
        <v>-538759.7739804727</v>
      </c>
      <c r="L28" s="77">
        <f t="shared" si="24"/>
        <v>-520944.43445786263</v>
      </c>
      <c r="M28" s="77">
        <f t="shared" si="24"/>
        <v>-513079.91041516903</v>
      </c>
      <c r="N28" s="77">
        <f t="shared" si="24"/>
        <v>-505215.38637247542</v>
      </c>
      <c r="O28" s="77">
        <f t="shared" si="24"/>
        <v>-497350.86232978181</v>
      </c>
      <c r="P28" s="77">
        <f t="shared" si="24"/>
        <v>-489486.33828708821</v>
      </c>
      <c r="Q28" s="77">
        <f t="shared" si="24"/>
        <v>-481621.8142443946</v>
      </c>
      <c r="R28" s="77">
        <f t="shared" si="24"/>
        <v>-473757.29020170099</v>
      </c>
      <c r="S28" s="77">
        <f t="shared" si="24"/>
        <v>-465892.76615900738</v>
      </c>
      <c r="T28" s="77">
        <f t="shared" si="24"/>
        <v>-457953.6491428538</v>
      </c>
      <c r="U28" s="77">
        <f t="shared" si="24"/>
        <v>-449998.49537303718</v>
      </c>
      <c r="V28" s="77">
        <f t="shared" si="24"/>
        <v>-441968.95425189217</v>
      </c>
      <c r="W28" s="77">
        <f t="shared" si="24"/>
        <v>-433861.18103991193</v>
      </c>
      <c r="X28" s="77">
        <f t="shared" si="24"/>
        <v>-425733.51425091166</v>
      </c>
      <c r="Y28" s="77">
        <f t="shared" si="24"/>
        <v>-417590.4515631742</v>
      </c>
      <c r="Z28" s="77">
        <f t="shared" si="24"/>
        <v>-409439.85706886026</v>
      </c>
      <c r="AA28" s="77">
        <f t="shared" si="24"/>
        <v>-401852.38691987004</v>
      </c>
      <c r="AB28" s="77">
        <f t="shared" si="24"/>
        <v>-394264.91677087982</v>
      </c>
      <c r="AC28" s="77">
        <f t="shared" si="24"/>
        <v>-386677.4466218896</v>
      </c>
      <c r="AD28" s="77">
        <f t="shared" si="24"/>
        <v>-379103.31653001445</v>
      </c>
      <c r="AE28" s="77">
        <f t="shared" si="24"/>
        <v>-371529.1864381393</v>
      </c>
      <c r="AF28" s="77">
        <f t="shared" si="24"/>
        <v>-363839.62480702734</v>
      </c>
      <c r="AG28" s="77">
        <f t="shared" si="24"/>
        <v>-356046.87988884997</v>
      </c>
      <c r="AH28" s="77">
        <f t="shared" si="24"/>
        <v>-348222.31738572451</v>
      </c>
      <c r="AI28" s="77">
        <f t="shared" si="24"/>
        <v>-340304.54537286988</v>
      </c>
      <c r="AJ28" s="77">
        <f t="shared" si="24"/>
        <v>-332300.87907694839</v>
      </c>
      <c r="AK28" s="77">
        <f t="shared" ref="AK28:BP28" si="25">AJ28+AK27</f>
        <v>-324274.85779712687</v>
      </c>
      <c r="AL28" s="77">
        <f t="shared" si="25"/>
        <v>-316247.56461879041</v>
      </c>
      <c r="AM28" s="77">
        <f t="shared" si="25"/>
        <v>-308143.09719364945</v>
      </c>
      <c r="AN28" s="77">
        <f t="shared" si="25"/>
        <v>-299975.64049468917</v>
      </c>
      <c r="AO28" s="77">
        <f t="shared" si="25"/>
        <v>-291744.59387179575</v>
      </c>
      <c r="AP28" s="77">
        <f t="shared" si="25"/>
        <v>-283449.25897976535</v>
      </c>
      <c r="AQ28" s="77">
        <f t="shared" si="25"/>
        <v>-275133.39879728714</v>
      </c>
      <c r="AR28" s="77">
        <f t="shared" si="25"/>
        <v>-266759.83600709058</v>
      </c>
      <c r="AS28" s="77">
        <f t="shared" si="25"/>
        <v>-258370.88688636676</v>
      </c>
      <c r="AT28" s="77">
        <f t="shared" si="25"/>
        <v>-249943.00780936837</v>
      </c>
      <c r="AU28" s="77">
        <f t="shared" si="25"/>
        <v>-241471.77865737834</v>
      </c>
      <c r="AV28" s="77">
        <f t="shared" si="25"/>
        <v>-232989.42241784596</v>
      </c>
      <c r="AW28" s="77">
        <f t="shared" si="25"/>
        <v>-225115.45878760066</v>
      </c>
      <c r="AX28" s="77">
        <f t="shared" si="25"/>
        <v>-217234.83540818226</v>
      </c>
      <c r="AY28" s="77">
        <f t="shared" si="25"/>
        <v>-209354.21202876387</v>
      </c>
      <c r="AZ28" s="77">
        <f t="shared" si="25"/>
        <v>-201473.58864934547</v>
      </c>
      <c r="BA28" s="77">
        <f t="shared" si="25"/>
        <v>-193619.51322780104</v>
      </c>
      <c r="BB28" s="77">
        <f t="shared" si="25"/>
        <v>-185765.43780625661</v>
      </c>
      <c r="BC28" s="77">
        <f t="shared" si="25"/>
        <v>-177911.36238471218</v>
      </c>
      <c r="BD28" s="77">
        <f t="shared" si="25"/>
        <v>-169974.768692866</v>
      </c>
      <c r="BE28" s="77">
        <f t="shared" si="25"/>
        <v>-161982.55212778496</v>
      </c>
      <c r="BF28" s="77">
        <f t="shared" si="25"/>
        <v>-153946.45020012587</v>
      </c>
      <c r="BG28" s="77">
        <f t="shared" si="25"/>
        <v>-145852.43628577949</v>
      </c>
      <c r="BH28" s="77">
        <f t="shared" si="25"/>
        <v>-137709.79925532948</v>
      </c>
      <c r="BI28" s="77">
        <f t="shared" si="25"/>
        <v>-129521.51475681197</v>
      </c>
      <c r="BJ28" s="77">
        <f t="shared" si="25"/>
        <v>-121283.65096810932</v>
      </c>
      <c r="BK28" s="77">
        <f t="shared" si="25"/>
        <v>-113025.40146494852</v>
      </c>
      <c r="BL28" s="77">
        <f t="shared" si="25"/>
        <v>-104729.05461743227</v>
      </c>
      <c r="BM28" s="77">
        <f t="shared" si="25"/>
        <v>-96396.662935838976</v>
      </c>
      <c r="BN28" s="77">
        <f t="shared" si="25"/>
        <v>-88024.811975634962</v>
      </c>
      <c r="BO28" s="77">
        <f t="shared" si="25"/>
        <v>-79620.364391599025</v>
      </c>
      <c r="BP28" s="77">
        <f t="shared" si="25"/>
        <v>-71199.911877770632</v>
      </c>
      <c r="BQ28" s="77">
        <f t="shared" ref="BQ28:CV28" si="26">BP28+BQ27</f>
        <v>-62750.21115964451</v>
      </c>
      <c r="BR28" s="77">
        <f t="shared" si="26"/>
        <v>-54268.294907972369</v>
      </c>
      <c r="BS28" s="77">
        <f t="shared" si="26"/>
        <v>-45743.577219048879</v>
      </c>
      <c r="BT28" s="77">
        <f t="shared" si="26"/>
        <v>-37190.89230241887</v>
      </c>
      <c r="BU28" s="77">
        <f t="shared" si="26"/>
        <v>-28626.393345413297</v>
      </c>
      <c r="BV28" s="77">
        <f t="shared" si="26"/>
        <v>-20038.008911897337</v>
      </c>
      <c r="BW28" s="77">
        <f t="shared" si="26"/>
        <v>-11424.856135817206</v>
      </c>
      <c r="BX28" s="77">
        <f t="shared" si="26"/>
        <v>-2790.9858431130942</v>
      </c>
      <c r="BY28" s="77">
        <f t="shared" si="26"/>
        <v>5862.4981726502829</v>
      </c>
      <c r="BZ28" s="77">
        <f t="shared" si="26"/>
        <v>14537.758985837032</v>
      </c>
      <c r="CA28" s="77">
        <f t="shared" si="26"/>
        <v>23236.172204576342</v>
      </c>
      <c r="CB28" s="77">
        <f t="shared" si="26"/>
        <v>31779.062826954374</v>
      </c>
      <c r="CC28" s="77">
        <f t="shared" si="26"/>
        <v>40331.089851276542</v>
      </c>
      <c r="CD28" s="77">
        <f t="shared" si="26"/>
        <v>48887.440749352361</v>
      </c>
      <c r="CE28" s="77">
        <f t="shared" si="26"/>
        <v>57445.660836247502</v>
      </c>
      <c r="CF28" s="77">
        <f t="shared" si="26"/>
        <v>66003.880923142642</v>
      </c>
      <c r="CG28" s="77">
        <f t="shared" si="26"/>
        <v>74562.10101003779</v>
      </c>
      <c r="CH28" s="77">
        <f t="shared" si="26"/>
        <v>83120.321096932923</v>
      </c>
      <c r="CI28" s="77">
        <f t="shared" si="26"/>
        <v>91678.541183828056</v>
      </c>
      <c r="CJ28" s="77">
        <f t="shared" si="26"/>
        <v>100236.76127072319</v>
      </c>
      <c r="CK28" s="77">
        <f t="shared" si="26"/>
        <v>108794.98135761832</v>
      </c>
      <c r="CL28" s="77">
        <f t="shared" si="26"/>
        <v>117353.20144451346</v>
      </c>
      <c r="CM28" s="77">
        <f t="shared" si="26"/>
        <v>125911.42153140859</v>
      </c>
      <c r="CN28" s="77">
        <f t="shared" si="26"/>
        <v>134469.64161830372</v>
      </c>
      <c r="CO28" s="77">
        <f t="shared" si="26"/>
        <v>143027.86170519885</v>
      </c>
      <c r="CP28" s="77">
        <f t="shared" si="26"/>
        <v>151586.08179209399</v>
      </c>
      <c r="CQ28" s="77">
        <f t="shared" si="26"/>
        <v>160144.30187898912</v>
      </c>
      <c r="CR28" s="77">
        <f t="shared" si="26"/>
        <v>168702.52196588425</v>
      </c>
      <c r="CS28" s="77">
        <f t="shared" si="26"/>
        <v>177260.74205277939</v>
      </c>
      <c r="CT28" s="77">
        <f t="shared" si="26"/>
        <v>185818.96213967452</v>
      </c>
      <c r="CU28" s="77">
        <f t="shared" si="26"/>
        <v>194377.18222656965</v>
      </c>
      <c r="CV28" s="77">
        <f t="shared" si="26"/>
        <v>202935.40231346479</v>
      </c>
      <c r="CW28" s="77">
        <f t="shared" ref="CW28:EB28" si="27">CV28+CW27</f>
        <v>211493.62240035992</v>
      </c>
      <c r="CX28" s="77">
        <f t="shared" si="27"/>
        <v>220051.84248725505</v>
      </c>
      <c r="CY28" s="77">
        <f t="shared" si="27"/>
        <v>228610.06257415019</v>
      </c>
      <c r="CZ28" s="77">
        <f t="shared" si="27"/>
        <v>237168.28266104532</v>
      </c>
      <c r="DA28" s="77">
        <f t="shared" si="27"/>
        <v>245726.50274794045</v>
      </c>
      <c r="DB28" s="77">
        <f t="shared" si="27"/>
        <v>254284.72283483559</v>
      </c>
      <c r="DC28" s="77">
        <f t="shared" si="27"/>
        <v>262842.94292173075</v>
      </c>
      <c r="DD28" s="77">
        <f t="shared" si="27"/>
        <v>271401.16300862591</v>
      </c>
      <c r="DE28" s="77">
        <f t="shared" si="27"/>
        <v>279959.38309552107</v>
      </c>
      <c r="DF28" s="77">
        <f t="shared" si="27"/>
        <v>288517.60318241623</v>
      </c>
      <c r="DG28" s="77">
        <f t="shared" si="27"/>
        <v>297075.8232693114</v>
      </c>
      <c r="DH28" s="77">
        <f t="shared" si="27"/>
        <v>305634.04335620656</v>
      </c>
      <c r="DI28" s="77">
        <f t="shared" si="27"/>
        <v>314192.26344310172</v>
      </c>
      <c r="DJ28" s="77">
        <f t="shared" si="27"/>
        <v>322750.48352999688</v>
      </c>
      <c r="DK28" s="77">
        <f t="shared" si="27"/>
        <v>331308.70361689205</v>
      </c>
      <c r="DL28" s="77">
        <f t="shared" si="27"/>
        <v>339866.92370378721</v>
      </c>
      <c r="DM28" s="77">
        <f t="shared" si="27"/>
        <v>348425.14379068237</v>
      </c>
      <c r="DN28" s="77">
        <f t="shared" si="27"/>
        <v>356983.36387757753</v>
      </c>
      <c r="DO28" s="77">
        <f t="shared" si="27"/>
        <v>365541.58396447269</v>
      </c>
      <c r="DP28" s="77">
        <f t="shared" si="27"/>
        <v>374099.80405136786</v>
      </c>
      <c r="DQ28" s="77">
        <f t="shared" si="27"/>
        <v>382658.02413826302</v>
      </c>
      <c r="DR28" s="77">
        <f t="shared" si="27"/>
        <v>391216.24422515818</v>
      </c>
      <c r="DS28" s="77">
        <f t="shared" si="27"/>
        <v>399774.46431205334</v>
      </c>
    </row>
    <row r="29" spans="1:123" ht="15" customHeight="1" x14ac:dyDescent="0.2">
      <c r="B29" s="37" t="s">
        <v>915</v>
      </c>
      <c r="D29" s="77">
        <f>D27/(1+SUP_CONTROL!$C$32)^D4</f>
        <v>0</v>
      </c>
      <c r="E29" s="77">
        <f>E27/(1+SUP_CONTROL!$C$32)^E4</f>
        <v>0</v>
      </c>
      <c r="F29" s="77">
        <f>F27/(1+SUP_CONTROL!$C$32)^F4</f>
        <v>0</v>
      </c>
      <c r="G29" s="77">
        <f>G27/(1+SUP_CONTROL!$C$32)^G4</f>
        <v>-150272.49700254714</v>
      </c>
      <c r="H29" s="77">
        <f>H27/(1+SUP_CONTROL!$C$32)^H4</f>
        <v>-147503.95614322397</v>
      </c>
      <c r="I29" s="77">
        <f>I27/(1+SUP_CONTROL!$C$32)^I4</f>
        <v>-161463.01638990926</v>
      </c>
      <c r="J29" s="77">
        <f>J27/(1+SUP_CONTROL!$C$32)^J4</f>
        <v>-43372.486086172212</v>
      </c>
      <c r="K29" s="77">
        <f>K27/(1+SUP_CONTROL!$C$32)^K4</f>
        <v>12853.976091493034</v>
      </c>
      <c r="L29" s="77">
        <f>L27/(1+SUP_CONTROL!$C$32)^L4</f>
        <v>15069.942447715828</v>
      </c>
      <c r="M29" s="77">
        <f>M27/(1+SUP_CONTROL!$C$32)^M4</f>
        <v>6530.0138181061475</v>
      </c>
      <c r="N29" s="77">
        <f>N27/(1+SUP_CONTROL!$C$32)^N4</f>
        <v>6409.7083036042786</v>
      </c>
      <c r="O29" s="77">
        <f>O27/(1+SUP_CONTROL!$C$32)^O4</f>
        <v>6291.6192341548594</v>
      </c>
      <c r="P29" s="77">
        <f>P27/(1+SUP_CONTROL!$C$32)^P4</f>
        <v>6175.7057751486773</v>
      </c>
      <c r="Q29" s="77">
        <f>Q27/(1+SUP_CONTROL!$C$32)^Q4</f>
        <v>6061.9278442917248</v>
      </c>
      <c r="R29" s="77">
        <f>R27/(1+SUP_CONTROL!$C$32)^R4</f>
        <v>5950.2460977449427</v>
      </c>
      <c r="S29" s="77">
        <f>S27/(1+SUP_CONTROL!$C$32)^S4</f>
        <v>5840.6219165193133</v>
      </c>
      <c r="T29" s="77">
        <f>T27/(1+SUP_CONTROL!$C$32)^T4</f>
        <v>5787.393578117606</v>
      </c>
      <c r="U29" s="77">
        <f>U27/(1+SUP_CONTROL!$C$32)^U4</f>
        <v>5692.2446722475615</v>
      </c>
      <c r="V29" s="77">
        <f>V27/(1+SUP_CONTROL!$C$32)^V4</f>
        <v>5639.6203975764556</v>
      </c>
      <c r="W29" s="77">
        <f>W27/(1+SUP_CONTROL!$C$32)^W4</f>
        <v>5589.6537173764646</v>
      </c>
      <c r="X29" s="77">
        <f>X27/(1+SUP_CONTROL!$C$32)^X4</f>
        <v>5500.1352329658148</v>
      </c>
      <c r="Y29" s="77">
        <f>Y27/(1+SUP_CONTROL!$C$32)^Y4</f>
        <v>5409.0303834247588</v>
      </c>
      <c r="Z29" s="77">
        <f>Z27/(1+SUP_CONTROL!$C$32)^Z4</f>
        <v>5314.2881044963733</v>
      </c>
      <c r="AA29" s="77">
        <f>AA27/(1+SUP_CONTROL!$C$32)^AA4</f>
        <v>4855.980895353714</v>
      </c>
      <c r="AB29" s="77">
        <f>AB27/(1+SUP_CONTROL!$C$32)^AB4</f>
        <v>4766.5168763945321</v>
      </c>
      <c r="AC29" s="77">
        <f>AC27/(1+SUP_CONTROL!$C$32)^AC4</f>
        <v>4678.7010951160191</v>
      </c>
      <c r="AD29" s="77">
        <f>AD27/(1+SUP_CONTROL!$C$32)^AD4</f>
        <v>4584.428787129179</v>
      </c>
      <c r="AE29" s="77">
        <f>AE27/(1+SUP_CONTROL!$C$32)^AE4</f>
        <v>4499.967700323592</v>
      </c>
      <c r="AF29" s="77">
        <f>AF27/(1+SUP_CONTROL!$C$32)^AF4</f>
        <v>4484.3797628263219</v>
      </c>
      <c r="AG29" s="77">
        <f>AG27/(1+SUP_CONTROL!$C$32)^AG4</f>
        <v>4460.8274863003098</v>
      </c>
      <c r="AH29" s="77">
        <f>AH27/(1+SUP_CONTROL!$C$32)^AH4</f>
        <v>4396.521457848452</v>
      </c>
      <c r="AI29" s="77">
        <f>AI27/(1+SUP_CONTROL!$C$32)^AI4</f>
        <v>4366.9306092179404</v>
      </c>
      <c r="AJ29" s="77">
        <f>AJ27/(1+SUP_CONTROL!$C$32)^AJ4</f>
        <v>4332.9775326592671</v>
      </c>
      <c r="AK29" s="77">
        <f>AK27/(1+SUP_CONTROL!$C$32)^AK4</f>
        <v>4265.028491154163</v>
      </c>
      <c r="AL29" s="77">
        <f>AL27/(1+SUP_CONTROL!$C$32)^AL4</f>
        <v>4187.1153009708614</v>
      </c>
      <c r="AM29" s="77">
        <f>AM27/(1+SUP_CONTROL!$C$32)^AM4</f>
        <v>4149.4873216721617</v>
      </c>
      <c r="AN29" s="77">
        <f>AN27/(1+SUP_CONTROL!$C$32)^AN4</f>
        <v>4104.6957078832729</v>
      </c>
      <c r="AO29" s="77">
        <f>AO27/(1+SUP_CONTROL!$C$32)^AO4</f>
        <v>4060.4423969807895</v>
      </c>
      <c r="AP29" s="77">
        <f>AP27/(1+SUP_CONTROL!$C$32)^AP4</f>
        <v>4016.7646044205903</v>
      </c>
      <c r="AQ29" s="77">
        <f>AQ27/(1+SUP_CONTROL!$C$32)^AQ4</f>
        <v>3952.5175055232917</v>
      </c>
      <c r="AR29" s="77">
        <f>AR27/(1+SUP_CONTROL!$C$32)^AR4</f>
        <v>3906.6191099565385</v>
      </c>
      <c r="AS29" s="77">
        <f>AS27/(1+SUP_CONTROL!$C$32)^AS4</f>
        <v>3841.6917491149784</v>
      </c>
      <c r="AT29" s="77">
        <f>AT27/(1+SUP_CONTROL!$C$32)^AT4</f>
        <v>3788.4138510108137</v>
      </c>
      <c r="AU29" s="77">
        <f>AU27/(1+SUP_CONTROL!$C$32)^AU4</f>
        <v>3737.7453982221546</v>
      </c>
      <c r="AV29" s="77">
        <f>AV27/(1+SUP_CONTROL!$C$32)^AV4</f>
        <v>3673.7022910248024</v>
      </c>
      <c r="AW29" s="77">
        <f>AW27/(1+SUP_CONTROL!$C$32)^AW4</f>
        <v>3347.3800330670956</v>
      </c>
      <c r="AX29" s="77">
        <f>AX27/(1+SUP_CONTROL!$C$32)^AX4</f>
        <v>3288.4887097136684</v>
      </c>
      <c r="AY29" s="77">
        <f>AY27/(1+SUP_CONTROL!$C$32)^AY4</f>
        <v>3227.9033362097534</v>
      </c>
      <c r="AZ29" s="77">
        <f>AZ27/(1+SUP_CONTROL!$C$32)^AZ4</f>
        <v>3168.4341555246756</v>
      </c>
      <c r="BA29" s="77">
        <f>BA27/(1+SUP_CONTROL!$C$32)^BA4</f>
        <v>3099.5835442869284</v>
      </c>
      <c r="BB29" s="77">
        <f>BB27/(1+SUP_CONTROL!$C$32)^BB4</f>
        <v>3042.4784594549469</v>
      </c>
      <c r="BC29" s="77">
        <f>BC27/(1+SUP_CONTROL!$C$32)^BC4</f>
        <v>2986.4254484474241</v>
      </c>
      <c r="BD29" s="77">
        <f>BD27/(1+SUP_CONTROL!$C$32)^BD4</f>
        <v>2962.2037224896849</v>
      </c>
      <c r="BE29" s="77">
        <f>BE27/(1+SUP_CONTROL!$C$32)^BE4</f>
        <v>2928.0075006641691</v>
      </c>
      <c r="BF29" s="77">
        <f>BF27/(1+SUP_CONTROL!$C$32)^BF4</f>
        <v>2889.844960777119</v>
      </c>
      <c r="BG29" s="77">
        <f>BG27/(1+SUP_CONTROL!$C$32)^BG4</f>
        <v>2857.0459109242393</v>
      </c>
      <c r="BH29" s="77">
        <f>BH27/(1+SUP_CONTROL!$C$32)^BH4</f>
        <v>2821.2561197874593</v>
      </c>
      <c r="BI29" s="77">
        <f>BI27/(1+SUP_CONTROL!$C$32)^BI4</f>
        <v>2784.8033160962327</v>
      </c>
      <c r="BJ29" s="77">
        <f>BJ27/(1+SUP_CONTROL!$C$32)^BJ4</f>
        <v>2750.0486453453195</v>
      </c>
      <c r="BK29" s="77">
        <f>BK27/(1+SUP_CONTROL!$C$32)^BK4</f>
        <v>2706.0631971957155</v>
      </c>
      <c r="BL29" s="77">
        <f>BL27/(1+SUP_CONTROL!$C$32)^BL4</f>
        <v>2668.4618667504378</v>
      </c>
      <c r="BM29" s="77">
        <f>BM27/(1+SUP_CONTROL!$C$32)^BM4</f>
        <v>2630.6795139730098</v>
      </c>
      <c r="BN29" s="77">
        <f>BN27/(1+SUP_CONTROL!$C$32)^BN4</f>
        <v>2594.4417230645076</v>
      </c>
      <c r="BO29" s="77">
        <f>BO27/(1+SUP_CONTROL!$C$32)^BO4</f>
        <v>2556.5587084899025</v>
      </c>
      <c r="BP29" s="77">
        <f>BP27/(1+SUP_CONTROL!$C$32)^BP4</f>
        <v>2514.2368880126305</v>
      </c>
      <c r="BQ29" s="77">
        <f>BQ27/(1+SUP_CONTROL!$C$32)^BQ4</f>
        <v>2476.4881561529428</v>
      </c>
      <c r="BR29" s="77">
        <f>BR27/(1+SUP_CONTROL!$C$32)^BR4</f>
        <v>2440.1306163888707</v>
      </c>
      <c r="BS29" s="77">
        <f>BS27/(1+SUP_CONTROL!$C$32)^BS4</f>
        <v>2407.2614722594485</v>
      </c>
      <c r="BT29" s="77">
        <f>BT27/(1+SUP_CONTROL!$C$32)^BT4</f>
        <v>2370.6634174086671</v>
      </c>
      <c r="BU29" s="77">
        <f>BU27/(1+SUP_CONTROL!$C$32)^BU4</f>
        <v>2330.2018976492518</v>
      </c>
      <c r="BV29" s="77">
        <f>BV27/(1+SUP_CONTROL!$C$32)^BV4</f>
        <v>2293.6504494755591</v>
      </c>
      <c r="BW29" s="77">
        <f>BW27/(1+SUP_CONTROL!$C$32)^BW4</f>
        <v>2257.8863213327327</v>
      </c>
      <c r="BX29" s="77">
        <f>BX27/(1+SUP_CONTROL!$C$32)^BX4</f>
        <v>2221.6191354581833</v>
      </c>
      <c r="BY29" s="77">
        <f>BY27/(1+SUP_CONTROL!$C$32)^BY4</f>
        <v>2185.6431137340519</v>
      </c>
      <c r="BZ29" s="77">
        <f>BZ27/(1+SUP_CONTROL!$C$32)^BZ4</f>
        <v>2150.7748973734447</v>
      </c>
      <c r="CA29" s="77">
        <f>CA27/(1+SUP_CONTROL!$C$32)^CA4</f>
        <v>2116.7843660922799</v>
      </c>
      <c r="CB29" s="77">
        <f>CB27/(1+SUP_CONTROL!$C$32)^CB4</f>
        <v>2040.6362435051183</v>
      </c>
      <c r="CC29" s="77">
        <f>CC27/(1+SUP_CONTROL!$C$32)^CC4</f>
        <v>2005.1828431178374</v>
      </c>
      <c r="CD29" s="77">
        <f>CD27/(1+SUP_CONTROL!$C$32)^CD4</f>
        <v>1969.2355521048812</v>
      </c>
      <c r="CE29" s="77">
        <f>CE27/(1+SUP_CONTROL!$C$32)^CE4</f>
        <v>1933.3776660375181</v>
      </c>
      <c r="CF29" s="77">
        <f>CF27/(1+SUP_CONTROL!$C$32)^CF4</f>
        <v>1897.7581403645204</v>
      </c>
      <c r="CG29" s="77">
        <f>CG27/(1+SUP_CONTROL!$C$32)^CG4</f>
        <v>1862.7948499586698</v>
      </c>
      <c r="CH29" s="77">
        <f>CH27/(1+SUP_CONTROL!$C$32)^CH4</f>
        <v>1828.4757046891268</v>
      </c>
      <c r="CI29" s="77">
        <f>CI27/(1+SUP_CONTROL!$C$32)^CI4</f>
        <v>1794.7888371672154</v>
      </c>
      <c r="CJ29" s="77">
        <f>CJ27/(1+SUP_CONTROL!$C$32)^CJ4</f>
        <v>1761.7225986427413</v>
      </c>
      <c r="CK29" s="77">
        <f>CK27/(1+SUP_CONTROL!$C$32)^CK4</f>
        <v>1729.2655549759099</v>
      </c>
      <c r="CL29" s="77">
        <f>CL27/(1+SUP_CONTROL!$C$32)^CL4</f>
        <v>1697.4064826834606</v>
      </c>
      <c r="CM29" s="77">
        <f>CM27/(1+SUP_CONTROL!$C$32)^CM4</f>
        <v>1666.1343650576416</v>
      </c>
      <c r="CN29" s="77">
        <f>CN27/(1+SUP_CONTROL!$C$32)^CN4</f>
        <v>1635.4383883566863</v>
      </c>
      <c r="CO29" s="77">
        <f>CO27/(1+SUP_CONTROL!$C$32)^CO4</f>
        <v>1605.3079380654772</v>
      </c>
      <c r="CP29" s="77">
        <f>CP27/(1+SUP_CONTROL!$C$32)^CP4</f>
        <v>1575.7325952250981</v>
      </c>
      <c r="CQ29" s="77">
        <f>CQ27/(1+SUP_CONTROL!$C$32)^CQ4</f>
        <v>1546.7021328300127</v>
      </c>
      <c r="CR29" s="77">
        <f>CR27/(1+SUP_CONTROL!$C$32)^CR4</f>
        <v>1518.2065122916142</v>
      </c>
      <c r="CS29" s="77">
        <f>CS27/(1+SUP_CONTROL!$C$32)^CS4</f>
        <v>1490.2358799669339</v>
      </c>
      <c r="CT29" s="77">
        <f>CT27/(1+SUP_CONTROL!$C$32)^CT4</f>
        <v>1462.7805637512993</v>
      </c>
      <c r="CU29" s="77">
        <f>CU27/(1+SUP_CONTROL!$C$32)^CU4</f>
        <v>1435.8310697337706</v>
      </c>
      <c r="CV29" s="77">
        <f>CV27/(1+SUP_CONTROL!$C$32)^CV4</f>
        <v>1409.3780789141913</v>
      </c>
      <c r="CW29" s="77">
        <f>CW27/(1+SUP_CONTROL!$C$32)^CW4</f>
        <v>1383.412443980726</v>
      </c>
      <c r="CX29" s="77">
        <f>CX27/(1+SUP_CONTROL!$C$32)^CX4</f>
        <v>1357.9251861467667</v>
      </c>
      <c r="CY29" s="77">
        <f>CY27/(1+SUP_CONTROL!$C$32)^CY4</f>
        <v>1332.9074920461114</v>
      </c>
      <c r="CZ29" s="77">
        <f>CZ27/(1+SUP_CONTROL!$C$32)^CZ4</f>
        <v>1308.3507106853474</v>
      </c>
      <c r="DA29" s="77">
        <f>DA27/(1+SUP_CONTROL!$C$32)^DA4</f>
        <v>1284.2463504523801</v>
      </c>
      <c r="DB29" s="77">
        <f>DB27/(1+SUP_CONTROL!$C$32)^DB4</f>
        <v>1260.5860761800766</v>
      </c>
      <c r="DC29" s="77">
        <f>DC27/(1+SUP_CONTROL!$C$32)^DC4</f>
        <v>1237.3617062640085</v>
      </c>
      <c r="DD29" s="77">
        <f>DD27/(1+SUP_CONTROL!$C$32)^DD4</f>
        <v>1214.5652098332898</v>
      </c>
      <c r="DE29" s="77">
        <f>DE27/(1+SUP_CONTROL!$C$32)^DE4</f>
        <v>1192.1887039735454</v>
      </c>
      <c r="DF29" s="77">
        <f>DF27/(1+SUP_CONTROL!$C$32)^DF4</f>
        <v>1170.224451001038</v>
      </c>
      <c r="DG29" s="77">
        <f>DG27/(1+SUP_CONTROL!$C$32)^DG4</f>
        <v>1148.6648557870151</v>
      </c>
      <c r="DH29" s="77">
        <f>DH27/(1+SUP_CONTROL!$C$32)^DH4</f>
        <v>1127.5024631313515</v>
      </c>
      <c r="DI29" s="77">
        <f>DI27/(1+SUP_CONTROL!$C$32)^DI4</f>
        <v>1106.7299551845795</v>
      </c>
      <c r="DJ29" s="77">
        <f>DJ27/(1+SUP_CONTROL!$C$32)^DJ4</f>
        <v>1086.3401489174119</v>
      </c>
      <c r="DK29" s="77">
        <f>DK27/(1+SUP_CONTROL!$C$32)^DK4</f>
        <v>1066.3259936368877</v>
      </c>
      <c r="DL29" s="77">
        <f>DL27/(1+SUP_CONTROL!$C$32)^DL4</f>
        <v>1046.6805685482764</v>
      </c>
      <c r="DM29" s="77">
        <f>DM27/(1+SUP_CONTROL!$C$32)^DM4</f>
        <v>1027.3970803619025</v>
      </c>
      <c r="DN29" s="77">
        <f>DN27/(1+SUP_CONTROL!$C$32)^DN4</f>
        <v>1008.4688609440602</v>
      </c>
      <c r="DO29" s="77">
        <f>DO27/(1+SUP_CONTROL!$C$32)^DO4</f>
        <v>989.88936501120554</v>
      </c>
      <c r="DP29" s="77">
        <f>DP27/(1+SUP_CONTROL!$C$32)^DP4</f>
        <v>971.65216786663052</v>
      </c>
      <c r="DQ29" s="77">
        <f>DQ27/(1+SUP_CONTROL!$C$32)^DQ4</f>
        <v>953.75096317883538</v>
      </c>
      <c r="DR29" s="77">
        <f>DR27/(1+SUP_CONTROL!$C$32)^DR4</f>
        <v>936.17956080082911</v>
      </c>
      <c r="DS29" s="77">
        <f>DS27/(1+SUP_CONTROL!$C$32)^DS4</f>
        <v>918.93188462961086</v>
      </c>
    </row>
    <row r="30" spans="1:123" ht="15" customHeight="1" x14ac:dyDescent="0.2">
      <c r="B30" s="37" t="s">
        <v>916</v>
      </c>
      <c r="D30" s="77">
        <f>D29</f>
        <v>0</v>
      </c>
      <c r="E30" s="77">
        <f t="shared" ref="E30:AJ30" si="28">D30+E29</f>
        <v>0</v>
      </c>
      <c r="F30" s="77">
        <f t="shared" si="28"/>
        <v>0</v>
      </c>
      <c r="G30" s="77">
        <f t="shared" si="28"/>
        <v>-150272.49700254714</v>
      </c>
      <c r="H30" s="77">
        <f t="shared" si="28"/>
        <v>-297776.45314577111</v>
      </c>
      <c r="I30" s="77">
        <f t="shared" si="28"/>
        <v>-459239.46953568037</v>
      </c>
      <c r="J30" s="77">
        <f t="shared" si="28"/>
        <v>-502611.9556218526</v>
      </c>
      <c r="K30" s="77">
        <f t="shared" si="28"/>
        <v>-489757.97953035956</v>
      </c>
      <c r="L30" s="77">
        <f t="shared" si="28"/>
        <v>-474688.03708264371</v>
      </c>
      <c r="M30" s="77">
        <f t="shared" si="28"/>
        <v>-468158.02326453757</v>
      </c>
      <c r="N30" s="77">
        <f t="shared" si="28"/>
        <v>-461748.31496093329</v>
      </c>
      <c r="O30" s="77">
        <f t="shared" si="28"/>
        <v>-455456.69572677842</v>
      </c>
      <c r="P30" s="77">
        <f t="shared" si="28"/>
        <v>-449280.98995162972</v>
      </c>
      <c r="Q30" s="77">
        <f t="shared" si="28"/>
        <v>-443219.06210733799</v>
      </c>
      <c r="R30" s="77">
        <f t="shared" si="28"/>
        <v>-437268.81600959302</v>
      </c>
      <c r="S30" s="77">
        <f t="shared" si="28"/>
        <v>-431428.19409307372</v>
      </c>
      <c r="T30" s="77">
        <f t="shared" si="28"/>
        <v>-425640.80051495612</v>
      </c>
      <c r="U30" s="77">
        <f t="shared" si="28"/>
        <v>-419948.55584270856</v>
      </c>
      <c r="V30" s="77">
        <f t="shared" si="28"/>
        <v>-414308.93544513208</v>
      </c>
      <c r="W30" s="77">
        <f t="shared" si="28"/>
        <v>-408719.28172775562</v>
      </c>
      <c r="X30" s="77">
        <f t="shared" si="28"/>
        <v>-403219.14649478981</v>
      </c>
      <c r="Y30" s="77">
        <f t="shared" si="28"/>
        <v>-397810.11611136503</v>
      </c>
      <c r="Z30" s="77">
        <f t="shared" si="28"/>
        <v>-392495.82800686866</v>
      </c>
      <c r="AA30" s="77">
        <f t="shared" si="28"/>
        <v>-387639.84711151494</v>
      </c>
      <c r="AB30" s="77">
        <f t="shared" si="28"/>
        <v>-382873.33023512043</v>
      </c>
      <c r="AC30" s="77">
        <f t="shared" si="28"/>
        <v>-378194.6291400044</v>
      </c>
      <c r="AD30" s="77">
        <f t="shared" si="28"/>
        <v>-373610.20035287522</v>
      </c>
      <c r="AE30" s="77">
        <f t="shared" si="28"/>
        <v>-369110.23265255161</v>
      </c>
      <c r="AF30" s="77">
        <f t="shared" si="28"/>
        <v>-364625.8528897253</v>
      </c>
      <c r="AG30" s="77">
        <f t="shared" si="28"/>
        <v>-360165.02540342498</v>
      </c>
      <c r="AH30" s="77">
        <f t="shared" si="28"/>
        <v>-355768.50394557655</v>
      </c>
      <c r="AI30" s="77">
        <f t="shared" si="28"/>
        <v>-351401.57333635859</v>
      </c>
      <c r="AJ30" s="77">
        <f t="shared" si="28"/>
        <v>-347068.59580369934</v>
      </c>
      <c r="AK30" s="77">
        <f t="shared" ref="AK30:BP30" si="29">AJ30+AK29</f>
        <v>-342803.5673125452</v>
      </c>
      <c r="AL30" s="77">
        <f t="shared" si="29"/>
        <v>-338616.45201157435</v>
      </c>
      <c r="AM30" s="77">
        <f t="shared" si="29"/>
        <v>-334466.9646899022</v>
      </c>
      <c r="AN30" s="77">
        <f t="shared" si="29"/>
        <v>-330362.26898201893</v>
      </c>
      <c r="AO30" s="77">
        <f t="shared" si="29"/>
        <v>-326301.82658503816</v>
      </c>
      <c r="AP30" s="77">
        <f t="shared" si="29"/>
        <v>-322285.06198061758</v>
      </c>
      <c r="AQ30" s="77">
        <f t="shared" si="29"/>
        <v>-318332.5444750943</v>
      </c>
      <c r="AR30" s="77">
        <f t="shared" si="29"/>
        <v>-314425.92536513775</v>
      </c>
      <c r="AS30" s="77">
        <f t="shared" si="29"/>
        <v>-310584.2336160228</v>
      </c>
      <c r="AT30" s="77">
        <f t="shared" si="29"/>
        <v>-306795.81976501201</v>
      </c>
      <c r="AU30" s="77">
        <f t="shared" si="29"/>
        <v>-303058.07436678984</v>
      </c>
      <c r="AV30" s="77">
        <f t="shared" si="29"/>
        <v>-299384.37207576504</v>
      </c>
      <c r="AW30" s="77">
        <f t="shared" si="29"/>
        <v>-296036.99204269797</v>
      </c>
      <c r="AX30" s="77">
        <f t="shared" si="29"/>
        <v>-292748.50333298428</v>
      </c>
      <c r="AY30" s="77">
        <f t="shared" si="29"/>
        <v>-289520.59999677452</v>
      </c>
      <c r="AZ30" s="77">
        <f t="shared" si="29"/>
        <v>-286352.16584124987</v>
      </c>
      <c r="BA30" s="77">
        <f t="shared" si="29"/>
        <v>-283252.58229696297</v>
      </c>
      <c r="BB30" s="77">
        <f t="shared" si="29"/>
        <v>-280210.10383750801</v>
      </c>
      <c r="BC30" s="77">
        <f t="shared" si="29"/>
        <v>-277223.6783890606</v>
      </c>
      <c r="BD30" s="77">
        <f t="shared" si="29"/>
        <v>-274261.4746665709</v>
      </c>
      <c r="BE30" s="77">
        <f t="shared" si="29"/>
        <v>-271333.46716590674</v>
      </c>
      <c r="BF30" s="77">
        <f t="shared" si="29"/>
        <v>-268443.62220512959</v>
      </c>
      <c r="BG30" s="77">
        <f t="shared" si="29"/>
        <v>-265586.57629420533</v>
      </c>
      <c r="BH30" s="77">
        <f t="shared" si="29"/>
        <v>-262765.32017441787</v>
      </c>
      <c r="BI30" s="77">
        <f t="shared" si="29"/>
        <v>-259980.51685832164</v>
      </c>
      <c r="BJ30" s="77">
        <f t="shared" si="29"/>
        <v>-257230.46821297632</v>
      </c>
      <c r="BK30" s="77">
        <f t="shared" si="29"/>
        <v>-254524.40501578062</v>
      </c>
      <c r="BL30" s="77">
        <f t="shared" si="29"/>
        <v>-251855.94314903018</v>
      </c>
      <c r="BM30" s="77">
        <f t="shared" si="29"/>
        <v>-249225.26363505717</v>
      </c>
      <c r="BN30" s="77">
        <f t="shared" si="29"/>
        <v>-246630.82191199265</v>
      </c>
      <c r="BO30" s="77">
        <f t="shared" si="29"/>
        <v>-244074.26320350275</v>
      </c>
      <c r="BP30" s="77">
        <f t="shared" si="29"/>
        <v>-241560.02631549013</v>
      </c>
      <c r="BQ30" s="77">
        <f t="shared" ref="BQ30:CV30" si="30">BP30+BQ29</f>
        <v>-239083.53815933719</v>
      </c>
      <c r="BR30" s="77">
        <f t="shared" si="30"/>
        <v>-236643.40754294832</v>
      </c>
      <c r="BS30" s="77">
        <f t="shared" si="30"/>
        <v>-234236.14607068888</v>
      </c>
      <c r="BT30" s="77">
        <f t="shared" si="30"/>
        <v>-231865.4826532802</v>
      </c>
      <c r="BU30" s="77">
        <f t="shared" si="30"/>
        <v>-229535.28075563096</v>
      </c>
      <c r="BV30" s="77">
        <f t="shared" si="30"/>
        <v>-227241.63030615539</v>
      </c>
      <c r="BW30" s="77">
        <f t="shared" si="30"/>
        <v>-224983.74398482265</v>
      </c>
      <c r="BX30" s="77">
        <f t="shared" si="30"/>
        <v>-222762.12484936445</v>
      </c>
      <c r="BY30" s="77">
        <f t="shared" si="30"/>
        <v>-220576.4817356304</v>
      </c>
      <c r="BZ30" s="77">
        <f t="shared" si="30"/>
        <v>-218425.70683825694</v>
      </c>
      <c r="CA30" s="77">
        <f t="shared" si="30"/>
        <v>-216308.92247216468</v>
      </c>
      <c r="CB30" s="77">
        <f t="shared" si="30"/>
        <v>-214268.28622865956</v>
      </c>
      <c r="CC30" s="77">
        <f t="shared" si="30"/>
        <v>-212263.10338554173</v>
      </c>
      <c r="CD30" s="77">
        <f t="shared" si="30"/>
        <v>-210293.86783343685</v>
      </c>
      <c r="CE30" s="77">
        <f t="shared" si="30"/>
        <v>-208360.49016739932</v>
      </c>
      <c r="CF30" s="77">
        <f t="shared" si="30"/>
        <v>-206462.7320270348</v>
      </c>
      <c r="CG30" s="77">
        <f t="shared" si="30"/>
        <v>-204599.93717707612</v>
      </c>
      <c r="CH30" s="77">
        <f t="shared" si="30"/>
        <v>-202771.46147238699</v>
      </c>
      <c r="CI30" s="77">
        <f t="shared" si="30"/>
        <v>-200976.67263521979</v>
      </c>
      <c r="CJ30" s="77">
        <f t="shared" si="30"/>
        <v>-199214.95003657704</v>
      </c>
      <c r="CK30" s="77">
        <f t="shared" si="30"/>
        <v>-197485.68448160111</v>
      </c>
      <c r="CL30" s="77">
        <f t="shared" si="30"/>
        <v>-195788.27799891765</v>
      </c>
      <c r="CM30" s="77">
        <f t="shared" si="30"/>
        <v>-194122.14363386002</v>
      </c>
      <c r="CN30" s="77">
        <f t="shared" si="30"/>
        <v>-192486.70524550334</v>
      </c>
      <c r="CO30" s="77">
        <f t="shared" si="30"/>
        <v>-190881.39730743787</v>
      </c>
      <c r="CP30" s="77">
        <f t="shared" si="30"/>
        <v>-189305.66471221278</v>
      </c>
      <c r="CQ30" s="77">
        <f t="shared" si="30"/>
        <v>-187758.96257938276</v>
      </c>
      <c r="CR30" s="77">
        <f t="shared" si="30"/>
        <v>-186240.75606709113</v>
      </c>
      <c r="CS30" s="77">
        <f t="shared" si="30"/>
        <v>-184750.5201871242</v>
      </c>
      <c r="CT30" s="77">
        <f t="shared" si="30"/>
        <v>-183287.73962337291</v>
      </c>
      <c r="CU30" s="77">
        <f t="shared" si="30"/>
        <v>-181851.90855363914</v>
      </c>
      <c r="CV30" s="77">
        <f t="shared" si="30"/>
        <v>-180442.53047472495</v>
      </c>
      <c r="CW30" s="77">
        <f t="shared" ref="CW30:EB30" si="31">CV30+CW29</f>
        <v>-179059.11803074423</v>
      </c>
      <c r="CX30" s="77">
        <f t="shared" si="31"/>
        <v>-177701.19284459745</v>
      </c>
      <c r="CY30" s="77">
        <f t="shared" si="31"/>
        <v>-176368.28535255135</v>
      </c>
      <c r="CZ30" s="77">
        <f t="shared" si="31"/>
        <v>-175059.93464186601</v>
      </c>
      <c r="DA30" s="77">
        <f t="shared" si="31"/>
        <v>-173775.68829141362</v>
      </c>
      <c r="DB30" s="77">
        <f t="shared" si="31"/>
        <v>-172515.10221523355</v>
      </c>
      <c r="DC30" s="77">
        <f t="shared" si="31"/>
        <v>-171277.74050896955</v>
      </c>
      <c r="DD30" s="77">
        <f t="shared" si="31"/>
        <v>-170063.17529913626</v>
      </c>
      <c r="DE30" s="77">
        <f t="shared" si="31"/>
        <v>-168870.98659516271</v>
      </c>
      <c r="DF30" s="77">
        <f t="shared" si="31"/>
        <v>-167700.76214416168</v>
      </c>
      <c r="DG30" s="77">
        <f t="shared" si="31"/>
        <v>-166552.09728837467</v>
      </c>
      <c r="DH30" s="77">
        <f t="shared" si="31"/>
        <v>-165424.59482524332</v>
      </c>
      <c r="DI30" s="77">
        <f t="shared" si="31"/>
        <v>-164317.86487005872</v>
      </c>
      <c r="DJ30" s="77">
        <f t="shared" si="31"/>
        <v>-163231.52472114132</v>
      </c>
      <c r="DK30" s="77">
        <f t="shared" si="31"/>
        <v>-162165.19872750444</v>
      </c>
      <c r="DL30" s="77">
        <f t="shared" si="31"/>
        <v>-161118.51815895617</v>
      </c>
      <c r="DM30" s="77">
        <f t="shared" si="31"/>
        <v>-160091.12107859427</v>
      </c>
      <c r="DN30" s="77">
        <f t="shared" si="31"/>
        <v>-159082.6522176502</v>
      </c>
      <c r="DO30" s="77">
        <f t="shared" si="31"/>
        <v>-158092.76285263899</v>
      </c>
      <c r="DP30" s="77">
        <f t="shared" si="31"/>
        <v>-157121.11068477237</v>
      </c>
      <c r="DQ30" s="77">
        <f t="shared" si="31"/>
        <v>-156167.35972159353</v>
      </c>
      <c r="DR30" s="77">
        <f t="shared" si="31"/>
        <v>-155231.18016079269</v>
      </c>
      <c r="DS30" s="77">
        <f t="shared" si="31"/>
        <v>-154312.24827616307</v>
      </c>
    </row>
    <row r="31" spans="1:123" ht="15" customHeight="1" x14ac:dyDescent="0.2">
      <c r="B31" s="86" t="s">
        <v>929</v>
      </c>
      <c r="D31">
        <f>IF(D4=SUP_CONTROL!$C$17,3*SUP_OPEX!$F$20,0)</f>
        <v>0</v>
      </c>
      <c r="E31">
        <f>IF(E4=SUP_CONTROL!$C$17,3*SUP_OPEX!$F$20,0)</f>
        <v>0</v>
      </c>
      <c r="F31">
        <f>IF(F4=SUP_CONTROL!$C$17,3*SUP_OPEX!$F$20,0)</f>
        <v>0</v>
      </c>
      <c r="G31">
        <f>IF(G4=SUP_CONTROL!$C$17,3*SUP_OPEX!$F$20,0)</f>
        <v>0</v>
      </c>
      <c r="H31">
        <f>IF(H4=SUP_CONTROL!$C$17,3*SUP_OPEX!$F$20,0)</f>
        <v>0</v>
      </c>
      <c r="I31">
        <f>IF(I4=SUP_CONTROL!$C$17,3*SUP_OPEX!$F$20,0)</f>
        <v>0</v>
      </c>
      <c r="J31">
        <f>IF(J4=SUP_CONTROL!$C$17,3*SUP_OPEX!$F$20,0)</f>
        <v>30000</v>
      </c>
      <c r="K31">
        <f>IF(K4=SUP_CONTROL!$C$17,3*SUP_OPEX!$F$20,0)</f>
        <v>0</v>
      </c>
      <c r="L31">
        <f>IF(L4=SUP_CONTROL!$C$17,3*SUP_OPEX!$F$20,0)</f>
        <v>0</v>
      </c>
      <c r="M31">
        <f>IF(M4=SUP_CONTROL!$C$17,3*SUP_OPEX!$F$20,0)</f>
        <v>0</v>
      </c>
      <c r="N31">
        <f>IF(N4=SUP_CONTROL!$C$17,3*SUP_OPEX!$F$20,0)</f>
        <v>0</v>
      </c>
      <c r="O31">
        <f>IF(O4=SUP_CONTROL!$C$17,3*SUP_OPEX!$F$20,0)</f>
        <v>0</v>
      </c>
      <c r="P31">
        <f>IF(P4=SUP_CONTROL!$C$17,3*SUP_OPEX!$F$20,0)</f>
        <v>0</v>
      </c>
      <c r="Q31">
        <f>IF(Q4=SUP_CONTROL!$C$17,3*SUP_OPEX!$F$20,0)</f>
        <v>0</v>
      </c>
      <c r="R31">
        <f>IF(R4=SUP_CONTROL!$C$17,3*SUP_OPEX!$F$20,0)</f>
        <v>0</v>
      </c>
      <c r="S31">
        <f>IF(S4=SUP_CONTROL!$C$17,3*SUP_OPEX!$F$20,0)</f>
        <v>0</v>
      </c>
      <c r="T31">
        <f>IF(T4=SUP_CONTROL!$C$17,3*SUP_OPEX!$F$20,0)</f>
        <v>0</v>
      </c>
      <c r="U31">
        <f>IF(U4=SUP_CONTROL!$C$17,3*SUP_OPEX!$F$20,0)</f>
        <v>0</v>
      </c>
      <c r="V31">
        <f>IF(V4=SUP_CONTROL!$C$17,3*SUP_OPEX!$F$20,0)</f>
        <v>0</v>
      </c>
      <c r="W31">
        <f>IF(W4=SUP_CONTROL!$C$17,3*SUP_OPEX!$F$20,0)</f>
        <v>0</v>
      </c>
      <c r="X31">
        <f>IF(X4=SUP_CONTROL!$C$17,3*SUP_OPEX!$F$20,0)</f>
        <v>0</v>
      </c>
      <c r="Y31">
        <f>IF(Y4=SUP_CONTROL!$C$17,3*SUP_OPEX!$F$20,0)</f>
        <v>0</v>
      </c>
      <c r="Z31">
        <f>IF(Z4=SUP_CONTROL!$C$17,3*SUP_OPEX!$F$20,0)</f>
        <v>0</v>
      </c>
      <c r="AA31">
        <f>IF(AA4=SUP_CONTROL!$C$17,3*SUP_OPEX!$F$20,0)</f>
        <v>0</v>
      </c>
      <c r="AB31">
        <f>IF(AB4=SUP_CONTROL!$C$17,3*SUP_OPEX!$F$20,0)</f>
        <v>0</v>
      </c>
      <c r="AC31">
        <f>IF(AC4=SUP_CONTROL!$C$17,3*SUP_OPEX!$F$20,0)</f>
        <v>0</v>
      </c>
      <c r="AD31">
        <f>IF(AD4=SUP_CONTROL!$C$17,3*SUP_OPEX!$F$20,0)</f>
        <v>0</v>
      </c>
      <c r="AE31">
        <f>IF(AE4=SUP_CONTROL!$C$17,3*SUP_OPEX!$F$20,0)</f>
        <v>0</v>
      </c>
      <c r="AF31">
        <f>IF(AF4=SUP_CONTROL!$C$17,3*SUP_OPEX!$F$20,0)</f>
        <v>0</v>
      </c>
      <c r="AG31">
        <f>IF(AG4=SUP_CONTROL!$C$17,3*SUP_OPEX!$F$20,0)</f>
        <v>0</v>
      </c>
      <c r="AH31">
        <f>IF(AH4=SUP_CONTROL!$C$17,3*SUP_OPEX!$F$20,0)</f>
        <v>0</v>
      </c>
      <c r="AI31">
        <f>IF(AI4=SUP_CONTROL!$C$17,3*SUP_OPEX!$F$20,0)</f>
        <v>0</v>
      </c>
      <c r="AJ31">
        <f>IF(AJ4=SUP_CONTROL!$C$17,3*SUP_OPEX!$F$20,0)</f>
        <v>0</v>
      </c>
      <c r="AK31">
        <f>IF(AK4=SUP_CONTROL!$C$17,3*SUP_OPEX!$F$20,0)</f>
        <v>0</v>
      </c>
      <c r="AL31">
        <f>IF(AL4=SUP_CONTROL!$C$17,3*SUP_OPEX!$F$20,0)</f>
        <v>0</v>
      </c>
      <c r="AM31">
        <f>IF(AM4=SUP_CONTROL!$C$17,3*SUP_OPEX!$F$20,0)</f>
        <v>0</v>
      </c>
      <c r="AN31">
        <f>IF(AN4=SUP_CONTROL!$C$17,3*SUP_OPEX!$F$20,0)</f>
        <v>0</v>
      </c>
      <c r="AO31">
        <f>IF(AO4=SUP_CONTROL!$C$17,3*SUP_OPEX!$F$20,0)</f>
        <v>0</v>
      </c>
      <c r="AP31">
        <f>IF(AP4=SUP_CONTROL!$C$17,3*SUP_OPEX!$F$20,0)</f>
        <v>0</v>
      </c>
      <c r="AQ31">
        <f>IF(AQ4=SUP_CONTROL!$C$17,3*SUP_OPEX!$F$20,0)</f>
        <v>0</v>
      </c>
      <c r="AR31">
        <f>IF(AR4=SUP_CONTROL!$C$17,3*SUP_OPEX!$F$20,0)</f>
        <v>0</v>
      </c>
      <c r="AS31">
        <f>IF(AS4=SUP_CONTROL!$C$17,3*SUP_OPEX!$F$20,0)</f>
        <v>0</v>
      </c>
      <c r="AT31">
        <f>IF(AT4=SUP_CONTROL!$C$17,3*SUP_OPEX!$F$20,0)</f>
        <v>0</v>
      </c>
      <c r="AU31">
        <f>IF(AU4=SUP_CONTROL!$C$17,3*SUP_OPEX!$F$20,0)</f>
        <v>0</v>
      </c>
      <c r="AV31">
        <f>IF(AV4=SUP_CONTROL!$C$17,3*SUP_OPEX!$F$20,0)</f>
        <v>0</v>
      </c>
      <c r="AW31">
        <f>IF(AW4=SUP_CONTROL!$C$17,3*SUP_OPEX!$F$20,0)</f>
        <v>0</v>
      </c>
      <c r="AX31">
        <f>IF(AX4=SUP_CONTROL!$C$17,3*SUP_OPEX!$F$20,0)</f>
        <v>0</v>
      </c>
      <c r="AY31">
        <f>IF(AY4=SUP_CONTROL!$C$17,3*SUP_OPEX!$F$20,0)</f>
        <v>0</v>
      </c>
      <c r="AZ31">
        <f>IF(AZ4=SUP_CONTROL!$C$17,3*SUP_OPEX!$F$20,0)</f>
        <v>0</v>
      </c>
      <c r="BA31">
        <f>IF(BA4=SUP_CONTROL!$C$17,3*SUP_OPEX!$F$20,0)</f>
        <v>0</v>
      </c>
      <c r="BB31">
        <f>IF(BB4=SUP_CONTROL!$C$17,3*SUP_OPEX!$F$20,0)</f>
        <v>0</v>
      </c>
      <c r="BC31">
        <f>IF(BC4=SUP_CONTROL!$C$17,3*SUP_OPEX!$F$20,0)</f>
        <v>0</v>
      </c>
      <c r="BD31">
        <f>IF(BD4=SUP_CONTROL!$C$17,3*SUP_OPEX!$F$20,0)</f>
        <v>0</v>
      </c>
      <c r="BE31">
        <f>IF(BE4=SUP_CONTROL!$C$17,3*SUP_OPEX!$F$20,0)</f>
        <v>0</v>
      </c>
      <c r="BF31">
        <f>IF(BF4=SUP_CONTROL!$C$17,3*SUP_OPEX!$F$20,0)</f>
        <v>0</v>
      </c>
      <c r="BG31">
        <f>IF(BG4=SUP_CONTROL!$C$17,3*SUP_OPEX!$F$20,0)</f>
        <v>0</v>
      </c>
      <c r="BH31">
        <f>IF(BH4=SUP_CONTROL!$C$17,3*SUP_OPEX!$F$20,0)</f>
        <v>0</v>
      </c>
      <c r="BI31">
        <f>IF(BI4=SUP_CONTROL!$C$17,3*SUP_OPEX!$F$20,0)</f>
        <v>0</v>
      </c>
      <c r="BJ31">
        <f>IF(BJ4=SUP_CONTROL!$C$17,3*SUP_OPEX!$F$20,0)</f>
        <v>0</v>
      </c>
      <c r="BK31">
        <f>IF(BK4=SUP_CONTROL!$C$17,3*SUP_OPEX!$F$20,0)</f>
        <v>0</v>
      </c>
      <c r="BL31">
        <f>IF(BL4=SUP_CONTROL!$C$17,3*SUP_OPEX!$F$20,0)</f>
        <v>0</v>
      </c>
      <c r="BM31">
        <f>IF(BM4=SUP_CONTROL!$C$17,3*SUP_OPEX!$F$20,0)</f>
        <v>0</v>
      </c>
      <c r="BN31">
        <f>IF(BN4=SUP_CONTROL!$C$17,3*SUP_OPEX!$F$20,0)</f>
        <v>0</v>
      </c>
      <c r="BO31">
        <f>IF(BO4=SUP_CONTROL!$C$17,3*SUP_OPEX!$F$20,0)</f>
        <v>0</v>
      </c>
      <c r="BP31">
        <f>IF(BP4=SUP_CONTROL!$C$17,3*SUP_OPEX!$F$20,0)</f>
        <v>0</v>
      </c>
      <c r="BQ31">
        <f>IF(BQ4=SUP_CONTROL!$C$17,3*SUP_OPEX!$F$20,0)</f>
        <v>0</v>
      </c>
      <c r="BR31">
        <f>IF(BR4=SUP_CONTROL!$C$17,3*SUP_OPEX!$F$20,0)</f>
        <v>0</v>
      </c>
      <c r="BS31">
        <f>IF(BS4=SUP_CONTROL!$C$17,3*SUP_OPEX!$F$20,0)</f>
        <v>0</v>
      </c>
      <c r="BT31">
        <f>IF(BT4=SUP_CONTROL!$C$17,3*SUP_OPEX!$F$20,0)</f>
        <v>0</v>
      </c>
      <c r="BU31">
        <f>IF(BU4=SUP_CONTROL!$C$17,3*SUP_OPEX!$F$20,0)</f>
        <v>0</v>
      </c>
      <c r="BV31">
        <f>IF(BV4=SUP_CONTROL!$C$17,3*SUP_OPEX!$F$20,0)</f>
        <v>0</v>
      </c>
      <c r="BW31">
        <f>IF(BW4=SUP_CONTROL!$C$17,3*SUP_OPEX!$F$20,0)</f>
        <v>0</v>
      </c>
      <c r="BX31">
        <f>IF(BX4=SUP_CONTROL!$C$17,3*SUP_OPEX!$F$20,0)</f>
        <v>0</v>
      </c>
      <c r="BY31">
        <f>IF(BY4=SUP_CONTROL!$C$17,3*SUP_OPEX!$F$20,0)</f>
        <v>0</v>
      </c>
      <c r="BZ31">
        <f>IF(BZ4=SUP_CONTROL!$C$17,3*SUP_OPEX!$F$20,0)</f>
        <v>0</v>
      </c>
      <c r="CA31">
        <f>IF(CA4=SUP_CONTROL!$C$17,3*SUP_OPEX!$F$20,0)</f>
        <v>0</v>
      </c>
      <c r="CB31">
        <f>IF(CB4=SUP_CONTROL!$C$17,3*SUP_OPEX!$F$20,0)</f>
        <v>0</v>
      </c>
      <c r="CC31">
        <f>IF(CC4=SUP_CONTROL!$C$17,3*SUP_OPEX!$F$20,0)</f>
        <v>0</v>
      </c>
      <c r="CD31">
        <f>IF(CD4=SUP_CONTROL!$C$17,3*SUP_OPEX!$F$20,0)</f>
        <v>0</v>
      </c>
      <c r="CE31">
        <f>IF(CE4=SUP_CONTROL!$C$17,3*SUP_OPEX!$F$20,0)</f>
        <v>0</v>
      </c>
      <c r="CF31">
        <f>IF(CF4=SUP_CONTROL!$C$17,3*SUP_OPEX!$F$20,0)</f>
        <v>0</v>
      </c>
      <c r="CG31">
        <f>IF(CG4=SUP_CONTROL!$C$17,3*SUP_OPEX!$F$20,0)</f>
        <v>0</v>
      </c>
      <c r="CH31">
        <f>IF(CH4=SUP_CONTROL!$C$17,3*SUP_OPEX!$F$20,0)</f>
        <v>0</v>
      </c>
      <c r="CI31">
        <f>IF(CI4=SUP_CONTROL!$C$17,3*SUP_OPEX!$F$20,0)</f>
        <v>0</v>
      </c>
      <c r="CJ31">
        <f>IF(CJ4=SUP_CONTROL!$C$17,3*SUP_OPEX!$F$20,0)</f>
        <v>0</v>
      </c>
      <c r="CK31">
        <f>IF(CK4=SUP_CONTROL!$C$17,3*SUP_OPEX!$F$20,0)</f>
        <v>0</v>
      </c>
      <c r="CL31">
        <f>IF(CL4=SUP_CONTROL!$C$17,3*SUP_OPEX!$F$20,0)</f>
        <v>0</v>
      </c>
      <c r="CM31">
        <f>IF(CM4=SUP_CONTROL!$C$17,3*SUP_OPEX!$F$20,0)</f>
        <v>0</v>
      </c>
      <c r="CN31">
        <f>IF(CN4=SUP_CONTROL!$C$17,3*SUP_OPEX!$F$20,0)</f>
        <v>0</v>
      </c>
      <c r="CO31">
        <f>IF(CO4=SUP_CONTROL!$C$17,3*SUP_OPEX!$F$20,0)</f>
        <v>0</v>
      </c>
      <c r="CP31">
        <f>IF(CP4=SUP_CONTROL!$C$17,3*SUP_OPEX!$F$20,0)</f>
        <v>0</v>
      </c>
      <c r="CQ31">
        <f>IF(CQ4=SUP_CONTROL!$C$17,3*SUP_OPEX!$F$20,0)</f>
        <v>0</v>
      </c>
      <c r="CR31">
        <f>IF(CR4=SUP_CONTROL!$C$17,3*SUP_OPEX!$F$20,0)</f>
        <v>0</v>
      </c>
      <c r="CS31">
        <f>IF(CS4=SUP_CONTROL!$C$17,3*SUP_OPEX!$F$20,0)</f>
        <v>0</v>
      </c>
      <c r="CT31">
        <f>IF(CT4=SUP_CONTROL!$C$17,3*SUP_OPEX!$F$20,0)</f>
        <v>0</v>
      </c>
      <c r="CU31">
        <f>IF(CU4=SUP_CONTROL!$C$17,3*SUP_OPEX!$F$20,0)</f>
        <v>0</v>
      </c>
      <c r="CV31">
        <f>IF(CV4=SUP_CONTROL!$C$17,3*SUP_OPEX!$F$20,0)</f>
        <v>0</v>
      </c>
      <c r="CW31">
        <f>IF(CW4=SUP_CONTROL!$C$17,3*SUP_OPEX!$F$20,0)</f>
        <v>0</v>
      </c>
      <c r="CX31">
        <f>IF(CX4=SUP_CONTROL!$C$17,3*SUP_OPEX!$F$20,0)</f>
        <v>0</v>
      </c>
      <c r="CY31">
        <f>IF(CY4=SUP_CONTROL!$C$17,3*SUP_OPEX!$F$20,0)</f>
        <v>0</v>
      </c>
      <c r="CZ31">
        <f>IF(CZ4=SUP_CONTROL!$C$17,3*SUP_OPEX!$F$20,0)</f>
        <v>0</v>
      </c>
      <c r="DA31">
        <f>IF(DA4=SUP_CONTROL!$C$17,3*SUP_OPEX!$F$20,0)</f>
        <v>0</v>
      </c>
      <c r="DB31">
        <f>IF(DB4=SUP_CONTROL!$C$17,3*SUP_OPEX!$F$20,0)</f>
        <v>0</v>
      </c>
      <c r="DC31">
        <f>IF(DC4=SUP_CONTROL!$C$17,3*SUP_OPEX!$F$20,0)</f>
        <v>0</v>
      </c>
      <c r="DD31">
        <f>IF(DD4=SUP_CONTROL!$C$17,3*SUP_OPEX!$F$20,0)</f>
        <v>0</v>
      </c>
      <c r="DE31">
        <f>IF(DE4=SUP_CONTROL!$C$17,3*SUP_OPEX!$F$20,0)</f>
        <v>0</v>
      </c>
      <c r="DF31">
        <f>IF(DF4=SUP_CONTROL!$C$17,3*SUP_OPEX!$F$20,0)</f>
        <v>0</v>
      </c>
      <c r="DG31">
        <f>IF(DG4=SUP_CONTROL!$C$17,3*SUP_OPEX!$F$20,0)</f>
        <v>0</v>
      </c>
      <c r="DH31">
        <f>IF(DH4=SUP_CONTROL!$C$17,3*SUP_OPEX!$F$20,0)</f>
        <v>0</v>
      </c>
      <c r="DI31">
        <f>IF(DI4=SUP_CONTROL!$C$17,3*SUP_OPEX!$F$20,0)</f>
        <v>0</v>
      </c>
      <c r="DJ31">
        <f>IF(DJ4=SUP_CONTROL!$C$17,3*SUP_OPEX!$F$20,0)</f>
        <v>0</v>
      </c>
      <c r="DK31">
        <f>IF(DK4=SUP_CONTROL!$C$17,3*SUP_OPEX!$F$20,0)</f>
        <v>0</v>
      </c>
      <c r="DL31">
        <f>IF(DL4=SUP_CONTROL!$C$17,3*SUP_OPEX!$F$20,0)</f>
        <v>0</v>
      </c>
      <c r="DM31">
        <f>IF(DM4=SUP_CONTROL!$C$17,3*SUP_OPEX!$F$20,0)</f>
        <v>0</v>
      </c>
      <c r="DN31">
        <f>IF(DN4=SUP_CONTROL!$C$17,3*SUP_OPEX!$F$20,0)</f>
        <v>0</v>
      </c>
      <c r="DO31">
        <f>IF(DO4=SUP_CONTROL!$C$17,3*SUP_OPEX!$F$20,0)</f>
        <v>0</v>
      </c>
      <c r="DP31">
        <f>IF(DP4=SUP_CONTROL!$C$17,3*SUP_OPEX!$F$20,0)</f>
        <v>0</v>
      </c>
      <c r="DQ31">
        <f>IF(DQ4=SUP_CONTROL!$C$17,3*SUP_OPEX!$F$20,0)</f>
        <v>0</v>
      </c>
      <c r="DR31">
        <f>IF(DR4=SUP_CONTROL!$C$17,3*SUP_OPEX!$F$20,0)</f>
        <v>0</v>
      </c>
      <c r="DS31">
        <f>IF(DS4=SUP_CONTROL!$C$17,3*SUP_OPEX!$F$20,0)</f>
        <v>0</v>
      </c>
    </row>
    <row r="32" spans="1:123" ht="15" customHeight="1" x14ac:dyDescent="0.2">
      <c r="A32" s="25" t="s">
        <v>950</v>
      </c>
      <c r="B32" s="100" t="s">
        <v>951</v>
      </c>
      <c r="C32" s="26"/>
      <c r="D32">
        <f>IF(D4=SUP_CONTROL!$C$17,2*SUP_OPEX!$F$20,0)-IF(D4=SUP_CONTROL!$C$17+1,1*SUP_OPEX!$F$20,0)-IF(D4=SUP_CONTROL!$C$17+2,1*SUP_OPEX!$F$20,0)</f>
        <v>0</v>
      </c>
      <c r="E32">
        <f>IF(E4=SUP_CONTROL!$C$17,2*SUP_OPEX!$F$20,0)-IF(E4=SUP_CONTROL!$C$17+1,1*SUP_OPEX!$F$20,0)-IF(E4=SUP_CONTROL!$C$17+2,1*SUP_OPEX!$F$20,0)</f>
        <v>0</v>
      </c>
      <c r="F32">
        <f>IF(F4=SUP_CONTROL!$C$17,2*SUP_OPEX!$F$20,0)-IF(F4=SUP_CONTROL!$C$17+1,1*SUP_OPEX!$F$20,0)-IF(F4=SUP_CONTROL!$C$17+2,1*SUP_OPEX!$F$20,0)</f>
        <v>0</v>
      </c>
      <c r="G32">
        <f>IF(G4=SUP_CONTROL!$C$17,2*SUP_OPEX!$F$20,0)-IF(G4=SUP_CONTROL!$C$17+1,1*SUP_OPEX!$F$20,0)-IF(G4=SUP_CONTROL!$C$17+2,1*SUP_OPEX!$F$20,0)</f>
        <v>0</v>
      </c>
      <c r="H32">
        <f>IF(H4=SUP_CONTROL!$C$17,2*SUP_OPEX!$F$20,0)-IF(H4=SUP_CONTROL!$C$17+1,1*SUP_OPEX!$F$20,0)-IF(H4=SUP_CONTROL!$C$17+2,1*SUP_OPEX!$F$20,0)</f>
        <v>0</v>
      </c>
      <c r="I32">
        <f>IF(I4=SUP_CONTROL!$C$17,2*SUP_OPEX!$F$20,0)-IF(I4=SUP_CONTROL!$C$17+1,1*SUP_OPEX!$F$20,0)-IF(I4=SUP_CONTROL!$C$17+2,1*SUP_OPEX!$F$20,0)</f>
        <v>0</v>
      </c>
      <c r="J32">
        <f>IF(J4=SUP_CONTROL!$C$17,2*SUP_OPEX!$F$20,0)-IF(J4=SUP_CONTROL!$C$17+1,1*SUP_OPEX!$F$20,0)-IF(J4=SUP_CONTROL!$C$17+2,1*SUP_OPEX!$F$20,0)</f>
        <v>20000</v>
      </c>
      <c r="K32">
        <f>IF(K4=SUP_CONTROL!$C$17,2*SUP_OPEX!$F$20,0)-IF(K4=SUP_CONTROL!$C$17+1,1*SUP_OPEX!$F$20,0)-IF(K4=SUP_CONTROL!$C$17+2,1*SUP_OPEX!$F$20,0)</f>
        <v>-10000</v>
      </c>
      <c r="L32">
        <f>IF(L4=SUP_CONTROL!$C$17,2*SUP_OPEX!$F$20,0)-IF(L4=SUP_CONTROL!$C$17+1,1*SUP_OPEX!$F$20,0)-IF(L4=SUP_CONTROL!$C$17+2,1*SUP_OPEX!$F$20,0)</f>
        <v>-10000</v>
      </c>
      <c r="M32">
        <f>IF(M4=SUP_CONTROL!$C$17,2*SUP_OPEX!$F$20,0)-IF(M4=SUP_CONTROL!$C$17+1,1*SUP_OPEX!$F$20,0)-IF(M4=SUP_CONTROL!$C$17+2,1*SUP_OPEX!$F$20,0)</f>
        <v>0</v>
      </c>
      <c r="N32">
        <f>IF(N4=SUP_CONTROL!$C$17,2*SUP_OPEX!$F$20,0)-IF(N4=SUP_CONTROL!$C$17+1,1*SUP_OPEX!$F$20,0)-IF(N4=SUP_CONTROL!$C$17+2,1*SUP_OPEX!$F$20,0)</f>
        <v>0</v>
      </c>
      <c r="O32">
        <f>IF(O4=SUP_CONTROL!$C$17,2*SUP_OPEX!$F$20,0)-IF(O4=SUP_CONTROL!$C$17+1,1*SUP_OPEX!$F$20,0)-IF(O4=SUP_CONTROL!$C$17+2,1*SUP_OPEX!$F$20,0)</f>
        <v>0</v>
      </c>
      <c r="P32">
        <f>IF(P4=SUP_CONTROL!$C$17,2*SUP_OPEX!$F$20,0)-IF(P4=SUP_CONTROL!$C$17+1,1*SUP_OPEX!$F$20,0)-IF(P4=SUP_CONTROL!$C$17+2,1*SUP_OPEX!$F$20,0)</f>
        <v>0</v>
      </c>
      <c r="Q32">
        <f>IF(Q4=SUP_CONTROL!$C$17,2*SUP_OPEX!$F$20,0)-IF(Q4=SUP_CONTROL!$C$17+1,1*SUP_OPEX!$F$20,0)-IF(Q4=SUP_CONTROL!$C$17+2,1*SUP_OPEX!$F$20,0)</f>
        <v>0</v>
      </c>
      <c r="R32">
        <f>IF(R4=SUP_CONTROL!$C$17,2*SUP_OPEX!$F$20,0)-IF(R4=SUP_CONTROL!$C$17+1,1*SUP_OPEX!$F$20,0)-IF(R4=SUP_CONTROL!$C$17+2,1*SUP_OPEX!$F$20,0)</f>
        <v>0</v>
      </c>
      <c r="S32">
        <f>IF(S4=SUP_CONTROL!$C$17,2*SUP_OPEX!$F$20,0)-IF(S4=SUP_CONTROL!$C$17+1,1*SUP_OPEX!$F$20,0)-IF(S4=SUP_CONTROL!$C$17+2,1*SUP_OPEX!$F$20,0)</f>
        <v>0</v>
      </c>
      <c r="T32">
        <f>IF(T4=SUP_CONTROL!$C$17,2*SUP_OPEX!$F$20,0)-IF(T4=SUP_CONTROL!$C$17+1,1*SUP_OPEX!$F$20,0)-IF(T4=SUP_CONTROL!$C$17+2,1*SUP_OPEX!$F$20,0)</f>
        <v>0</v>
      </c>
      <c r="U32">
        <f>IF(U4=SUP_CONTROL!$C$17,2*SUP_OPEX!$F$20,0)-IF(U4=SUP_CONTROL!$C$17+1,1*SUP_OPEX!$F$20,0)-IF(U4=SUP_CONTROL!$C$17+2,1*SUP_OPEX!$F$20,0)</f>
        <v>0</v>
      </c>
      <c r="V32">
        <f>IF(V4=SUP_CONTROL!$C$17,2*SUP_OPEX!$F$20,0)-IF(V4=SUP_CONTROL!$C$17+1,1*SUP_OPEX!$F$20,0)-IF(V4=SUP_CONTROL!$C$17+2,1*SUP_OPEX!$F$20,0)</f>
        <v>0</v>
      </c>
      <c r="W32">
        <f>IF(W4=SUP_CONTROL!$C$17,2*SUP_OPEX!$F$20,0)-IF(W4=SUP_CONTROL!$C$17+1,1*SUP_OPEX!$F$20,0)-IF(W4=SUP_CONTROL!$C$17+2,1*SUP_OPEX!$F$20,0)</f>
        <v>0</v>
      </c>
      <c r="X32">
        <f>IF(X4=SUP_CONTROL!$C$17,2*SUP_OPEX!$F$20,0)-IF(X4=SUP_CONTROL!$C$17+1,1*SUP_OPEX!$F$20,0)-IF(X4=SUP_CONTROL!$C$17+2,1*SUP_OPEX!$F$20,0)</f>
        <v>0</v>
      </c>
      <c r="Y32">
        <f>IF(Y4=SUP_CONTROL!$C$17,2*SUP_OPEX!$F$20,0)-IF(Y4=SUP_CONTROL!$C$17+1,1*SUP_OPEX!$F$20,0)-IF(Y4=SUP_CONTROL!$C$17+2,1*SUP_OPEX!$F$20,0)</f>
        <v>0</v>
      </c>
      <c r="Z32">
        <f>IF(Z4=SUP_CONTROL!$C$17,2*SUP_OPEX!$F$20,0)-IF(Z4=SUP_CONTROL!$C$17+1,1*SUP_OPEX!$F$20,0)-IF(Z4=SUP_CONTROL!$C$17+2,1*SUP_OPEX!$F$20,0)</f>
        <v>0</v>
      </c>
      <c r="AA32">
        <f>IF(AA4=SUP_CONTROL!$C$17,2*SUP_OPEX!$F$20,0)-IF(AA4=SUP_CONTROL!$C$17+1,1*SUP_OPEX!$F$20,0)-IF(AA4=SUP_CONTROL!$C$17+2,1*SUP_OPEX!$F$20,0)</f>
        <v>0</v>
      </c>
      <c r="AB32">
        <f>IF(AB4=SUP_CONTROL!$C$17,2*SUP_OPEX!$F$20,0)-IF(AB4=SUP_CONTROL!$C$17+1,1*SUP_OPEX!$F$20,0)-IF(AB4=SUP_CONTROL!$C$17+2,1*SUP_OPEX!$F$20,0)</f>
        <v>0</v>
      </c>
      <c r="AC32">
        <f>IF(AC4=SUP_CONTROL!$C$17,2*SUP_OPEX!$F$20,0)-IF(AC4=SUP_CONTROL!$C$17+1,1*SUP_OPEX!$F$20,0)-IF(AC4=SUP_CONTROL!$C$17+2,1*SUP_OPEX!$F$20,0)</f>
        <v>0</v>
      </c>
      <c r="AD32">
        <f>IF(AD4=SUP_CONTROL!$C$17,2*SUP_OPEX!$F$20,0)-IF(AD4=SUP_CONTROL!$C$17+1,1*SUP_OPEX!$F$20,0)-IF(AD4=SUP_CONTROL!$C$17+2,1*SUP_OPEX!$F$20,0)</f>
        <v>0</v>
      </c>
      <c r="AE32">
        <f>IF(AE4=SUP_CONTROL!$C$17,2*SUP_OPEX!$F$20,0)-IF(AE4=SUP_CONTROL!$C$17+1,1*SUP_OPEX!$F$20,0)-IF(AE4=SUP_CONTROL!$C$17+2,1*SUP_OPEX!$F$20,0)</f>
        <v>0</v>
      </c>
      <c r="AF32">
        <f>IF(AF4=SUP_CONTROL!$C$17,2*SUP_OPEX!$F$20,0)-IF(AF4=SUP_CONTROL!$C$17+1,1*SUP_OPEX!$F$20,0)-IF(AF4=SUP_CONTROL!$C$17+2,1*SUP_OPEX!$F$20,0)</f>
        <v>0</v>
      </c>
      <c r="AG32">
        <f>IF(AG4=SUP_CONTROL!$C$17,2*SUP_OPEX!$F$20,0)-IF(AG4=SUP_CONTROL!$C$17+1,1*SUP_OPEX!$F$20,0)-IF(AG4=SUP_CONTROL!$C$17+2,1*SUP_OPEX!$F$20,0)</f>
        <v>0</v>
      </c>
      <c r="AH32">
        <f>IF(AH4=SUP_CONTROL!$C$17,2*SUP_OPEX!$F$20,0)-IF(AH4=SUP_CONTROL!$C$17+1,1*SUP_OPEX!$F$20,0)-IF(AH4=SUP_CONTROL!$C$17+2,1*SUP_OPEX!$F$20,0)</f>
        <v>0</v>
      </c>
      <c r="AI32">
        <f>IF(AI4=SUP_CONTROL!$C$17,2*SUP_OPEX!$F$20,0)-IF(AI4=SUP_CONTROL!$C$17+1,1*SUP_OPEX!$F$20,0)-IF(AI4=SUP_CONTROL!$C$17+2,1*SUP_OPEX!$F$20,0)</f>
        <v>0</v>
      </c>
      <c r="AJ32">
        <f>IF(AJ4=SUP_CONTROL!$C$17,2*SUP_OPEX!$F$20,0)-IF(AJ4=SUP_CONTROL!$C$17+1,1*SUP_OPEX!$F$20,0)-IF(AJ4=SUP_CONTROL!$C$17+2,1*SUP_OPEX!$F$20,0)</f>
        <v>0</v>
      </c>
      <c r="AK32">
        <f>IF(AK4=SUP_CONTROL!$C$17,2*SUP_OPEX!$F$20,0)-IF(AK4=SUP_CONTROL!$C$17+1,1*SUP_OPEX!$F$20,0)-IF(AK4=SUP_CONTROL!$C$17+2,1*SUP_OPEX!$F$20,0)</f>
        <v>0</v>
      </c>
      <c r="AL32">
        <f>IF(AL4=SUP_CONTROL!$C$17,2*SUP_OPEX!$F$20,0)-IF(AL4=SUP_CONTROL!$C$17+1,1*SUP_OPEX!$F$20,0)-IF(AL4=SUP_CONTROL!$C$17+2,1*SUP_OPEX!$F$20,0)</f>
        <v>0</v>
      </c>
      <c r="AM32">
        <f>IF(AM4=SUP_CONTROL!$C$17,2*SUP_OPEX!$F$20,0)-IF(AM4=SUP_CONTROL!$C$17+1,1*SUP_OPEX!$F$20,0)-IF(AM4=SUP_CONTROL!$C$17+2,1*SUP_OPEX!$F$20,0)</f>
        <v>0</v>
      </c>
      <c r="AN32">
        <f>IF(AN4=SUP_CONTROL!$C$17,2*SUP_OPEX!$F$20,0)-IF(AN4=SUP_CONTROL!$C$17+1,1*SUP_OPEX!$F$20,0)-IF(AN4=SUP_CONTROL!$C$17+2,1*SUP_OPEX!$F$20,0)</f>
        <v>0</v>
      </c>
      <c r="AO32">
        <f>IF(AO4=SUP_CONTROL!$C$17,2*SUP_OPEX!$F$20,0)-IF(AO4=SUP_CONTROL!$C$17+1,1*SUP_OPEX!$F$20,0)-IF(AO4=SUP_CONTROL!$C$17+2,1*SUP_OPEX!$F$20,0)</f>
        <v>0</v>
      </c>
      <c r="AP32">
        <f>IF(AP4=SUP_CONTROL!$C$17,2*SUP_OPEX!$F$20,0)-IF(AP4=SUP_CONTROL!$C$17+1,1*SUP_OPEX!$F$20,0)-IF(AP4=SUP_CONTROL!$C$17+2,1*SUP_OPEX!$F$20,0)</f>
        <v>0</v>
      </c>
      <c r="AQ32">
        <f>IF(AQ4=SUP_CONTROL!$C$17,2*SUP_OPEX!$F$20,0)-IF(AQ4=SUP_CONTROL!$C$17+1,1*SUP_OPEX!$F$20,0)-IF(AQ4=SUP_CONTROL!$C$17+2,1*SUP_OPEX!$F$20,0)</f>
        <v>0</v>
      </c>
      <c r="AR32">
        <f>IF(AR4=SUP_CONTROL!$C$17,2*SUP_OPEX!$F$20,0)-IF(AR4=SUP_CONTROL!$C$17+1,1*SUP_OPEX!$F$20,0)-IF(AR4=SUP_CONTROL!$C$17+2,1*SUP_OPEX!$F$20,0)</f>
        <v>0</v>
      </c>
      <c r="AS32">
        <f>IF(AS4=SUP_CONTROL!$C$17,2*SUP_OPEX!$F$20,0)-IF(AS4=SUP_CONTROL!$C$17+1,1*SUP_OPEX!$F$20,0)-IF(AS4=SUP_CONTROL!$C$17+2,1*SUP_OPEX!$F$20,0)</f>
        <v>0</v>
      </c>
      <c r="AT32">
        <f>IF(AT4=SUP_CONTROL!$C$17,2*SUP_OPEX!$F$20,0)-IF(AT4=SUP_CONTROL!$C$17+1,1*SUP_OPEX!$F$20,0)-IF(AT4=SUP_CONTROL!$C$17+2,1*SUP_OPEX!$F$20,0)</f>
        <v>0</v>
      </c>
      <c r="AU32">
        <f>IF(AU4=SUP_CONTROL!$C$17,2*SUP_OPEX!$F$20,0)-IF(AU4=SUP_CONTROL!$C$17+1,1*SUP_OPEX!$F$20,0)-IF(AU4=SUP_CONTROL!$C$17+2,1*SUP_OPEX!$F$20,0)</f>
        <v>0</v>
      </c>
      <c r="AV32">
        <f>IF(AV4=SUP_CONTROL!$C$17,2*SUP_OPEX!$F$20,0)-IF(AV4=SUP_CONTROL!$C$17+1,1*SUP_OPEX!$F$20,0)-IF(AV4=SUP_CONTROL!$C$17+2,1*SUP_OPEX!$F$20,0)</f>
        <v>0</v>
      </c>
      <c r="AW32">
        <f>IF(AW4=SUP_CONTROL!$C$17,2*SUP_OPEX!$F$20,0)-IF(AW4=SUP_CONTROL!$C$17+1,1*SUP_OPEX!$F$20,0)-IF(AW4=SUP_CONTROL!$C$17+2,1*SUP_OPEX!$F$20,0)</f>
        <v>0</v>
      </c>
      <c r="AX32">
        <f>IF(AX4=SUP_CONTROL!$C$17,2*SUP_OPEX!$F$20,0)-IF(AX4=SUP_CONTROL!$C$17+1,1*SUP_OPEX!$F$20,0)-IF(AX4=SUP_CONTROL!$C$17+2,1*SUP_OPEX!$F$20,0)</f>
        <v>0</v>
      </c>
      <c r="AY32">
        <f>IF(AY4=SUP_CONTROL!$C$17,2*SUP_OPEX!$F$20,0)-IF(AY4=SUP_CONTROL!$C$17+1,1*SUP_OPEX!$F$20,0)-IF(AY4=SUP_CONTROL!$C$17+2,1*SUP_OPEX!$F$20,0)</f>
        <v>0</v>
      </c>
      <c r="AZ32">
        <f>IF(AZ4=SUP_CONTROL!$C$17,2*SUP_OPEX!$F$20,0)-IF(AZ4=SUP_CONTROL!$C$17+1,1*SUP_OPEX!$F$20,0)-IF(AZ4=SUP_CONTROL!$C$17+2,1*SUP_OPEX!$F$20,0)</f>
        <v>0</v>
      </c>
      <c r="BA32">
        <f>IF(BA4=SUP_CONTROL!$C$17,2*SUP_OPEX!$F$20,0)-IF(BA4=SUP_CONTROL!$C$17+1,1*SUP_OPEX!$F$20,0)-IF(BA4=SUP_CONTROL!$C$17+2,1*SUP_OPEX!$F$20,0)</f>
        <v>0</v>
      </c>
      <c r="BB32">
        <f>IF(BB4=SUP_CONTROL!$C$17,2*SUP_OPEX!$F$20,0)-IF(BB4=SUP_CONTROL!$C$17+1,1*SUP_OPEX!$F$20,0)-IF(BB4=SUP_CONTROL!$C$17+2,1*SUP_OPEX!$F$20,0)</f>
        <v>0</v>
      </c>
      <c r="BC32">
        <f>IF(BC4=SUP_CONTROL!$C$17,2*SUP_OPEX!$F$20,0)-IF(BC4=SUP_CONTROL!$C$17+1,1*SUP_OPEX!$F$20,0)-IF(BC4=SUP_CONTROL!$C$17+2,1*SUP_OPEX!$F$20,0)</f>
        <v>0</v>
      </c>
      <c r="BD32">
        <f>IF(BD4=SUP_CONTROL!$C$17,2*SUP_OPEX!$F$20,0)-IF(BD4=SUP_CONTROL!$C$17+1,1*SUP_OPEX!$F$20,0)-IF(BD4=SUP_CONTROL!$C$17+2,1*SUP_OPEX!$F$20,0)</f>
        <v>0</v>
      </c>
      <c r="BE32">
        <f>IF(BE4=SUP_CONTROL!$C$17,2*SUP_OPEX!$F$20,0)-IF(BE4=SUP_CONTROL!$C$17+1,1*SUP_OPEX!$F$20,0)-IF(BE4=SUP_CONTROL!$C$17+2,1*SUP_OPEX!$F$20,0)</f>
        <v>0</v>
      </c>
      <c r="BF32">
        <f>IF(BF4=SUP_CONTROL!$C$17,2*SUP_OPEX!$F$20,0)-IF(BF4=SUP_CONTROL!$C$17+1,1*SUP_OPEX!$F$20,0)-IF(BF4=SUP_CONTROL!$C$17+2,1*SUP_OPEX!$F$20,0)</f>
        <v>0</v>
      </c>
      <c r="BG32">
        <f>IF(BG4=SUP_CONTROL!$C$17,2*SUP_OPEX!$F$20,0)-IF(BG4=SUP_CONTROL!$C$17+1,1*SUP_OPEX!$F$20,0)-IF(BG4=SUP_CONTROL!$C$17+2,1*SUP_OPEX!$F$20,0)</f>
        <v>0</v>
      </c>
      <c r="BH32">
        <f>IF(BH4=SUP_CONTROL!$C$17,2*SUP_OPEX!$F$20,0)-IF(BH4=SUP_CONTROL!$C$17+1,1*SUP_OPEX!$F$20,0)-IF(BH4=SUP_CONTROL!$C$17+2,1*SUP_OPEX!$F$20,0)</f>
        <v>0</v>
      </c>
      <c r="BI32">
        <f>IF(BI4=SUP_CONTROL!$C$17,2*SUP_OPEX!$F$20,0)-IF(BI4=SUP_CONTROL!$C$17+1,1*SUP_OPEX!$F$20,0)-IF(BI4=SUP_CONTROL!$C$17+2,1*SUP_OPEX!$F$20,0)</f>
        <v>0</v>
      </c>
      <c r="BJ32">
        <f>IF(BJ4=SUP_CONTROL!$C$17,2*SUP_OPEX!$F$20,0)-IF(BJ4=SUP_CONTROL!$C$17+1,1*SUP_OPEX!$F$20,0)-IF(BJ4=SUP_CONTROL!$C$17+2,1*SUP_OPEX!$F$20,0)</f>
        <v>0</v>
      </c>
      <c r="BK32">
        <f>IF(BK4=SUP_CONTROL!$C$17,2*SUP_OPEX!$F$20,0)-IF(BK4=SUP_CONTROL!$C$17+1,1*SUP_OPEX!$F$20,0)-IF(BK4=SUP_CONTROL!$C$17+2,1*SUP_OPEX!$F$20,0)</f>
        <v>0</v>
      </c>
      <c r="BL32">
        <f>IF(BL4=SUP_CONTROL!$C$17,2*SUP_OPEX!$F$20,0)-IF(BL4=SUP_CONTROL!$C$17+1,1*SUP_OPEX!$F$20,0)-IF(BL4=SUP_CONTROL!$C$17+2,1*SUP_OPEX!$F$20,0)</f>
        <v>0</v>
      </c>
      <c r="BM32">
        <f>IF(BM4=SUP_CONTROL!$C$17,2*SUP_OPEX!$F$20,0)-IF(BM4=SUP_CONTROL!$C$17+1,1*SUP_OPEX!$F$20,0)-IF(BM4=SUP_CONTROL!$C$17+2,1*SUP_OPEX!$F$20,0)</f>
        <v>0</v>
      </c>
      <c r="BN32">
        <f>IF(BN4=SUP_CONTROL!$C$17,2*SUP_OPEX!$F$20,0)-IF(BN4=SUP_CONTROL!$C$17+1,1*SUP_OPEX!$F$20,0)-IF(BN4=SUP_CONTROL!$C$17+2,1*SUP_OPEX!$F$20,0)</f>
        <v>0</v>
      </c>
      <c r="BO32">
        <f>IF(BO4=SUP_CONTROL!$C$17,2*SUP_OPEX!$F$20,0)-IF(BO4=SUP_CONTROL!$C$17+1,1*SUP_OPEX!$F$20,0)-IF(BO4=SUP_CONTROL!$C$17+2,1*SUP_OPEX!$F$20,0)</f>
        <v>0</v>
      </c>
      <c r="BP32">
        <f>IF(BP4=SUP_CONTROL!$C$17,2*SUP_OPEX!$F$20,0)-IF(BP4=SUP_CONTROL!$C$17+1,1*SUP_OPEX!$F$20,0)-IF(BP4=SUP_CONTROL!$C$17+2,1*SUP_OPEX!$F$20,0)</f>
        <v>0</v>
      </c>
      <c r="BQ32">
        <f>IF(BQ4=SUP_CONTROL!$C$17,2*SUP_OPEX!$F$20,0)-IF(BQ4=SUP_CONTROL!$C$17+1,1*SUP_OPEX!$F$20,0)-IF(BQ4=SUP_CONTROL!$C$17+2,1*SUP_OPEX!$F$20,0)</f>
        <v>0</v>
      </c>
      <c r="BR32">
        <f>IF(BR4=SUP_CONTROL!$C$17,2*SUP_OPEX!$F$20,0)-IF(BR4=SUP_CONTROL!$C$17+1,1*SUP_OPEX!$F$20,0)-IF(BR4=SUP_CONTROL!$C$17+2,1*SUP_OPEX!$F$20,0)</f>
        <v>0</v>
      </c>
      <c r="BS32">
        <f>IF(BS4=SUP_CONTROL!$C$17,2*SUP_OPEX!$F$20,0)-IF(BS4=SUP_CONTROL!$C$17+1,1*SUP_OPEX!$F$20,0)-IF(BS4=SUP_CONTROL!$C$17+2,1*SUP_OPEX!$F$20,0)</f>
        <v>0</v>
      </c>
      <c r="BT32">
        <f>IF(BT4=SUP_CONTROL!$C$17,2*SUP_OPEX!$F$20,0)-IF(BT4=SUP_CONTROL!$C$17+1,1*SUP_OPEX!$F$20,0)-IF(BT4=SUP_CONTROL!$C$17+2,1*SUP_OPEX!$F$20,0)</f>
        <v>0</v>
      </c>
      <c r="BU32">
        <f>IF(BU4=SUP_CONTROL!$C$17,2*SUP_OPEX!$F$20,0)-IF(BU4=SUP_CONTROL!$C$17+1,1*SUP_OPEX!$F$20,0)-IF(BU4=SUP_CONTROL!$C$17+2,1*SUP_OPEX!$F$20,0)</f>
        <v>0</v>
      </c>
      <c r="BV32">
        <f>IF(BV4=SUP_CONTROL!$C$17,2*SUP_OPEX!$F$20,0)-IF(BV4=SUP_CONTROL!$C$17+1,1*SUP_OPEX!$F$20,0)-IF(BV4=SUP_CONTROL!$C$17+2,1*SUP_OPEX!$F$20,0)</f>
        <v>0</v>
      </c>
      <c r="BW32">
        <f>IF(BW4=SUP_CONTROL!$C$17,2*SUP_OPEX!$F$20,0)-IF(BW4=SUP_CONTROL!$C$17+1,1*SUP_OPEX!$F$20,0)-IF(BW4=SUP_CONTROL!$C$17+2,1*SUP_OPEX!$F$20,0)</f>
        <v>0</v>
      </c>
      <c r="BX32">
        <f>IF(BX4=SUP_CONTROL!$C$17,2*SUP_OPEX!$F$20,0)-IF(BX4=SUP_CONTROL!$C$17+1,1*SUP_OPEX!$F$20,0)-IF(BX4=SUP_CONTROL!$C$17+2,1*SUP_OPEX!$F$20,0)</f>
        <v>0</v>
      </c>
      <c r="BY32">
        <f>IF(BY4=SUP_CONTROL!$C$17,2*SUP_OPEX!$F$20,0)-IF(BY4=SUP_CONTROL!$C$17+1,1*SUP_OPEX!$F$20,0)-IF(BY4=SUP_CONTROL!$C$17+2,1*SUP_OPEX!$F$20,0)</f>
        <v>0</v>
      </c>
      <c r="BZ32">
        <f>IF(BZ4=SUP_CONTROL!$C$17,2*SUP_OPEX!$F$20,0)-IF(BZ4=SUP_CONTROL!$C$17+1,1*SUP_OPEX!$F$20,0)-IF(BZ4=SUP_CONTROL!$C$17+2,1*SUP_OPEX!$F$20,0)</f>
        <v>0</v>
      </c>
      <c r="CA32">
        <f>IF(CA4=SUP_CONTROL!$C$17,2*SUP_OPEX!$F$20,0)-IF(CA4=SUP_CONTROL!$C$17+1,1*SUP_OPEX!$F$20,0)-IF(CA4=SUP_CONTROL!$C$17+2,1*SUP_OPEX!$F$20,0)</f>
        <v>0</v>
      </c>
      <c r="CB32">
        <f>IF(CB4=SUP_CONTROL!$C$17,2*SUP_OPEX!$F$20,0)-IF(CB4=SUP_CONTROL!$C$17+1,1*SUP_OPEX!$F$20,0)-IF(CB4=SUP_CONTROL!$C$17+2,1*SUP_OPEX!$F$20,0)</f>
        <v>0</v>
      </c>
      <c r="CC32">
        <f>IF(CC4=SUP_CONTROL!$C$17,2*SUP_OPEX!$F$20,0)-IF(CC4=SUP_CONTROL!$C$17+1,1*SUP_OPEX!$F$20,0)-IF(CC4=SUP_CONTROL!$C$17+2,1*SUP_OPEX!$F$20,0)</f>
        <v>0</v>
      </c>
      <c r="CD32">
        <f>IF(CD4=SUP_CONTROL!$C$17,2*SUP_OPEX!$F$20,0)-IF(CD4=SUP_CONTROL!$C$17+1,1*SUP_OPEX!$F$20,0)-IF(CD4=SUP_CONTROL!$C$17+2,1*SUP_OPEX!$F$20,0)</f>
        <v>0</v>
      </c>
      <c r="CE32">
        <f>IF(CE4=SUP_CONTROL!$C$17,2*SUP_OPEX!$F$20,0)-IF(CE4=SUP_CONTROL!$C$17+1,1*SUP_OPEX!$F$20,0)-IF(CE4=SUP_CONTROL!$C$17+2,1*SUP_OPEX!$F$20,0)</f>
        <v>0</v>
      </c>
      <c r="CF32">
        <f>IF(CF4=SUP_CONTROL!$C$17,2*SUP_OPEX!$F$20,0)-IF(CF4=SUP_CONTROL!$C$17+1,1*SUP_OPEX!$F$20,0)-IF(CF4=SUP_CONTROL!$C$17+2,1*SUP_OPEX!$F$20,0)</f>
        <v>0</v>
      </c>
      <c r="CG32">
        <f>IF(CG4=SUP_CONTROL!$C$17,2*SUP_OPEX!$F$20,0)-IF(CG4=SUP_CONTROL!$C$17+1,1*SUP_OPEX!$F$20,0)-IF(CG4=SUP_CONTROL!$C$17+2,1*SUP_OPEX!$F$20,0)</f>
        <v>0</v>
      </c>
      <c r="CH32">
        <f>IF(CH4=SUP_CONTROL!$C$17,2*SUP_OPEX!$F$20,0)-IF(CH4=SUP_CONTROL!$C$17+1,1*SUP_OPEX!$F$20,0)-IF(CH4=SUP_CONTROL!$C$17+2,1*SUP_OPEX!$F$20,0)</f>
        <v>0</v>
      </c>
      <c r="CI32">
        <f>IF(CI4=SUP_CONTROL!$C$17,2*SUP_OPEX!$F$20,0)-IF(CI4=SUP_CONTROL!$C$17+1,1*SUP_OPEX!$F$20,0)-IF(CI4=SUP_CONTROL!$C$17+2,1*SUP_OPEX!$F$20,0)</f>
        <v>0</v>
      </c>
      <c r="CJ32">
        <f>IF(CJ4=SUP_CONTROL!$C$17,2*SUP_OPEX!$F$20,0)-IF(CJ4=SUP_CONTROL!$C$17+1,1*SUP_OPEX!$F$20,0)-IF(CJ4=SUP_CONTROL!$C$17+2,1*SUP_OPEX!$F$20,0)</f>
        <v>0</v>
      </c>
      <c r="CK32">
        <f>IF(CK4=SUP_CONTROL!$C$17,2*SUP_OPEX!$F$20,0)-IF(CK4=SUP_CONTROL!$C$17+1,1*SUP_OPEX!$F$20,0)-IF(CK4=SUP_CONTROL!$C$17+2,1*SUP_OPEX!$F$20,0)</f>
        <v>0</v>
      </c>
      <c r="CL32">
        <f>IF(CL4=SUP_CONTROL!$C$17,2*SUP_OPEX!$F$20,0)-IF(CL4=SUP_CONTROL!$C$17+1,1*SUP_OPEX!$F$20,0)-IF(CL4=SUP_CONTROL!$C$17+2,1*SUP_OPEX!$F$20,0)</f>
        <v>0</v>
      </c>
      <c r="CM32">
        <f>IF(CM4=SUP_CONTROL!$C$17,2*SUP_OPEX!$F$20,0)-IF(CM4=SUP_CONTROL!$C$17+1,1*SUP_OPEX!$F$20,0)-IF(CM4=SUP_CONTROL!$C$17+2,1*SUP_OPEX!$F$20,0)</f>
        <v>0</v>
      </c>
      <c r="CN32">
        <f>IF(CN4=SUP_CONTROL!$C$17,2*SUP_OPEX!$F$20,0)-IF(CN4=SUP_CONTROL!$C$17+1,1*SUP_OPEX!$F$20,0)-IF(CN4=SUP_CONTROL!$C$17+2,1*SUP_OPEX!$F$20,0)</f>
        <v>0</v>
      </c>
      <c r="CO32">
        <f>IF(CO4=SUP_CONTROL!$C$17,2*SUP_OPEX!$F$20,0)-IF(CO4=SUP_CONTROL!$C$17+1,1*SUP_OPEX!$F$20,0)-IF(CO4=SUP_CONTROL!$C$17+2,1*SUP_OPEX!$F$20,0)</f>
        <v>0</v>
      </c>
      <c r="CP32">
        <f>IF(CP4=SUP_CONTROL!$C$17,2*SUP_OPEX!$F$20,0)-IF(CP4=SUP_CONTROL!$C$17+1,1*SUP_OPEX!$F$20,0)-IF(CP4=SUP_CONTROL!$C$17+2,1*SUP_OPEX!$F$20,0)</f>
        <v>0</v>
      </c>
      <c r="CQ32">
        <f>IF(CQ4=SUP_CONTROL!$C$17,2*SUP_OPEX!$F$20,0)-IF(CQ4=SUP_CONTROL!$C$17+1,1*SUP_OPEX!$F$20,0)-IF(CQ4=SUP_CONTROL!$C$17+2,1*SUP_OPEX!$F$20,0)</f>
        <v>0</v>
      </c>
      <c r="CR32">
        <f>IF(CR4=SUP_CONTROL!$C$17,2*SUP_OPEX!$F$20,0)-IF(CR4=SUP_CONTROL!$C$17+1,1*SUP_OPEX!$F$20,0)-IF(CR4=SUP_CONTROL!$C$17+2,1*SUP_OPEX!$F$20,0)</f>
        <v>0</v>
      </c>
      <c r="CS32">
        <f>IF(CS4=SUP_CONTROL!$C$17,2*SUP_OPEX!$F$20,0)-IF(CS4=SUP_CONTROL!$C$17+1,1*SUP_OPEX!$F$20,0)-IF(CS4=SUP_CONTROL!$C$17+2,1*SUP_OPEX!$F$20,0)</f>
        <v>0</v>
      </c>
      <c r="CT32">
        <f>IF(CT4=SUP_CONTROL!$C$17,2*SUP_OPEX!$F$20,0)-IF(CT4=SUP_CONTROL!$C$17+1,1*SUP_OPEX!$F$20,0)-IF(CT4=SUP_CONTROL!$C$17+2,1*SUP_OPEX!$F$20,0)</f>
        <v>0</v>
      </c>
      <c r="CU32">
        <f>IF(CU4=SUP_CONTROL!$C$17,2*SUP_OPEX!$F$20,0)-IF(CU4=SUP_CONTROL!$C$17+1,1*SUP_OPEX!$F$20,0)-IF(CU4=SUP_CONTROL!$C$17+2,1*SUP_OPEX!$F$20,0)</f>
        <v>0</v>
      </c>
      <c r="CV32">
        <f>IF(CV4=SUP_CONTROL!$C$17,2*SUP_OPEX!$F$20,0)-IF(CV4=SUP_CONTROL!$C$17+1,1*SUP_OPEX!$F$20,0)-IF(CV4=SUP_CONTROL!$C$17+2,1*SUP_OPEX!$F$20,0)</f>
        <v>0</v>
      </c>
      <c r="CW32">
        <f>IF(CW4=SUP_CONTROL!$C$17,2*SUP_OPEX!$F$20,0)-IF(CW4=SUP_CONTROL!$C$17+1,1*SUP_OPEX!$F$20,0)-IF(CW4=SUP_CONTROL!$C$17+2,1*SUP_OPEX!$F$20,0)</f>
        <v>0</v>
      </c>
      <c r="CX32">
        <f>IF(CX4=SUP_CONTROL!$C$17,2*SUP_OPEX!$F$20,0)-IF(CX4=SUP_CONTROL!$C$17+1,1*SUP_OPEX!$F$20,0)-IF(CX4=SUP_CONTROL!$C$17+2,1*SUP_OPEX!$F$20,0)</f>
        <v>0</v>
      </c>
      <c r="CY32">
        <f>IF(CY4=SUP_CONTROL!$C$17,2*SUP_OPEX!$F$20,0)-IF(CY4=SUP_CONTROL!$C$17+1,1*SUP_OPEX!$F$20,0)-IF(CY4=SUP_CONTROL!$C$17+2,1*SUP_OPEX!$F$20,0)</f>
        <v>0</v>
      </c>
      <c r="CZ32">
        <f>IF(CZ4=SUP_CONTROL!$C$17,2*SUP_OPEX!$F$20,0)-IF(CZ4=SUP_CONTROL!$C$17+1,1*SUP_OPEX!$F$20,0)-IF(CZ4=SUP_CONTROL!$C$17+2,1*SUP_OPEX!$F$20,0)</f>
        <v>0</v>
      </c>
      <c r="DA32">
        <f>IF(DA4=SUP_CONTROL!$C$17,2*SUP_OPEX!$F$20,0)-IF(DA4=SUP_CONTROL!$C$17+1,1*SUP_OPEX!$F$20,0)-IF(DA4=SUP_CONTROL!$C$17+2,1*SUP_OPEX!$F$20,0)</f>
        <v>0</v>
      </c>
      <c r="DB32">
        <f>IF(DB4=SUP_CONTROL!$C$17,2*SUP_OPEX!$F$20,0)-IF(DB4=SUP_CONTROL!$C$17+1,1*SUP_OPEX!$F$20,0)-IF(DB4=SUP_CONTROL!$C$17+2,1*SUP_OPEX!$F$20,0)</f>
        <v>0</v>
      </c>
      <c r="DC32">
        <f>IF(DC4=SUP_CONTROL!$C$17,2*SUP_OPEX!$F$20,0)-IF(DC4=SUP_CONTROL!$C$17+1,1*SUP_OPEX!$F$20,0)-IF(DC4=SUP_CONTROL!$C$17+2,1*SUP_OPEX!$F$20,0)</f>
        <v>0</v>
      </c>
      <c r="DD32">
        <f>IF(DD4=SUP_CONTROL!$C$17,2*SUP_OPEX!$F$20,0)-IF(DD4=SUP_CONTROL!$C$17+1,1*SUP_OPEX!$F$20,0)-IF(DD4=SUP_CONTROL!$C$17+2,1*SUP_OPEX!$F$20,0)</f>
        <v>0</v>
      </c>
      <c r="DE32">
        <f>IF(DE4=SUP_CONTROL!$C$17,2*SUP_OPEX!$F$20,0)-IF(DE4=SUP_CONTROL!$C$17+1,1*SUP_OPEX!$F$20,0)-IF(DE4=SUP_CONTROL!$C$17+2,1*SUP_OPEX!$F$20,0)</f>
        <v>0</v>
      </c>
      <c r="DF32">
        <f>IF(DF4=SUP_CONTROL!$C$17,2*SUP_OPEX!$F$20,0)-IF(DF4=SUP_CONTROL!$C$17+1,1*SUP_OPEX!$F$20,0)-IF(DF4=SUP_CONTROL!$C$17+2,1*SUP_OPEX!$F$20,0)</f>
        <v>0</v>
      </c>
      <c r="DG32">
        <f>IF(DG4=SUP_CONTROL!$C$17,2*SUP_OPEX!$F$20,0)-IF(DG4=SUP_CONTROL!$C$17+1,1*SUP_OPEX!$F$20,0)-IF(DG4=SUP_CONTROL!$C$17+2,1*SUP_OPEX!$F$20,0)</f>
        <v>0</v>
      </c>
      <c r="DH32">
        <f>IF(DH4=SUP_CONTROL!$C$17,2*SUP_OPEX!$F$20,0)-IF(DH4=SUP_CONTROL!$C$17+1,1*SUP_OPEX!$F$20,0)-IF(DH4=SUP_CONTROL!$C$17+2,1*SUP_OPEX!$F$20,0)</f>
        <v>0</v>
      </c>
      <c r="DI32">
        <f>IF(DI4=SUP_CONTROL!$C$17,2*SUP_OPEX!$F$20,0)-IF(DI4=SUP_CONTROL!$C$17+1,1*SUP_OPEX!$F$20,0)-IF(DI4=SUP_CONTROL!$C$17+2,1*SUP_OPEX!$F$20,0)</f>
        <v>0</v>
      </c>
      <c r="DJ32">
        <f>IF(DJ4=SUP_CONTROL!$C$17,2*SUP_OPEX!$F$20,0)-IF(DJ4=SUP_CONTROL!$C$17+1,1*SUP_OPEX!$F$20,0)-IF(DJ4=SUP_CONTROL!$C$17+2,1*SUP_OPEX!$F$20,0)</f>
        <v>0</v>
      </c>
      <c r="DK32">
        <f>IF(DK4=SUP_CONTROL!$C$17,2*SUP_OPEX!$F$20,0)-IF(DK4=SUP_CONTROL!$C$17+1,1*SUP_OPEX!$F$20,0)-IF(DK4=SUP_CONTROL!$C$17+2,1*SUP_OPEX!$F$20,0)</f>
        <v>0</v>
      </c>
      <c r="DL32">
        <f>IF(DL4=SUP_CONTROL!$C$17,2*SUP_OPEX!$F$20,0)-IF(DL4=SUP_CONTROL!$C$17+1,1*SUP_OPEX!$F$20,0)-IF(DL4=SUP_CONTROL!$C$17+2,1*SUP_OPEX!$F$20,0)</f>
        <v>0</v>
      </c>
      <c r="DM32">
        <f>IF(DM4=SUP_CONTROL!$C$17,2*SUP_OPEX!$F$20,0)-IF(DM4=SUP_CONTROL!$C$17+1,1*SUP_OPEX!$F$20,0)-IF(DM4=SUP_CONTROL!$C$17+2,1*SUP_OPEX!$F$20,0)</f>
        <v>0</v>
      </c>
      <c r="DN32">
        <f>IF(DN4=SUP_CONTROL!$C$17,2*SUP_OPEX!$F$20,0)-IF(DN4=SUP_CONTROL!$C$17+1,1*SUP_OPEX!$F$20,0)-IF(DN4=SUP_CONTROL!$C$17+2,1*SUP_OPEX!$F$20,0)</f>
        <v>0</v>
      </c>
      <c r="DO32">
        <f>IF(DO4=SUP_CONTROL!$C$17,2*SUP_OPEX!$F$20,0)-IF(DO4=SUP_CONTROL!$C$17+1,1*SUP_OPEX!$F$20,0)-IF(DO4=SUP_CONTROL!$C$17+2,1*SUP_OPEX!$F$20,0)</f>
        <v>0</v>
      </c>
      <c r="DP32">
        <f>IF(DP4=SUP_CONTROL!$C$17,2*SUP_OPEX!$F$20,0)-IF(DP4=SUP_CONTROL!$C$17+1,1*SUP_OPEX!$F$20,0)-IF(DP4=SUP_CONTROL!$C$17+2,1*SUP_OPEX!$F$20,0)</f>
        <v>0</v>
      </c>
      <c r="DQ32">
        <f>IF(DQ4=SUP_CONTROL!$C$17,2*SUP_OPEX!$F$20,0)-IF(DQ4=SUP_CONTROL!$C$17+1,1*SUP_OPEX!$F$20,0)-IF(DQ4=SUP_CONTROL!$C$17+2,1*SUP_OPEX!$F$20,0)</f>
        <v>0</v>
      </c>
      <c r="DR32">
        <f>IF(DR4=SUP_CONTROL!$C$17,2*SUP_OPEX!$F$20,0)-IF(DR4=SUP_CONTROL!$C$17+1,1*SUP_OPEX!$F$20,0)-IF(DR4=SUP_CONTROL!$C$17+2,1*SUP_OPEX!$F$20,0)</f>
        <v>0</v>
      </c>
      <c r="DS32">
        <f>IF(DS4=SUP_CONTROL!$C$17,2*SUP_OPEX!$F$20,0)-IF(DS4=SUP_CONTROL!$C$17+1,1*SUP_OPEX!$F$20,0)-IF(DS4=SUP_CONTROL!$C$17+2,1*SUP_OPEX!$F$20,0)</f>
        <v>0</v>
      </c>
    </row>
    <row r="33" spans="2:3" ht="15" customHeight="1" x14ac:dyDescent="0.2">
      <c r="B33" s="20" t="s">
        <v>952</v>
      </c>
      <c r="C33" s="72">
        <f>SUP_CAPEX_FLAGSHIP!$H$55+SUP_CONTROL!$C$19*SUP_OPEX!$F$23</f>
        <v>504273.42074999999</v>
      </c>
    </row>
    <row r="34" spans="2:3" ht="15" customHeight="1" x14ac:dyDescent="0.2">
      <c r="B34" s="20" t="s">
        <v>920</v>
      </c>
      <c r="C34" s="72">
        <f>NPV(SUP_CONTROL!$C$32,D27:AM27)</f>
        <v>-334466.9646899022</v>
      </c>
    </row>
    <row r="35" spans="2:3" ht="15" customHeight="1" x14ac:dyDescent="0.2">
      <c r="B35" s="20" t="s">
        <v>921</v>
      </c>
      <c r="C35" s="76">
        <f>IFERROR((1+IRR(D27:AM27,0.01))^12-1,"n/a")</f>
        <v>-0.42553456260970823</v>
      </c>
    </row>
    <row r="36" spans="2:3" ht="15" customHeight="1" x14ac:dyDescent="0.2">
      <c r="B36" s="20" t="s">
        <v>953</v>
      </c>
      <c r="C36" s="83">
        <f>IF(COUNTIF(D28:DS28,"&lt;0")&gt;=120,"no recupera",COUNTIF(D28:DS28,"&lt;0")+1)</f>
        <v>71</v>
      </c>
    </row>
    <row r="37" spans="2:3" ht="15" customHeight="1" x14ac:dyDescent="0.2">
      <c r="B37" s="20" t="s">
        <v>954</v>
      </c>
      <c r="C37" s="83">
        <f>IF(COUNTIF(D30:DS30,"&lt;0")&gt;=120,"no recupera",COUNTIF(D30:DS30,"&lt;0")+1)</f>
        <v>118</v>
      </c>
    </row>
    <row r="38" spans="2:3" ht="15" customHeight="1" x14ac:dyDescent="0.2">
      <c r="B38" s="20" t="s">
        <v>955</v>
      </c>
      <c r="C38" s="72">
        <f>NPV(SUP_CONTROL!$C$32,D27:DS27)</f>
        <v>-154312.24827616272</v>
      </c>
    </row>
    <row r="39" spans="2:3" ht="15" customHeight="1" x14ac:dyDescent="0.2">
      <c r="B39" s="20" t="s">
        <v>956</v>
      </c>
      <c r="C39" s="76">
        <f>IFERROR((1+IRR(D27:DS27,0.01))^12-1,"n/a")</f>
        <v>0.13019015347147977</v>
      </c>
    </row>
    <row r="40" spans="2:3" ht="15" customHeight="1" x14ac:dyDescent="0.2">
      <c r="B40" s="20" t="s">
        <v>957</v>
      </c>
      <c r="C40" s="83">
        <f>AVERAGE(INDEX(D18:DS18,1,MIN(120-11,SUP_CONTROL!$C$17+12)):INDEX(D18:DS18,1,MIN(120,SUP_CONTROL!$C$17+23)))</f>
        <v>9777.8092397332202</v>
      </c>
    </row>
    <row r="42" spans="2:3" ht="15" customHeight="1" x14ac:dyDescent="0.2">
      <c r="B42" s="23" t="s">
        <v>958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7030A0"/>
  </sheetPr>
  <dimension ref="A1:K69"/>
  <sheetViews>
    <sheetView topLeftCell="A19" zoomScaleNormal="100" workbookViewId="0">
      <selection activeCell="M35" sqref="M35"/>
    </sheetView>
  </sheetViews>
  <sheetFormatPr baseColWidth="10" defaultColWidth="8.6640625" defaultRowHeight="15" x14ac:dyDescent="0.2"/>
  <cols>
    <col min="1" max="1" width="4" customWidth="1"/>
    <col min="2" max="2" width="12" customWidth="1"/>
    <col min="3" max="3" width="13" customWidth="1"/>
    <col min="4" max="5" width="14" customWidth="1"/>
    <col min="6" max="6" width="16" customWidth="1"/>
    <col min="7" max="7" width="14" customWidth="1"/>
    <col min="8" max="11" width="10" customWidth="1"/>
  </cols>
  <sheetData>
    <row r="1" spans="1:11" ht="15" customHeight="1" x14ac:dyDescent="0.2">
      <c r="A1" s="24" t="s">
        <v>959</v>
      </c>
      <c r="B1" s="14"/>
      <c r="C1" s="14"/>
      <c r="D1" s="14"/>
      <c r="E1" s="14"/>
      <c r="F1" s="14"/>
      <c r="G1" s="14"/>
      <c r="H1" s="14"/>
      <c r="I1" s="14"/>
    </row>
    <row r="2" spans="1:11" ht="15" customHeight="1" x14ac:dyDescent="0.2">
      <c r="A2" s="23" t="s">
        <v>960</v>
      </c>
    </row>
    <row r="3" spans="1:11" ht="15" customHeight="1" x14ac:dyDescent="0.2">
      <c r="A3" s="23" t="s">
        <v>89</v>
      </c>
    </row>
    <row r="5" spans="1:11" ht="15" customHeight="1" x14ac:dyDescent="0.2">
      <c r="A5" s="25" t="s">
        <v>961</v>
      </c>
      <c r="B5" s="26"/>
      <c r="C5" s="26"/>
      <c r="D5" s="26"/>
      <c r="E5" s="26"/>
      <c r="F5" s="26"/>
      <c r="G5" s="26"/>
      <c r="H5" s="26"/>
      <c r="I5" s="26"/>
    </row>
    <row r="6" spans="1:11" ht="15" customHeight="1" x14ac:dyDescent="0.2">
      <c r="B6" t="s">
        <v>962</v>
      </c>
      <c r="C6" s="35">
        <v>0.65</v>
      </c>
      <c r="D6" s="35">
        <v>0.8</v>
      </c>
      <c r="E6" s="35">
        <v>0.9</v>
      </c>
      <c r="F6" s="35">
        <v>1</v>
      </c>
      <c r="H6" s="23" t="s">
        <v>963</v>
      </c>
    </row>
    <row r="8" spans="1:11" ht="15" customHeight="1" x14ac:dyDescent="0.2">
      <c r="A8" s="25" t="s">
        <v>964</v>
      </c>
      <c r="B8" s="26"/>
      <c r="C8" s="26"/>
      <c r="D8" s="26"/>
      <c r="E8" s="26"/>
      <c r="F8" s="26"/>
      <c r="G8" s="26"/>
      <c r="H8" s="26"/>
      <c r="I8" s="26"/>
    </row>
    <row r="9" spans="1:11" ht="15" customHeight="1" x14ac:dyDescent="0.2">
      <c r="B9" t="s">
        <v>965</v>
      </c>
      <c r="C9" s="83">
        <v>10</v>
      </c>
      <c r="D9" s="83">
        <v>15</v>
      </c>
      <c r="E9" s="83">
        <v>20</v>
      </c>
      <c r="F9" s="83">
        <v>25</v>
      </c>
      <c r="G9" s="83">
        <v>30</v>
      </c>
      <c r="H9" s="83">
        <v>35</v>
      </c>
      <c r="I9" s="83">
        <v>40</v>
      </c>
      <c r="J9" s="83">
        <v>45</v>
      </c>
      <c r="K9" s="83">
        <v>50</v>
      </c>
    </row>
    <row r="10" spans="1:11" ht="15" customHeight="1" x14ac:dyDescent="0.2">
      <c r="B10" t="s">
        <v>966</v>
      </c>
      <c r="C10" s="35">
        <v>1</v>
      </c>
      <c r="D10" s="35">
        <v>0.97</v>
      </c>
      <c r="E10" s="35">
        <v>0.94499999999999995</v>
      </c>
      <c r="F10" s="35">
        <v>0.92</v>
      </c>
      <c r="G10" s="35">
        <v>0.9</v>
      </c>
      <c r="H10" s="35">
        <v>0.88</v>
      </c>
      <c r="I10" s="35">
        <v>0.86499999999999999</v>
      </c>
      <c r="J10" s="35">
        <v>0.85</v>
      </c>
      <c r="K10" s="35">
        <v>0.84</v>
      </c>
    </row>
    <row r="11" spans="1:11" ht="15" customHeight="1" x14ac:dyDescent="0.2">
      <c r="B11" t="s">
        <v>967</v>
      </c>
      <c r="C11" s="101">
        <v>1</v>
      </c>
      <c r="G11" s="23" t="s">
        <v>968</v>
      </c>
    </row>
    <row r="12" spans="1:11" ht="15" customHeight="1" x14ac:dyDescent="0.2">
      <c r="B12" t="s">
        <v>969</v>
      </c>
      <c r="C12" s="89">
        <f t="shared" ref="C12:K12" si="0">1-(1-C10)*$C$11</f>
        <v>1</v>
      </c>
      <c r="D12" s="89">
        <f t="shared" si="0"/>
        <v>0.97</v>
      </c>
      <c r="E12" s="89">
        <f t="shared" si="0"/>
        <v>0.94499999999999995</v>
      </c>
      <c r="F12" s="89">
        <f t="shared" si="0"/>
        <v>0.92</v>
      </c>
      <c r="G12" s="89">
        <f t="shared" si="0"/>
        <v>0.9</v>
      </c>
      <c r="H12" s="89">
        <f t="shared" si="0"/>
        <v>0.88</v>
      </c>
      <c r="I12" s="89">
        <f t="shared" si="0"/>
        <v>0.86499999999999999</v>
      </c>
      <c r="J12" s="89">
        <f t="shared" si="0"/>
        <v>0.85</v>
      </c>
      <c r="K12" s="89">
        <f t="shared" si="0"/>
        <v>0.84</v>
      </c>
    </row>
    <row r="14" spans="1:11" ht="39.75" customHeight="1" x14ac:dyDescent="0.2">
      <c r="B14" s="4" t="s">
        <v>970</v>
      </c>
      <c r="C14" s="4"/>
      <c r="D14" s="4"/>
      <c r="E14" s="4"/>
      <c r="F14" s="4"/>
      <c r="G14" s="4"/>
      <c r="H14" s="4"/>
      <c r="I14" s="4"/>
      <c r="J14" s="4"/>
      <c r="K14" s="4"/>
    </row>
    <row r="15" spans="1:11" ht="39.75" customHeight="1" x14ac:dyDescent="0.2">
      <c r="B15" s="4" t="s">
        <v>971</v>
      </c>
      <c r="C15" s="4"/>
      <c r="D15" s="4"/>
      <c r="E15" s="4"/>
      <c r="F15" s="4"/>
      <c r="G15" s="4"/>
      <c r="H15" s="4"/>
      <c r="I15" s="4"/>
      <c r="J15" s="4"/>
      <c r="K15" s="4"/>
    </row>
    <row r="16" spans="1:11" ht="39.75" customHeight="1" x14ac:dyDescent="0.2">
      <c r="B16" s="4" t="s">
        <v>972</v>
      </c>
      <c r="C16" s="4"/>
      <c r="D16" s="4"/>
      <c r="E16" s="4"/>
      <c r="F16" s="4"/>
      <c r="G16" s="4"/>
      <c r="H16" s="4"/>
      <c r="I16" s="4"/>
      <c r="J16" s="4"/>
      <c r="K16" s="4"/>
    </row>
    <row r="18" spans="1:10" ht="15" customHeight="1" x14ac:dyDescent="0.2">
      <c r="A18" s="25" t="s">
        <v>973</v>
      </c>
      <c r="B18" s="26"/>
      <c r="C18" s="26"/>
      <c r="D18" s="26"/>
      <c r="E18" s="26"/>
      <c r="F18" s="26"/>
      <c r="G18" s="26"/>
      <c r="H18" s="26"/>
      <c r="I18" s="26"/>
    </row>
    <row r="19" spans="1:10" ht="15" customHeight="1" x14ac:dyDescent="0.2">
      <c r="A19" s="20" t="s">
        <v>339</v>
      </c>
      <c r="B19" s="20" t="s">
        <v>974</v>
      </c>
      <c r="C19" s="20" t="s">
        <v>975</v>
      </c>
      <c r="D19" s="20" t="s">
        <v>976</v>
      </c>
      <c r="E19" s="20" t="s">
        <v>977</v>
      </c>
      <c r="F19" s="20" t="s">
        <v>978</v>
      </c>
      <c r="G19" s="20" t="s">
        <v>979</v>
      </c>
      <c r="H19" s="20" t="s">
        <v>980</v>
      </c>
      <c r="I19" s="20" t="s">
        <v>981</v>
      </c>
      <c r="J19" s="20" t="s">
        <v>982</v>
      </c>
    </row>
    <row r="20" spans="1:10" ht="15" customHeight="1" x14ac:dyDescent="0.2">
      <c r="A20" s="88">
        <v>11</v>
      </c>
      <c r="B20" s="102" t="s">
        <v>983</v>
      </c>
      <c r="C20" s="77">
        <f>IF(B20="V",SUP_CAPEX_VENTANA!$H$42,IF(B20="D",SUP_CAPEX_DINEIN!$H$43,SUP_CAPEX_FLAGSHIP!$H$55))</f>
        <v>92556.936999999976</v>
      </c>
      <c r="D20" s="77">
        <f>IF(B20="V",SUP_OPEX!$D$23,IF(B20="D",SUP_OPEX!$E$23,SUP_OPEX!$F$23))</f>
        <v>4145</v>
      </c>
      <c r="E20" s="77">
        <f>D20*SUP_CONTROL!$C$19</f>
        <v>4145</v>
      </c>
      <c r="F20" s="77">
        <f t="shared" ref="F20:F59" si="1">C20+E20</f>
        <v>96701.936999999976</v>
      </c>
      <c r="G20" s="73">
        <f>IFERROR(MATCH(1,CAPA3_EXPANSION!$D$25:$DS$25,0),0)</f>
        <v>14</v>
      </c>
      <c r="H20" s="88">
        <f>COUNTIF($B$20:B20,"V")</f>
        <v>1</v>
      </c>
      <c r="I20" s="88">
        <f>COUNTIF($B$20:B20,"D")</f>
        <v>0</v>
      </c>
      <c r="J20" s="88">
        <f>COUNTIF($B$20:B20,"F")</f>
        <v>0</v>
      </c>
    </row>
    <row r="21" spans="1:10" ht="15" customHeight="1" x14ac:dyDescent="0.2">
      <c r="A21" s="88">
        <v>12</v>
      </c>
      <c r="B21" s="102" t="s">
        <v>983</v>
      </c>
      <c r="C21" s="77">
        <f>IF(B21="V",SUP_CAPEX_VENTANA!$H$42,IF(B21="D",SUP_CAPEX_DINEIN!$H$43,SUP_CAPEX_FLAGSHIP!$H$55))</f>
        <v>92556.936999999976</v>
      </c>
      <c r="D21" s="77">
        <f>IF(B21="V",SUP_OPEX!$D$23,IF(B21="D",SUP_OPEX!$E$23,SUP_OPEX!$F$23))</f>
        <v>4145</v>
      </c>
      <c r="E21" s="77">
        <f>D21*SUP_CONTROL!$C$19</f>
        <v>4145</v>
      </c>
      <c r="F21" s="77">
        <f t="shared" si="1"/>
        <v>96701.936999999976</v>
      </c>
      <c r="G21" s="73">
        <f>IFERROR(MATCH(2,CAPA3_EXPANSION!$D$25:$DS$25,0),0)</f>
        <v>16</v>
      </c>
      <c r="H21" s="88">
        <f>COUNTIF($B$20:B21,"V")</f>
        <v>2</v>
      </c>
      <c r="I21" s="88">
        <f>COUNTIF($B$20:B21,"D")</f>
        <v>0</v>
      </c>
      <c r="J21" s="88">
        <f>COUNTIF($B$20:B21,"F")</f>
        <v>0</v>
      </c>
    </row>
    <row r="22" spans="1:10" ht="15" customHeight="1" x14ac:dyDescent="0.2">
      <c r="A22" s="88">
        <v>13</v>
      </c>
      <c r="B22" s="102" t="s">
        <v>983</v>
      </c>
      <c r="C22" s="77">
        <f>IF(B22="V",SUP_CAPEX_VENTANA!$H$42,IF(B22="D",SUP_CAPEX_DINEIN!$H$43,SUP_CAPEX_FLAGSHIP!$H$55))</f>
        <v>92556.936999999976</v>
      </c>
      <c r="D22" s="77">
        <f>IF(B22="V",SUP_OPEX!$D$23,IF(B22="D",SUP_OPEX!$E$23,SUP_OPEX!$F$23))</f>
        <v>4145</v>
      </c>
      <c r="E22" s="77">
        <f>D22*SUP_CONTROL!$C$19</f>
        <v>4145</v>
      </c>
      <c r="F22" s="77">
        <f t="shared" si="1"/>
        <v>96701.936999999976</v>
      </c>
      <c r="G22" s="73">
        <f>IFERROR(MATCH(3,CAPA3_EXPANSION!$D$25:$DS$25,0),0)</f>
        <v>17</v>
      </c>
      <c r="H22" s="88">
        <f>COUNTIF($B$20:B22,"V")</f>
        <v>3</v>
      </c>
      <c r="I22" s="88">
        <f>COUNTIF($B$20:B22,"D")</f>
        <v>0</v>
      </c>
      <c r="J22" s="88">
        <f>COUNTIF($B$20:B22,"F")</f>
        <v>0</v>
      </c>
    </row>
    <row r="23" spans="1:10" ht="15" customHeight="1" x14ac:dyDescent="0.2">
      <c r="A23" s="88">
        <v>14</v>
      </c>
      <c r="B23" s="102" t="s">
        <v>984</v>
      </c>
      <c r="C23" s="77">
        <f>IF(B23="V",SUP_CAPEX_VENTANA!$H$42,IF(B23="D",SUP_CAPEX_DINEIN!$H$43,SUP_CAPEX_FLAGSHIP!$H$55))</f>
        <v>138911.02225000001</v>
      </c>
      <c r="D23" s="77">
        <f>IF(B23="V",SUP_OPEX!$D$23,IF(B23="D",SUP_OPEX!$E$23,SUP_OPEX!$F$23))</f>
        <v>5715</v>
      </c>
      <c r="E23" s="77">
        <f>D23*SUP_CONTROL!$C$19</f>
        <v>5715</v>
      </c>
      <c r="F23" s="77">
        <f t="shared" si="1"/>
        <v>144626.02225000001</v>
      </c>
      <c r="G23" s="73">
        <f>IFERROR(MATCH(4,CAPA3_EXPANSION!$D$25:$DS$25,0),0)</f>
        <v>26</v>
      </c>
      <c r="H23" s="88">
        <f>COUNTIF($B$20:B23,"V")</f>
        <v>3</v>
      </c>
      <c r="I23" s="88">
        <f>COUNTIF($B$20:B23,"D")</f>
        <v>1</v>
      </c>
      <c r="J23" s="88">
        <f>COUNTIF($B$20:B23,"F")</f>
        <v>0</v>
      </c>
    </row>
    <row r="24" spans="1:10" ht="15" customHeight="1" x14ac:dyDescent="0.2">
      <c r="A24" s="88">
        <v>15</v>
      </c>
      <c r="B24" s="102" t="s">
        <v>983</v>
      </c>
      <c r="C24" s="77">
        <f>IF(B24="V",SUP_CAPEX_VENTANA!$H$42,IF(B24="D",SUP_CAPEX_DINEIN!$H$43,SUP_CAPEX_FLAGSHIP!$H$55))</f>
        <v>92556.936999999976</v>
      </c>
      <c r="D24" s="77">
        <f>IF(B24="V",SUP_OPEX!$D$23,IF(B24="D",SUP_OPEX!$E$23,SUP_OPEX!$F$23))</f>
        <v>4145</v>
      </c>
      <c r="E24" s="77">
        <f>D24*SUP_CONTROL!$C$19</f>
        <v>4145</v>
      </c>
      <c r="F24" s="77">
        <f t="shared" si="1"/>
        <v>96701.936999999976</v>
      </c>
      <c r="G24" s="73">
        <f>IFERROR(MATCH(5,CAPA3_EXPANSION!$D$25:$DS$25,0),0)</f>
        <v>27</v>
      </c>
      <c r="H24" s="88">
        <f>COUNTIF($B$20:B24,"V")</f>
        <v>4</v>
      </c>
      <c r="I24" s="88">
        <f>COUNTIF($B$20:B24,"D")</f>
        <v>1</v>
      </c>
      <c r="J24" s="88">
        <f>COUNTIF($B$20:B24,"F")</f>
        <v>0</v>
      </c>
    </row>
    <row r="25" spans="1:10" ht="15" customHeight="1" x14ac:dyDescent="0.2">
      <c r="A25" s="88">
        <v>16</v>
      </c>
      <c r="B25" s="102" t="s">
        <v>983</v>
      </c>
      <c r="C25" s="77">
        <f>IF(B25="V",SUP_CAPEX_VENTANA!$H$42,IF(B25="D",SUP_CAPEX_DINEIN!$H$43,SUP_CAPEX_FLAGSHIP!$H$55))</f>
        <v>92556.936999999976</v>
      </c>
      <c r="D25" s="77">
        <f>IF(B25="V",SUP_OPEX!$D$23,IF(B25="D",SUP_OPEX!$E$23,SUP_OPEX!$F$23))</f>
        <v>4145</v>
      </c>
      <c r="E25" s="77">
        <f>D25*SUP_CONTROL!$C$19</f>
        <v>4145</v>
      </c>
      <c r="F25" s="77">
        <f t="shared" si="1"/>
        <v>96701.936999999976</v>
      </c>
      <c r="G25" s="73">
        <f>IFERROR(MATCH(6,CAPA3_EXPANSION!$D$25:$DS$25,0),0)</f>
        <v>29</v>
      </c>
      <c r="H25" s="88">
        <f>COUNTIF($B$20:B25,"V")</f>
        <v>5</v>
      </c>
      <c r="I25" s="88">
        <f>COUNTIF($B$20:B25,"D")</f>
        <v>1</v>
      </c>
      <c r="J25" s="88">
        <f>COUNTIF($B$20:B25,"F")</f>
        <v>0</v>
      </c>
    </row>
    <row r="26" spans="1:10" ht="15" customHeight="1" x14ac:dyDescent="0.2">
      <c r="A26" s="88">
        <v>17</v>
      </c>
      <c r="B26" s="102" t="s">
        <v>983</v>
      </c>
      <c r="C26" s="77">
        <f>IF(B26="V",SUP_CAPEX_VENTANA!$H$42,IF(B26="D",SUP_CAPEX_DINEIN!$H$43,SUP_CAPEX_FLAGSHIP!$H$55))</f>
        <v>92556.936999999976</v>
      </c>
      <c r="D26" s="77">
        <f>IF(B26="V",SUP_OPEX!$D$23,IF(B26="D",SUP_OPEX!$E$23,SUP_OPEX!$F$23))</f>
        <v>4145</v>
      </c>
      <c r="E26" s="77">
        <f>D26*SUP_CONTROL!$C$19</f>
        <v>4145</v>
      </c>
      <c r="F26" s="77">
        <f t="shared" si="1"/>
        <v>96701.936999999976</v>
      </c>
      <c r="G26" s="73">
        <f>IFERROR(MATCH(7,CAPA3_EXPANSION!$D$25:$DS$25,0),0)</f>
        <v>30</v>
      </c>
      <c r="H26" s="88">
        <f>COUNTIF($B$20:B26,"V")</f>
        <v>6</v>
      </c>
      <c r="I26" s="88">
        <f>COUNTIF($B$20:B26,"D")</f>
        <v>1</v>
      </c>
      <c r="J26" s="88">
        <f>COUNTIF($B$20:B26,"F")</f>
        <v>0</v>
      </c>
    </row>
    <row r="27" spans="1:10" ht="15" customHeight="1" x14ac:dyDescent="0.2">
      <c r="A27" s="88">
        <v>18</v>
      </c>
      <c r="B27" s="102" t="s">
        <v>984</v>
      </c>
      <c r="C27" s="77">
        <f>IF(B27="V",SUP_CAPEX_VENTANA!$H$42,IF(B27="D",SUP_CAPEX_DINEIN!$H$43,SUP_CAPEX_FLAGSHIP!$H$55))</f>
        <v>138911.02225000001</v>
      </c>
      <c r="D27" s="77">
        <f>IF(B27="V",SUP_OPEX!$D$23,IF(B27="D",SUP_OPEX!$E$23,SUP_OPEX!$F$23))</f>
        <v>5715</v>
      </c>
      <c r="E27" s="77">
        <f>D27*SUP_CONTROL!$C$19</f>
        <v>5715</v>
      </c>
      <c r="F27" s="77">
        <f t="shared" si="1"/>
        <v>144626.02225000001</v>
      </c>
      <c r="G27" s="73">
        <f>IFERROR(MATCH(8,CAPA3_EXPANSION!$D$25:$DS$25,0),0)</f>
        <v>33</v>
      </c>
      <c r="H27" s="88">
        <f>COUNTIF($B$20:B27,"V")</f>
        <v>6</v>
      </c>
      <c r="I27" s="88">
        <f>COUNTIF($B$20:B27,"D")</f>
        <v>2</v>
      </c>
      <c r="J27" s="88">
        <f>COUNTIF($B$20:B27,"F")</f>
        <v>0</v>
      </c>
    </row>
    <row r="28" spans="1:10" ht="15" customHeight="1" x14ac:dyDescent="0.2">
      <c r="A28" s="88">
        <v>19</v>
      </c>
      <c r="B28" s="102" t="s">
        <v>983</v>
      </c>
      <c r="C28" s="77">
        <f>IF(B28="V",SUP_CAPEX_VENTANA!$H$42,IF(B28="D",SUP_CAPEX_DINEIN!$H$43,SUP_CAPEX_FLAGSHIP!$H$55))</f>
        <v>92556.936999999976</v>
      </c>
      <c r="D28" s="77">
        <f>IF(B28="V",SUP_OPEX!$D$23,IF(B28="D",SUP_OPEX!$E$23,SUP_OPEX!$F$23))</f>
        <v>4145</v>
      </c>
      <c r="E28" s="77">
        <f>D28*SUP_CONTROL!$C$19</f>
        <v>4145</v>
      </c>
      <c r="F28" s="77">
        <f t="shared" si="1"/>
        <v>96701.936999999976</v>
      </c>
      <c r="G28" s="73">
        <f>IFERROR(MATCH(9,CAPA3_EXPANSION!$D$25:$DS$25,0),0)</f>
        <v>34</v>
      </c>
      <c r="H28" s="88">
        <f>COUNTIF($B$20:B28,"V")</f>
        <v>7</v>
      </c>
      <c r="I28" s="88">
        <f>COUNTIF($B$20:B28,"D")</f>
        <v>2</v>
      </c>
      <c r="J28" s="88">
        <f>COUNTIF($B$20:B28,"F")</f>
        <v>0</v>
      </c>
    </row>
    <row r="29" spans="1:10" ht="15" customHeight="1" x14ac:dyDescent="0.2">
      <c r="A29" s="88">
        <v>20</v>
      </c>
      <c r="B29" s="102" t="s">
        <v>983</v>
      </c>
      <c r="C29" s="77">
        <f>IF(B29="V",SUP_CAPEX_VENTANA!$H$42,IF(B29="D",SUP_CAPEX_DINEIN!$H$43,SUP_CAPEX_FLAGSHIP!$H$55))</f>
        <v>92556.936999999976</v>
      </c>
      <c r="D29" s="77">
        <f>IF(B29="V",SUP_OPEX!$D$23,IF(B29="D",SUP_OPEX!$E$23,SUP_OPEX!$F$23))</f>
        <v>4145</v>
      </c>
      <c r="E29" s="77">
        <f>D29*SUP_CONTROL!$C$19</f>
        <v>4145</v>
      </c>
      <c r="F29" s="77">
        <f t="shared" si="1"/>
        <v>96701.936999999976</v>
      </c>
      <c r="G29" s="73">
        <f>IFERROR(MATCH(10,CAPA3_EXPANSION!$D$25:$DS$25,0),0)</f>
        <v>35</v>
      </c>
      <c r="H29" s="88">
        <f>COUNTIF($B$20:B29,"V")</f>
        <v>8</v>
      </c>
      <c r="I29" s="88">
        <f>COUNTIF($B$20:B29,"D")</f>
        <v>2</v>
      </c>
      <c r="J29" s="88">
        <f>COUNTIF($B$20:B29,"F")</f>
        <v>0</v>
      </c>
    </row>
    <row r="30" spans="1:10" ht="15" customHeight="1" x14ac:dyDescent="0.2">
      <c r="A30" s="88">
        <v>21</v>
      </c>
      <c r="B30" s="102" t="s">
        <v>983</v>
      </c>
      <c r="C30" s="77">
        <f>IF(B30="V",SUP_CAPEX_VENTANA!$H$42,IF(B30="D",SUP_CAPEX_DINEIN!$H$43,SUP_CAPEX_FLAGSHIP!$H$55))</f>
        <v>92556.936999999976</v>
      </c>
      <c r="D30" s="77">
        <f>IF(B30="V",SUP_OPEX!$D$23,IF(B30="D",SUP_OPEX!$E$23,SUP_OPEX!$F$23))</f>
        <v>4145</v>
      </c>
      <c r="E30" s="77">
        <f>D30*SUP_CONTROL!$C$19</f>
        <v>4145</v>
      </c>
      <c r="F30" s="77">
        <f t="shared" si="1"/>
        <v>96701.936999999976</v>
      </c>
      <c r="G30" s="73">
        <f>IFERROR(MATCH(11,CAPA3_EXPANSION!$D$25:$DS$25,0),0)</f>
        <v>36</v>
      </c>
      <c r="H30" s="88">
        <f>COUNTIF($B$20:B30,"V")</f>
        <v>9</v>
      </c>
      <c r="I30" s="88">
        <f>COUNTIF($B$20:B30,"D")</f>
        <v>2</v>
      </c>
      <c r="J30" s="88">
        <f>COUNTIF($B$20:B30,"F")</f>
        <v>0</v>
      </c>
    </row>
    <row r="31" spans="1:10" ht="15" customHeight="1" x14ac:dyDescent="0.2">
      <c r="A31" s="88">
        <v>22</v>
      </c>
      <c r="B31" s="102" t="s">
        <v>984</v>
      </c>
      <c r="C31" s="77">
        <f>IF(B31="V",SUP_CAPEX_VENTANA!$H$42,IF(B31="D",SUP_CAPEX_DINEIN!$H$43,SUP_CAPEX_FLAGSHIP!$H$55))</f>
        <v>138911.02225000001</v>
      </c>
      <c r="D31" s="77">
        <f>IF(B31="V",SUP_OPEX!$D$23,IF(B31="D",SUP_OPEX!$E$23,SUP_OPEX!$F$23))</f>
        <v>5715</v>
      </c>
      <c r="E31" s="77">
        <f>D31*SUP_CONTROL!$C$19</f>
        <v>5715</v>
      </c>
      <c r="F31" s="77">
        <f t="shared" si="1"/>
        <v>144626.02225000001</v>
      </c>
      <c r="G31" s="73">
        <f>IFERROR(MATCH(12,CAPA3_EXPANSION!$D$25:$DS$25,0),0)</f>
        <v>38</v>
      </c>
      <c r="H31" s="88">
        <f>COUNTIF($B$20:B31,"V")</f>
        <v>9</v>
      </c>
      <c r="I31" s="88">
        <f>COUNTIF($B$20:B31,"D")</f>
        <v>3</v>
      </c>
      <c r="J31" s="88">
        <f>COUNTIF($B$20:B31,"F")</f>
        <v>0</v>
      </c>
    </row>
    <row r="32" spans="1:10" ht="15" customHeight="1" x14ac:dyDescent="0.2">
      <c r="A32" s="88">
        <v>23</v>
      </c>
      <c r="B32" s="102" t="s">
        <v>983</v>
      </c>
      <c r="C32" s="77">
        <f>IF(B32="V",SUP_CAPEX_VENTANA!$H$42,IF(B32="D",SUP_CAPEX_DINEIN!$H$43,SUP_CAPEX_FLAGSHIP!$H$55))</f>
        <v>92556.936999999976</v>
      </c>
      <c r="D32" s="77">
        <f>IF(B32="V",SUP_OPEX!$D$23,IF(B32="D",SUP_OPEX!$E$23,SUP_OPEX!$F$23))</f>
        <v>4145</v>
      </c>
      <c r="E32" s="77">
        <f>D32*SUP_CONTROL!$C$19</f>
        <v>4145</v>
      </c>
      <c r="F32" s="77">
        <f t="shared" si="1"/>
        <v>96701.936999999976</v>
      </c>
      <c r="G32" s="73">
        <f>IFERROR(MATCH(13,CAPA3_EXPANSION!$D$25:$DS$25,0),0)</f>
        <v>40</v>
      </c>
      <c r="H32" s="88">
        <f>COUNTIF($B$20:B32,"V")</f>
        <v>10</v>
      </c>
      <c r="I32" s="88">
        <f>COUNTIF($B$20:B32,"D")</f>
        <v>3</v>
      </c>
      <c r="J32" s="88">
        <f>COUNTIF($B$20:B32,"F")</f>
        <v>0</v>
      </c>
    </row>
    <row r="33" spans="1:10" ht="15" customHeight="1" x14ac:dyDescent="0.2">
      <c r="A33" s="88">
        <v>24</v>
      </c>
      <c r="B33" s="102" t="s">
        <v>983</v>
      </c>
      <c r="C33" s="77">
        <f>IF(B33="V",SUP_CAPEX_VENTANA!$H$42,IF(B33="D",SUP_CAPEX_DINEIN!$H$43,SUP_CAPEX_FLAGSHIP!$H$55))</f>
        <v>92556.936999999976</v>
      </c>
      <c r="D33" s="77">
        <f>IF(B33="V",SUP_OPEX!$D$23,IF(B33="D",SUP_OPEX!$E$23,SUP_OPEX!$F$23))</f>
        <v>4145</v>
      </c>
      <c r="E33" s="77">
        <f>D33*SUP_CONTROL!$C$19</f>
        <v>4145</v>
      </c>
      <c r="F33" s="77">
        <f t="shared" si="1"/>
        <v>96701.936999999976</v>
      </c>
      <c r="G33" s="73">
        <f>IFERROR(MATCH(14,CAPA3_EXPANSION!$D$25:$DS$25,0),0)</f>
        <v>41</v>
      </c>
      <c r="H33" s="88">
        <f>COUNTIF($B$20:B33,"V")</f>
        <v>11</v>
      </c>
      <c r="I33" s="88">
        <f>COUNTIF($B$20:B33,"D")</f>
        <v>3</v>
      </c>
      <c r="J33" s="88">
        <f>COUNTIF($B$20:B33,"F")</f>
        <v>0</v>
      </c>
    </row>
    <row r="34" spans="1:10" ht="15" customHeight="1" x14ac:dyDescent="0.2">
      <c r="A34" s="88">
        <v>25</v>
      </c>
      <c r="B34" s="102" t="s">
        <v>985</v>
      </c>
      <c r="C34" s="176">
        <f>IF(B34="V",SUP_CAPEX_VENTANA!$H$42,IF(B34="D",SUP_CAPEX_DINEIN!$H$43,SUP_CAPEX_FLAGSHIP!$H$55))</f>
        <v>485628.42074999999</v>
      </c>
      <c r="D34" s="77">
        <f>IF(B34="V",SUP_OPEX!$D$23,IF(B34="D",SUP_OPEX!$E$23,SUP_OPEX!$F$23))</f>
        <v>18645</v>
      </c>
      <c r="E34" s="77">
        <f>D34*SUP_CONTROL!$C$19</f>
        <v>18645</v>
      </c>
      <c r="F34" s="77">
        <f t="shared" si="1"/>
        <v>504273.42074999999</v>
      </c>
      <c r="G34" s="73">
        <f>IFERROR(MATCH(15,CAPA3_EXPANSION!$D$25:$DS$25,0),0)</f>
        <v>50</v>
      </c>
      <c r="H34" s="88">
        <f>COUNTIF($B$20:B34,"V")</f>
        <v>11</v>
      </c>
      <c r="I34" s="88">
        <f>COUNTIF($B$20:B34,"D")</f>
        <v>3</v>
      </c>
      <c r="J34" s="88">
        <f>COUNTIF($B$20:B34,"F")</f>
        <v>1</v>
      </c>
    </row>
    <row r="35" spans="1:10" ht="15" customHeight="1" x14ac:dyDescent="0.2">
      <c r="A35" s="88">
        <v>26</v>
      </c>
      <c r="B35" s="102" t="s">
        <v>983</v>
      </c>
      <c r="C35" s="77">
        <f>IF(B35="V",SUP_CAPEX_VENTANA!$H$42,IF(B35="D",SUP_CAPEX_DINEIN!$H$43,SUP_CAPEX_FLAGSHIP!$H$55))</f>
        <v>92556.936999999976</v>
      </c>
      <c r="D35" s="77">
        <f>IF(B35="V",SUP_OPEX!$D$23,IF(B35="D",SUP_OPEX!$E$23,SUP_OPEX!$F$23))</f>
        <v>4145</v>
      </c>
      <c r="E35" s="77">
        <f>D35*SUP_CONTROL!$C$19</f>
        <v>4145</v>
      </c>
      <c r="F35" s="77">
        <f t="shared" si="1"/>
        <v>96701.936999999976</v>
      </c>
      <c r="G35" s="73">
        <f>IFERROR(MATCH(16,CAPA3_EXPANSION!$D$25:$DS$25,0),0)</f>
        <v>51</v>
      </c>
      <c r="H35" s="88">
        <f>COUNTIF($B$20:B35,"V")</f>
        <v>12</v>
      </c>
      <c r="I35" s="88">
        <f>COUNTIF($B$20:B35,"D")</f>
        <v>3</v>
      </c>
      <c r="J35" s="88">
        <f>COUNTIF($B$20:B35,"F")</f>
        <v>1</v>
      </c>
    </row>
    <row r="36" spans="1:10" ht="15" customHeight="1" x14ac:dyDescent="0.2">
      <c r="A36" s="88">
        <v>27</v>
      </c>
      <c r="B36" s="102" t="s">
        <v>984</v>
      </c>
      <c r="C36" s="77">
        <f>IF(B36="V",SUP_CAPEX_VENTANA!$H$42,IF(B36="D",SUP_CAPEX_DINEIN!$H$43,SUP_CAPEX_FLAGSHIP!$H$55))</f>
        <v>138911.02225000001</v>
      </c>
      <c r="D36" s="77">
        <f>IF(B36="V",SUP_OPEX!$D$23,IF(B36="D",SUP_OPEX!$E$23,SUP_OPEX!$F$23))</f>
        <v>5715</v>
      </c>
      <c r="E36" s="77">
        <f>D36*SUP_CONTROL!$C$19</f>
        <v>5715</v>
      </c>
      <c r="F36" s="77">
        <f t="shared" si="1"/>
        <v>144626.02225000001</v>
      </c>
      <c r="G36" s="73">
        <f>IFERROR(MATCH(17,CAPA3_EXPANSION!$D$25:$DS$25,0),0)</f>
        <v>52</v>
      </c>
      <c r="H36" s="88">
        <f>COUNTIF($B$20:B36,"V")</f>
        <v>12</v>
      </c>
      <c r="I36" s="88">
        <f>COUNTIF($B$20:B36,"D")</f>
        <v>4</v>
      </c>
      <c r="J36" s="88">
        <f>COUNTIF($B$20:B36,"F")</f>
        <v>1</v>
      </c>
    </row>
    <row r="37" spans="1:10" ht="15" customHeight="1" x14ac:dyDescent="0.2">
      <c r="A37" s="88">
        <v>28</v>
      </c>
      <c r="B37" s="102" t="s">
        <v>983</v>
      </c>
      <c r="C37" s="77">
        <f>IF(B37="V",SUP_CAPEX_VENTANA!$H$42,IF(B37="D",SUP_CAPEX_DINEIN!$H$43,SUP_CAPEX_FLAGSHIP!$H$55))</f>
        <v>92556.936999999976</v>
      </c>
      <c r="D37" s="77">
        <f>IF(B37="V",SUP_OPEX!$D$23,IF(B37="D",SUP_OPEX!$E$23,SUP_OPEX!$F$23))</f>
        <v>4145</v>
      </c>
      <c r="E37" s="77">
        <f>D37*SUP_CONTROL!$C$19</f>
        <v>4145</v>
      </c>
      <c r="F37" s="77">
        <f t="shared" si="1"/>
        <v>96701.936999999976</v>
      </c>
      <c r="G37" s="73">
        <f>IFERROR(MATCH(18,CAPA3_EXPANSION!$D$25:$DS$25,0),0)</f>
        <v>53</v>
      </c>
      <c r="H37" s="88">
        <f>COUNTIF($B$20:B37,"V")</f>
        <v>13</v>
      </c>
      <c r="I37" s="88">
        <f>COUNTIF($B$20:B37,"D")</f>
        <v>4</v>
      </c>
      <c r="J37" s="88">
        <f>COUNTIF($B$20:B37,"F")</f>
        <v>1</v>
      </c>
    </row>
    <row r="38" spans="1:10" ht="15" customHeight="1" x14ac:dyDescent="0.2">
      <c r="A38" s="88">
        <v>29</v>
      </c>
      <c r="B38" s="102" t="s">
        <v>983</v>
      </c>
      <c r="C38" s="77">
        <f>IF(B38="V",SUP_CAPEX_VENTANA!$H$42,IF(B38="D",SUP_CAPEX_DINEIN!$H$43,SUP_CAPEX_FLAGSHIP!$H$55))</f>
        <v>92556.936999999976</v>
      </c>
      <c r="D38" s="77">
        <f>IF(B38="V",SUP_OPEX!$D$23,IF(B38="D",SUP_OPEX!$E$23,SUP_OPEX!$F$23))</f>
        <v>4145</v>
      </c>
      <c r="E38" s="77">
        <f>D38*SUP_CONTROL!$C$19</f>
        <v>4145</v>
      </c>
      <c r="F38" s="77">
        <f t="shared" si="1"/>
        <v>96701.936999999976</v>
      </c>
      <c r="G38" s="73">
        <f>IFERROR(MATCH(19,CAPA3_EXPANSION!$D$25:$DS$25,0),0)</f>
        <v>54</v>
      </c>
      <c r="H38" s="88">
        <f>COUNTIF($B$20:B38,"V")</f>
        <v>14</v>
      </c>
      <c r="I38" s="88">
        <f>COUNTIF($B$20:B38,"D")</f>
        <v>4</v>
      </c>
      <c r="J38" s="88">
        <f>COUNTIF($B$20:B38,"F")</f>
        <v>1</v>
      </c>
    </row>
    <row r="39" spans="1:10" ht="15" customHeight="1" x14ac:dyDescent="0.2">
      <c r="A39" s="88">
        <v>30</v>
      </c>
      <c r="B39" s="102" t="s">
        <v>983</v>
      </c>
      <c r="C39" s="77">
        <f>IF(B39="V",SUP_CAPEX_VENTANA!$H$42,IF(B39="D",SUP_CAPEX_DINEIN!$H$43,SUP_CAPEX_FLAGSHIP!$H$55))</f>
        <v>92556.936999999976</v>
      </c>
      <c r="D39" s="77">
        <f>IF(B39="V",SUP_OPEX!$D$23,IF(B39="D",SUP_OPEX!$E$23,SUP_OPEX!$F$23))</f>
        <v>4145</v>
      </c>
      <c r="E39" s="77">
        <f>D39*SUP_CONTROL!$C$19</f>
        <v>4145</v>
      </c>
      <c r="F39" s="77">
        <f t="shared" si="1"/>
        <v>96701.936999999976</v>
      </c>
      <c r="G39" s="73">
        <f>IFERROR(MATCH(20,CAPA3_EXPANSION!$D$25:$DS$25,0),0)</f>
        <v>55</v>
      </c>
      <c r="H39" s="88">
        <f>COUNTIF($B$20:B39,"V")</f>
        <v>15</v>
      </c>
      <c r="I39" s="88">
        <f>COUNTIF($B$20:B39,"D")</f>
        <v>4</v>
      </c>
      <c r="J39" s="88">
        <f>COUNTIF($B$20:B39,"F")</f>
        <v>1</v>
      </c>
    </row>
    <row r="40" spans="1:10" ht="15" customHeight="1" x14ac:dyDescent="0.2">
      <c r="A40" s="88">
        <v>31</v>
      </c>
      <c r="B40" s="102" t="s">
        <v>984</v>
      </c>
      <c r="C40" s="77">
        <f>IF(B40="V",SUP_CAPEX_VENTANA!$H$42,IF(B40="D",SUP_CAPEX_DINEIN!$H$43,SUP_CAPEX_FLAGSHIP!$H$55))</f>
        <v>138911.02225000001</v>
      </c>
      <c r="D40" s="77">
        <f>IF(B40="V",SUP_OPEX!$D$23,IF(B40="D",SUP_OPEX!$E$23,SUP_OPEX!$F$23))</f>
        <v>5715</v>
      </c>
      <c r="E40" s="77">
        <f>D40*SUP_CONTROL!$C$19</f>
        <v>5715</v>
      </c>
      <c r="F40" s="77">
        <f t="shared" si="1"/>
        <v>144626.02225000001</v>
      </c>
      <c r="G40" s="73">
        <f>IFERROR(MATCH(21,CAPA3_EXPANSION!$D$25:$DS$25,0),0)</f>
        <v>56</v>
      </c>
      <c r="H40" s="88">
        <f>COUNTIF($B$20:B40,"V")</f>
        <v>15</v>
      </c>
      <c r="I40" s="88">
        <f>COUNTIF($B$20:B40,"D")</f>
        <v>5</v>
      </c>
      <c r="J40" s="88">
        <f>COUNTIF($B$20:B40,"F")</f>
        <v>1</v>
      </c>
    </row>
    <row r="41" spans="1:10" ht="15" customHeight="1" x14ac:dyDescent="0.2">
      <c r="A41" s="88">
        <v>32</v>
      </c>
      <c r="B41" s="102" t="s">
        <v>983</v>
      </c>
      <c r="C41" s="77">
        <f>IF(B41="V",SUP_CAPEX_VENTANA!$H$42,IF(B41="D",SUP_CAPEX_DINEIN!$H$43,SUP_CAPEX_FLAGSHIP!$H$55))</f>
        <v>92556.936999999976</v>
      </c>
      <c r="D41" s="77">
        <f>IF(B41="V",SUP_OPEX!$D$23,IF(B41="D",SUP_OPEX!$E$23,SUP_OPEX!$F$23))</f>
        <v>4145</v>
      </c>
      <c r="E41" s="77">
        <f>D41*SUP_CONTROL!$C$19</f>
        <v>4145</v>
      </c>
      <c r="F41" s="77">
        <f t="shared" si="1"/>
        <v>96701.936999999976</v>
      </c>
      <c r="G41" s="73">
        <f>IFERROR(MATCH(22,CAPA3_EXPANSION!$D$25:$DS$25,0),0)</f>
        <v>57</v>
      </c>
      <c r="H41" s="88">
        <f>COUNTIF($B$20:B41,"V")</f>
        <v>16</v>
      </c>
      <c r="I41" s="88">
        <f>COUNTIF($B$20:B41,"D")</f>
        <v>5</v>
      </c>
      <c r="J41" s="88">
        <f>COUNTIF($B$20:B41,"F")</f>
        <v>1</v>
      </c>
    </row>
    <row r="42" spans="1:10" ht="15" customHeight="1" x14ac:dyDescent="0.2">
      <c r="A42" s="88">
        <v>33</v>
      </c>
      <c r="B42" s="102" t="s">
        <v>983</v>
      </c>
      <c r="C42" s="77">
        <f>IF(B42="V",SUP_CAPEX_VENTANA!$H$42,IF(B42="D",SUP_CAPEX_DINEIN!$H$43,SUP_CAPEX_FLAGSHIP!$H$55))</f>
        <v>92556.936999999976</v>
      </c>
      <c r="D42" s="77">
        <f>IF(B42="V",SUP_OPEX!$D$23,IF(B42="D",SUP_OPEX!$E$23,SUP_OPEX!$F$23))</f>
        <v>4145</v>
      </c>
      <c r="E42" s="77">
        <f>D42*SUP_CONTROL!$C$19</f>
        <v>4145</v>
      </c>
      <c r="F42" s="77">
        <f t="shared" si="1"/>
        <v>96701.936999999976</v>
      </c>
      <c r="G42" s="73">
        <f>IFERROR(MATCH(23,CAPA3_EXPANSION!$D$25:$DS$25,0),0)</f>
        <v>58</v>
      </c>
      <c r="H42" s="88">
        <f>COUNTIF($B$20:B42,"V")</f>
        <v>17</v>
      </c>
      <c r="I42" s="88">
        <f>COUNTIF($B$20:B42,"D")</f>
        <v>5</v>
      </c>
      <c r="J42" s="88">
        <f>COUNTIF($B$20:B42,"F")</f>
        <v>1</v>
      </c>
    </row>
    <row r="43" spans="1:10" ht="15" customHeight="1" x14ac:dyDescent="0.2">
      <c r="A43" s="88">
        <v>34</v>
      </c>
      <c r="B43" s="102" t="s">
        <v>983</v>
      </c>
      <c r="C43" s="77">
        <f>IF(B43="V",SUP_CAPEX_VENTANA!$H$42,IF(B43="D",SUP_CAPEX_DINEIN!$H$43,SUP_CAPEX_FLAGSHIP!$H$55))</f>
        <v>92556.936999999976</v>
      </c>
      <c r="D43" s="77">
        <f>IF(B43="V",SUP_OPEX!$D$23,IF(B43="D",SUP_OPEX!$E$23,SUP_OPEX!$F$23))</f>
        <v>4145</v>
      </c>
      <c r="E43" s="77">
        <f>D43*SUP_CONTROL!$C$19</f>
        <v>4145</v>
      </c>
      <c r="F43" s="77">
        <f t="shared" si="1"/>
        <v>96701.936999999976</v>
      </c>
      <c r="G43" s="73">
        <f>IFERROR(MATCH(24,CAPA3_EXPANSION!$D$25:$DS$25,0),0)</f>
        <v>59</v>
      </c>
      <c r="H43" s="88">
        <f>COUNTIF($B$20:B43,"V")</f>
        <v>18</v>
      </c>
      <c r="I43" s="88">
        <f>COUNTIF($B$20:B43,"D")</f>
        <v>5</v>
      </c>
      <c r="J43" s="88">
        <f>COUNTIF($B$20:B43,"F")</f>
        <v>1</v>
      </c>
    </row>
    <row r="44" spans="1:10" ht="15" customHeight="1" x14ac:dyDescent="0.2">
      <c r="A44" s="88">
        <v>35</v>
      </c>
      <c r="B44" s="102" t="s">
        <v>984</v>
      </c>
      <c r="C44" s="77">
        <f>IF(B44="V",SUP_CAPEX_VENTANA!$H$42,IF(B44="D",SUP_CAPEX_DINEIN!$H$43,SUP_CAPEX_FLAGSHIP!$H$55))</f>
        <v>138911.02225000001</v>
      </c>
      <c r="D44" s="77">
        <f>IF(B44="V",SUP_OPEX!$D$23,IF(B44="D",SUP_OPEX!$E$23,SUP_OPEX!$F$23))</f>
        <v>5715</v>
      </c>
      <c r="E44" s="77">
        <f>D44*SUP_CONTROL!$C$19</f>
        <v>5715</v>
      </c>
      <c r="F44" s="77">
        <f t="shared" si="1"/>
        <v>144626.02225000001</v>
      </c>
      <c r="G44" s="73">
        <f>IFERROR(MATCH(25,CAPA3_EXPANSION!$D$25:$DS$25,0),0)</f>
        <v>60</v>
      </c>
      <c r="H44" s="88">
        <f>COUNTIF($B$20:B44,"V")</f>
        <v>18</v>
      </c>
      <c r="I44" s="88">
        <f>COUNTIF($B$20:B44,"D")</f>
        <v>6</v>
      </c>
      <c r="J44" s="88">
        <f>COUNTIF($B$20:B44,"F")</f>
        <v>1</v>
      </c>
    </row>
    <row r="45" spans="1:10" ht="15" customHeight="1" x14ac:dyDescent="0.2">
      <c r="A45" s="88">
        <v>36</v>
      </c>
      <c r="B45" s="102" t="s">
        <v>983</v>
      </c>
      <c r="C45" s="77">
        <f>IF(B45="V",SUP_CAPEX_VENTANA!$H$42,IF(B45="D",SUP_CAPEX_DINEIN!$H$43,SUP_CAPEX_FLAGSHIP!$H$55))</f>
        <v>92556.936999999976</v>
      </c>
      <c r="D45" s="77">
        <f>IF(B45="V",SUP_OPEX!$D$23,IF(B45="D",SUP_OPEX!$E$23,SUP_OPEX!$F$23))</f>
        <v>4145</v>
      </c>
      <c r="E45" s="77">
        <f>D45*SUP_CONTROL!$C$19</f>
        <v>4145</v>
      </c>
      <c r="F45" s="77">
        <f t="shared" si="1"/>
        <v>96701.936999999976</v>
      </c>
      <c r="G45" s="73">
        <f>IFERROR(MATCH(26,CAPA3_EXPANSION!$D$25:$DS$25,0),0)</f>
        <v>61</v>
      </c>
      <c r="H45" s="88">
        <f>COUNTIF($B$20:B45,"V")</f>
        <v>19</v>
      </c>
      <c r="I45" s="88">
        <f>COUNTIF($B$20:B45,"D")</f>
        <v>6</v>
      </c>
      <c r="J45" s="88">
        <f>COUNTIF($B$20:B45,"F")</f>
        <v>1</v>
      </c>
    </row>
    <row r="46" spans="1:10" ht="15" customHeight="1" x14ac:dyDescent="0.2">
      <c r="A46" s="88">
        <v>37</v>
      </c>
      <c r="B46" s="102" t="s">
        <v>983</v>
      </c>
      <c r="C46" s="77">
        <f>IF(B46="V",SUP_CAPEX_VENTANA!$H$42,IF(B46="D",SUP_CAPEX_DINEIN!$H$43,SUP_CAPEX_FLAGSHIP!$H$55))</f>
        <v>92556.936999999976</v>
      </c>
      <c r="D46" s="77">
        <f>IF(B46="V",SUP_OPEX!$D$23,IF(B46="D",SUP_OPEX!$E$23,SUP_OPEX!$F$23))</f>
        <v>4145</v>
      </c>
      <c r="E46" s="77">
        <f>D46*SUP_CONTROL!$C$19</f>
        <v>4145</v>
      </c>
      <c r="F46" s="77">
        <f t="shared" si="1"/>
        <v>96701.936999999976</v>
      </c>
      <c r="G46" s="73">
        <f>IFERROR(MATCH(27,CAPA3_EXPANSION!$D$25:$DS$25,0),0)</f>
        <v>62</v>
      </c>
      <c r="H46" s="88">
        <f>COUNTIF($B$20:B46,"V")</f>
        <v>20</v>
      </c>
      <c r="I46" s="88">
        <f>COUNTIF($B$20:B46,"D")</f>
        <v>6</v>
      </c>
      <c r="J46" s="88">
        <f>COUNTIF($B$20:B46,"F")</f>
        <v>1</v>
      </c>
    </row>
    <row r="47" spans="1:10" ht="15" customHeight="1" x14ac:dyDescent="0.2">
      <c r="A47" s="88">
        <v>38</v>
      </c>
      <c r="B47" s="102" t="s">
        <v>983</v>
      </c>
      <c r="C47" s="77">
        <f>IF(B47="V",SUP_CAPEX_VENTANA!$H$42,IF(B47="D",SUP_CAPEX_DINEIN!$H$43,SUP_CAPEX_FLAGSHIP!$H$55))</f>
        <v>92556.936999999976</v>
      </c>
      <c r="D47" s="77">
        <f>IF(B47="V",SUP_OPEX!$D$23,IF(B47="D",SUP_OPEX!$E$23,SUP_OPEX!$F$23))</f>
        <v>4145</v>
      </c>
      <c r="E47" s="77">
        <f>D47*SUP_CONTROL!$C$19</f>
        <v>4145</v>
      </c>
      <c r="F47" s="77">
        <f t="shared" si="1"/>
        <v>96701.936999999976</v>
      </c>
      <c r="G47" s="73">
        <f>IFERROR(MATCH(28,CAPA3_EXPANSION!$D$25:$DS$25,0),0)</f>
        <v>63</v>
      </c>
      <c r="H47" s="88">
        <f>COUNTIF($B$20:B47,"V")</f>
        <v>21</v>
      </c>
      <c r="I47" s="88">
        <f>COUNTIF($B$20:B47,"D")</f>
        <v>6</v>
      </c>
      <c r="J47" s="88">
        <f>COUNTIF($B$20:B47,"F")</f>
        <v>1</v>
      </c>
    </row>
    <row r="48" spans="1:10" ht="15" customHeight="1" x14ac:dyDescent="0.2">
      <c r="A48" s="88">
        <v>39</v>
      </c>
      <c r="B48" s="102" t="s">
        <v>984</v>
      </c>
      <c r="C48" s="77">
        <f>IF(B48="V",SUP_CAPEX_VENTANA!$H$42,IF(B48="D",SUP_CAPEX_DINEIN!$H$43,SUP_CAPEX_FLAGSHIP!$H$55))</f>
        <v>138911.02225000001</v>
      </c>
      <c r="D48" s="77">
        <f>IF(B48="V",SUP_OPEX!$D$23,IF(B48="D",SUP_OPEX!$E$23,SUP_OPEX!$F$23))</f>
        <v>5715</v>
      </c>
      <c r="E48" s="77">
        <f>D48*SUP_CONTROL!$C$19</f>
        <v>5715</v>
      </c>
      <c r="F48" s="77">
        <f t="shared" si="1"/>
        <v>144626.02225000001</v>
      </c>
      <c r="G48" s="73">
        <f>IFERROR(MATCH(29,CAPA3_EXPANSION!$D$25:$DS$25,0),0)</f>
        <v>64</v>
      </c>
      <c r="H48" s="88">
        <f>COUNTIF($B$20:B48,"V")</f>
        <v>21</v>
      </c>
      <c r="I48" s="88">
        <f>COUNTIF($B$20:B48,"D")</f>
        <v>7</v>
      </c>
      <c r="J48" s="88">
        <f>COUNTIF($B$20:B48,"F")</f>
        <v>1</v>
      </c>
    </row>
    <row r="49" spans="1:10" ht="15" customHeight="1" x14ac:dyDescent="0.2">
      <c r="A49" s="88">
        <v>40</v>
      </c>
      <c r="B49" s="102" t="s">
        <v>985</v>
      </c>
      <c r="C49" s="176">
        <f>IF(B49="V",SUP_CAPEX_VENTANA!$H$42,IF(B49="D",SUP_CAPEX_DINEIN!$H$43,SUP_CAPEX_FLAGSHIP!$H$55))</f>
        <v>485628.42074999999</v>
      </c>
      <c r="D49" s="77">
        <f>IF(B49="V",SUP_OPEX!$D$23,IF(B49="D",SUP_OPEX!$E$23,SUP_OPEX!$F$23))</f>
        <v>18645</v>
      </c>
      <c r="E49" s="77">
        <f>D49*SUP_CONTROL!$C$19</f>
        <v>18645</v>
      </c>
      <c r="F49" s="77">
        <f t="shared" si="1"/>
        <v>504273.42074999999</v>
      </c>
      <c r="G49" s="73">
        <f>IFERROR(MATCH(30,CAPA3_EXPANSION!$D$25:$DS$25,0),0)</f>
        <v>65</v>
      </c>
      <c r="H49" s="88">
        <f>COUNTIF($B$20:B49,"V")</f>
        <v>21</v>
      </c>
      <c r="I49" s="88">
        <f>COUNTIF($B$20:B49,"D")</f>
        <v>7</v>
      </c>
      <c r="J49" s="88">
        <f>COUNTIF($B$20:B49,"F")</f>
        <v>2</v>
      </c>
    </row>
    <row r="50" spans="1:10" ht="15" customHeight="1" x14ac:dyDescent="0.2">
      <c r="A50" s="88">
        <v>41</v>
      </c>
      <c r="B50" s="102" t="s">
        <v>983</v>
      </c>
      <c r="C50" s="77">
        <f>IF(B50="V",SUP_CAPEX_VENTANA!$H$42,IF(B50="D",SUP_CAPEX_DINEIN!$H$43,SUP_CAPEX_FLAGSHIP!$H$55))</f>
        <v>92556.936999999976</v>
      </c>
      <c r="D50" s="77">
        <f>IF(B50="V",SUP_OPEX!$D$23,IF(B50="D",SUP_OPEX!$E$23,SUP_OPEX!$F$23))</f>
        <v>4145</v>
      </c>
      <c r="E50" s="77">
        <f>D50*SUP_CONTROL!$C$19</f>
        <v>4145</v>
      </c>
      <c r="F50" s="77">
        <f t="shared" si="1"/>
        <v>96701.936999999976</v>
      </c>
      <c r="G50" s="73">
        <f>IFERROR(MATCH(31,CAPA3_EXPANSION!$D$25:$DS$25,0),0)</f>
        <v>66</v>
      </c>
      <c r="H50" s="88">
        <f>COUNTIF($B$20:B50,"V")</f>
        <v>22</v>
      </c>
      <c r="I50" s="88">
        <f>COUNTIF($B$20:B50,"D")</f>
        <v>7</v>
      </c>
      <c r="J50" s="88">
        <f>COUNTIF($B$20:B50,"F")</f>
        <v>2</v>
      </c>
    </row>
    <row r="51" spans="1:10" ht="15" customHeight="1" x14ac:dyDescent="0.2">
      <c r="A51" s="88">
        <v>42</v>
      </c>
      <c r="B51" s="102" t="s">
        <v>983</v>
      </c>
      <c r="C51" s="77">
        <f>IF(B51="V",SUP_CAPEX_VENTANA!$H$42,IF(B51="D",SUP_CAPEX_DINEIN!$H$43,SUP_CAPEX_FLAGSHIP!$H$55))</f>
        <v>92556.936999999976</v>
      </c>
      <c r="D51" s="77">
        <f>IF(B51="V",SUP_OPEX!$D$23,IF(B51="D",SUP_OPEX!$E$23,SUP_OPEX!$F$23))</f>
        <v>4145</v>
      </c>
      <c r="E51" s="77">
        <f>D51*SUP_CONTROL!$C$19</f>
        <v>4145</v>
      </c>
      <c r="F51" s="77">
        <f t="shared" si="1"/>
        <v>96701.936999999976</v>
      </c>
      <c r="G51" s="73">
        <f>IFERROR(MATCH(32,CAPA3_EXPANSION!$D$25:$DS$25,0),0)</f>
        <v>67</v>
      </c>
      <c r="H51" s="88">
        <f>COUNTIF($B$20:B51,"V")</f>
        <v>23</v>
      </c>
      <c r="I51" s="88">
        <f>COUNTIF($B$20:B51,"D")</f>
        <v>7</v>
      </c>
      <c r="J51" s="88">
        <f>COUNTIF($B$20:B51,"F")</f>
        <v>2</v>
      </c>
    </row>
    <row r="52" spans="1:10" ht="15" customHeight="1" x14ac:dyDescent="0.2">
      <c r="A52" s="88">
        <v>43</v>
      </c>
      <c r="B52" s="102" t="s">
        <v>983</v>
      </c>
      <c r="C52" s="77">
        <f>IF(B52="V",SUP_CAPEX_VENTANA!$H$42,IF(B52="D",SUP_CAPEX_DINEIN!$H$43,SUP_CAPEX_FLAGSHIP!$H$55))</f>
        <v>92556.936999999976</v>
      </c>
      <c r="D52" s="77">
        <f>IF(B52="V",SUP_OPEX!$D$23,IF(B52="D",SUP_OPEX!$E$23,SUP_OPEX!$F$23))</f>
        <v>4145</v>
      </c>
      <c r="E52" s="77">
        <f>D52*SUP_CONTROL!$C$19</f>
        <v>4145</v>
      </c>
      <c r="F52" s="77">
        <f t="shared" si="1"/>
        <v>96701.936999999976</v>
      </c>
      <c r="G52" s="73">
        <f>IFERROR(MATCH(33,CAPA3_EXPANSION!$D$25:$DS$25,0),0)</f>
        <v>68</v>
      </c>
      <c r="H52" s="88">
        <f>COUNTIF($B$20:B52,"V")</f>
        <v>24</v>
      </c>
      <c r="I52" s="88">
        <f>COUNTIF($B$20:B52,"D")</f>
        <v>7</v>
      </c>
      <c r="J52" s="88">
        <f>COUNTIF($B$20:B52,"F")</f>
        <v>2</v>
      </c>
    </row>
    <row r="53" spans="1:10" ht="15" customHeight="1" x14ac:dyDescent="0.2">
      <c r="A53" s="88">
        <v>44</v>
      </c>
      <c r="B53" s="102" t="s">
        <v>984</v>
      </c>
      <c r="C53" s="77">
        <f>IF(B53="V",SUP_CAPEX_VENTANA!$H$42,IF(B53="D",SUP_CAPEX_DINEIN!$H$43,SUP_CAPEX_FLAGSHIP!$H$55))</f>
        <v>138911.02225000001</v>
      </c>
      <c r="D53" s="77">
        <f>IF(B53="V",SUP_OPEX!$D$23,IF(B53="D",SUP_OPEX!$E$23,SUP_OPEX!$F$23))</f>
        <v>5715</v>
      </c>
      <c r="E53" s="77">
        <f>D53*SUP_CONTROL!$C$19</f>
        <v>5715</v>
      </c>
      <c r="F53" s="77">
        <f t="shared" si="1"/>
        <v>144626.02225000001</v>
      </c>
      <c r="G53" s="73">
        <f>IFERROR(MATCH(34,CAPA3_EXPANSION!$D$25:$DS$25,0),0)</f>
        <v>69</v>
      </c>
      <c r="H53" s="88">
        <f>COUNTIF($B$20:B53,"V")</f>
        <v>24</v>
      </c>
      <c r="I53" s="88">
        <f>COUNTIF($B$20:B53,"D")</f>
        <v>8</v>
      </c>
      <c r="J53" s="88">
        <f>COUNTIF($B$20:B53,"F")</f>
        <v>2</v>
      </c>
    </row>
    <row r="54" spans="1:10" ht="15" customHeight="1" x14ac:dyDescent="0.2">
      <c r="A54" s="88">
        <v>45</v>
      </c>
      <c r="B54" s="102" t="s">
        <v>983</v>
      </c>
      <c r="C54" s="77">
        <f>IF(B54="V",SUP_CAPEX_VENTANA!$H$42,IF(B54="D",SUP_CAPEX_DINEIN!$H$43,SUP_CAPEX_FLAGSHIP!$H$55))</f>
        <v>92556.936999999976</v>
      </c>
      <c r="D54" s="77">
        <f>IF(B54="V",SUP_OPEX!$D$23,IF(B54="D",SUP_OPEX!$E$23,SUP_OPEX!$F$23))</f>
        <v>4145</v>
      </c>
      <c r="E54" s="77">
        <f>D54*SUP_CONTROL!$C$19</f>
        <v>4145</v>
      </c>
      <c r="F54" s="77">
        <f t="shared" si="1"/>
        <v>96701.936999999976</v>
      </c>
      <c r="G54" s="73">
        <f>IFERROR(MATCH(35,CAPA3_EXPANSION!$D$25:$DS$25,0),0)</f>
        <v>70</v>
      </c>
      <c r="H54" s="88">
        <f>COUNTIF($B$20:B54,"V")</f>
        <v>25</v>
      </c>
      <c r="I54" s="88">
        <f>COUNTIF($B$20:B54,"D")</f>
        <v>8</v>
      </c>
      <c r="J54" s="88">
        <f>COUNTIF($B$20:B54,"F")</f>
        <v>2</v>
      </c>
    </row>
    <row r="55" spans="1:10" ht="15" customHeight="1" x14ac:dyDescent="0.2">
      <c r="A55" s="88">
        <v>46</v>
      </c>
      <c r="B55" s="102" t="s">
        <v>983</v>
      </c>
      <c r="C55" s="77">
        <f>IF(B55="V",SUP_CAPEX_VENTANA!$H$42,IF(B55="D",SUP_CAPEX_DINEIN!$H$43,SUP_CAPEX_FLAGSHIP!$H$55))</f>
        <v>92556.936999999976</v>
      </c>
      <c r="D55" s="77">
        <f>IF(B55="V",SUP_OPEX!$D$23,IF(B55="D",SUP_OPEX!$E$23,SUP_OPEX!$F$23))</f>
        <v>4145</v>
      </c>
      <c r="E55" s="77">
        <f>D55*SUP_CONTROL!$C$19</f>
        <v>4145</v>
      </c>
      <c r="F55" s="77">
        <f t="shared" si="1"/>
        <v>96701.936999999976</v>
      </c>
      <c r="G55" s="73">
        <f>IFERROR(MATCH(36,CAPA3_EXPANSION!$D$25:$DS$25,0),0)</f>
        <v>71</v>
      </c>
      <c r="H55" s="88">
        <f>COUNTIF($B$20:B55,"V")</f>
        <v>26</v>
      </c>
      <c r="I55" s="88">
        <f>COUNTIF($B$20:B55,"D")</f>
        <v>8</v>
      </c>
      <c r="J55" s="88">
        <f>COUNTIF($B$20:B55,"F")</f>
        <v>2</v>
      </c>
    </row>
    <row r="56" spans="1:10" ht="15" customHeight="1" x14ac:dyDescent="0.2">
      <c r="A56" s="88">
        <v>47</v>
      </c>
      <c r="B56" s="102" t="s">
        <v>983</v>
      </c>
      <c r="C56" s="77">
        <f>IF(B56="V",SUP_CAPEX_VENTANA!$H$42,IF(B56="D",SUP_CAPEX_DINEIN!$H$43,SUP_CAPEX_FLAGSHIP!$H$55))</f>
        <v>92556.936999999976</v>
      </c>
      <c r="D56" s="77">
        <f>IF(B56="V",SUP_OPEX!$D$23,IF(B56="D",SUP_OPEX!$E$23,SUP_OPEX!$F$23))</f>
        <v>4145</v>
      </c>
      <c r="E56" s="77">
        <f>D56*SUP_CONTROL!$C$19</f>
        <v>4145</v>
      </c>
      <c r="F56" s="77">
        <f t="shared" si="1"/>
        <v>96701.936999999976</v>
      </c>
      <c r="G56" s="73">
        <f>IFERROR(MATCH(37,CAPA3_EXPANSION!$D$25:$DS$25,0),0)</f>
        <v>72</v>
      </c>
      <c r="H56" s="88">
        <f>COUNTIF($B$20:B56,"V")</f>
        <v>27</v>
      </c>
      <c r="I56" s="88">
        <f>COUNTIF($B$20:B56,"D")</f>
        <v>8</v>
      </c>
      <c r="J56" s="88">
        <f>COUNTIF($B$20:B56,"F")</f>
        <v>2</v>
      </c>
    </row>
    <row r="57" spans="1:10" ht="15" customHeight="1" x14ac:dyDescent="0.2">
      <c r="A57" s="88">
        <v>48</v>
      </c>
      <c r="B57" s="102" t="s">
        <v>984</v>
      </c>
      <c r="C57" s="77">
        <f>IF(B57="V",SUP_CAPEX_VENTANA!$H$42,IF(B57="D",SUP_CAPEX_DINEIN!$H$43,SUP_CAPEX_FLAGSHIP!$H$55))</f>
        <v>138911.02225000001</v>
      </c>
      <c r="D57" s="77">
        <f>IF(B57="V",SUP_OPEX!$D$23,IF(B57="D",SUP_OPEX!$E$23,SUP_OPEX!$F$23))</f>
        <v>5715</v>
      </c>
      <c r="E57" s="77">
        <f>D57*SUP_CONTROL!$C$19</f>
        <v>5715</v>
      </c>
      <c r="F57" s="77">
        <f t="shared" si="1"/>
        <v>144626.02225000001</v>
      </c>
      <c r="G57" s="73">
        <f>IFERROR(MATCH(38,CAPA3_EXPANSION!$D$25:$DS$25,0),0)</f>
        <v>73</v>
      </c>
      <c r="H57" s="88">
        <f>COUNTIF($B$20:B57,"V")</f>
        <v>27</v>
      </c>
      <c r="I57" s="88">
        <f>COUNTIF($B$20:B57,"D")</f>
        <v>9</v>
      </c>
      <c r="J57" s="88">
        <f>COUNTIF($B$20:B57,"F")</f>
        <v>2</v>
      </c>
    </row>
    <row r="58" spans="1:10" ht="15" customHeight="1" x14ac:dyDescent="0.2">
      <c r="A58" s="88">
        <v>49</v>
      </c>
      <c r="B58" s="102" t="s">
        <v>983</v>
      </c>
      <c r="C58" s="77">
        <f>IF(B58="V",SUP_CAPEX_VENTANA!$H$42,IF(B58="D",SUP_CAPEX_DINEIN!$H$43,SUP_CAPEX_FLAGSHIP!$H$55))</f>
        <v>92556.936999999976</v>
      </c>
      <c r="D58" s="77">
        <f>IF(B58="V",SUP_OPEX!$D$23,IF(B58="D",SUP_OPEX!$E$23,SUP_OPEX!$F$23))</f>
        <v>4145</v>
      </c>
      <c r="E58" s="77">
        <f>D58*SUP_CONTROL!$C$19</f>
        <v>4145</v>
      </c>
      <c r="F58" s="77">
        <f t="shared" si="1"/>
        <v>96701.936999999976</v>
      </c>
      <c r="G58" s="73">
        <f>IFERROR(MATCH(39,CAPA3_EXPANSION!$D$25:$DS$25,0),0)</f>
        <v>74</v>
      </c>
      <c r="H58" s="88">
        <f>COUNTIF($B$20:B58,"V")</f>
        <v>28</v>
      </c>
      <c r="I58" s="88">
        <f>COUNTIF($B$20:B58,"D")</f>
        <v>9</v>
      </c>
      <c r="J58" s="88">
        <f>COUNTIF($B$20:B58,"F")</f>
        <v>2</v>
      </c>
    </row>
    <row r="59" spans="1:10" ht="15" customHeight="1" x14ac:dyDescent="0.2">
      <c r="A59" s="88">
        <v>50</v>
      </c>
      <c r="B59" s="102" t="s">
        <v>983</v>
      </c>
      <c r="C59" s="77">
        <f>IF(B59="V",SUP_CAPEX_VENTANA!$H$42,IF(B59="D",SUP_CAPEX_DINEIN!$H$43,SUP_CAPEX_FLAGSHIP!$H$55))</f>
        <v>92556.936999999976</v>
      </c>
      <c r="D59" s="77">
        <f>IF(B59="V",SUP_OPEX!$D$23,IF(B59="D",SUP_OPEX!$E$23,SUP_OPEX!$F$23))</f>
        <v>4145</v>
      </c>
      <c r="E59" s="77">
        <f>D59*SUP_CONTROL!$C$19</f>
        <v>4145</v>
      </c>
      <c r="F59" s="77">
        <f t="shared" si="1"/>
        <v>96701.936999999976</v>
      </c>
      <c r="G59" s="73">
        <f>IFERROR(MATCH(40,CAPA3_EXPANSION!$D$25:$DS$25,0),0)</f>
        <v>75</v>
      </c>
      <c r="H59" s="88">
        <f>COUNTIF($B$20:B59,"V")</f>
        <v>29</v>
      </c>
      <c r="I59" s="88">
        <f>COUNTIF($B$20:B59,"D")</f>
        <v>9</v>
      </c>
      <c r="J59" s="88">
        <f>COUNTIF($B$20:B59,"F")</f>
        <v>2</v>
      </c>
    </row>
    <row r="61" spans="1:10" ht="15" customHeight="1" x14ac:dyDescent="0.2">
      <c r="B61" s="23" t="s">
        <v>986</v>
      </c>
    </row>
    <row r="63" spans="1:10" ht="15" customHeight="1" x14ac:dyDescent="0.2">
      <c r="A63" s="25" t="s">
        <v>987</v>
      </c>
      <c r="B63" s="26"/>
      <c r="C63" s="26"/>
      <c r="D63" s="26"/>
      <c r="E63" s="26"/>
      <c r="F63" s="26"/>
      <c r="G63" s="26"/>
      <c r="H63" s="26"/>
      <c r="I63" s="26"/>
    </row>
    <row r="64" spans="1:10" ht="15" customHeight="1" x14ac:dyDescent="0.2">
      <c r="B64" s="20" t="s">
        <v>988</v>
      </c>
      <c r="C64" s="20" t="s">
        <v>989</v>
      </c>
      <c r="D64" s="20" t="s">
        <v>990</v>
      </c>
      <c r="E64" s="20" t="s">
        <v>991</v>
      </c>
      <c r="F64" s="20" t="s">
        <v>992</v>
      </c>
      <c r="G64" s="20" t="s">
        <v>993</v>
      </c>
    </row>
    <row r="65" spans="2:7" ht="15" customHeight="1" x14ac:dyDescent="0.2">
      <c r="B65" s="37" t="s">
        <v>994</v>
      </c>
      <c r="C65" s="98">
        <v>0.5</v>
      </c>
      <c r="D65" s="89">
        <f>1-(1-$K$10)*C65</f>
        <v>0.91999999999999993</v>
      </c>
      <c r="E65" s="88">
        <f>SUP_CONTROL!$C$8*D65*(SUP_VOLUMEN!$C$43+SUP_VOLUMEN!$C$44*(1+SUP_VOLUMEN!$C$26)+SUP_CONTROL!$C$12*(1+SUP_VOLUMEN!$C$27)+SUMPRODUCT((B20:B59="V")*1)+SUMPRODUCT((B20:B59="D")*1)*(1+SUP_VOLUMEN!$C$26)+SUMPRODUCT((B20:B59="F")*1)*(1+SUP_VOLUMEN!$C$27))</f>
        <v>172228.78399999999</v>
      </c>
      <c r="F65" s="77">
        <f>E65*SUP_CONTROL!$C$26*12</f>
        <v>26821976.584813066</v>
      </c>
      <c r="G65" s="77">
        <f>E65*SUP_CONTROL!$C$27*12</f>
        <v>12536557.614339739</v>
      </c>
    </row>
    <row r="66" spans="2:7" ht="15" customHeight="1" x14ac:dyDescent="0.2">
      <c r="B66" s="37" t="s">
        <v>995</v>
      </c>
      <c r="C66" s="98">
        <v>1</v>
      </c>
      <c r="D66" s="89">
        <f>1-(1-$K$10)*C66</f>
        <v>0.84</v>
      </c>
      <c r="E66" s="88">
        <f>SUP_CONTROL!$C$8*D66*(SUP_VOLUMEN!$C$43+SUP_VOLUMEN!$C$44*(1+SUP_VOLUMEN!$C$26)+SUP_CONTROL!$C$12*(1+SUP_VOLUMEN!$C$27)+SUMPRODUCT((B20:B59="V")*1)+SUMPRODUCT((B20:B59="D")*1)*(1+SUP_VOLUMEN!$C$26)+SUMPRODUCT((B20:B59="F")*1)*(1+SUP_VOLUMEN!$C$27))</f>
        <v>157252.36799999999</v>
      </c>
      <c r="F66" s="77">
        <f>E66*SUP_CONTROL!$C$26*12</f>
        <v>24489630.79482932</v>
      </c>
      <c r="G66" s="77">
        <f>E66*SUP_CONTROL!$C$27*12</f>
        <v>11446422.169614544</v>
      </c>
    </row>
    <row r="67" spans="2:7" ht="15" customHeight="1" x14ac:dyDescent="0.2">
      <c r="B67" s="37" t="s">
        <v>996</v>
      </c>
      <c r="C67" s="98">
        <v>1.5</v>
      </c>
      <c r="D67" s="89">
        <f>1-(1-$K$10)*C67</f>
        <v>0.76</v>
      </c>
      <c r="E67" s="88">
        <f>SUP_CONTROL!$C$8*D67*(SUP_VOLUMEN!$C$43+SUP_VOLUMEN!$C$44*(1+SUP_VOLUMEN!$C$26)+SUP_CONTROL!$C$12*(1+SUP_VOLUMEN!$C$27)+SUMPRODUCT((B20:B59="V")*1)+SUMPRODUCT((B20:B59="D")*1)*(1+SUP_VOLUMEN!$C$26)+SUMPRODUCT((B20:B59="F")*1)*(1+SUP_VOLUMEN!$C$27))</f>
        <v>142275.95200000002</v>
      </c>
      <c r="F67" s="77">
        <f>E67*SUP_CONTROL!$C$26*12</f>
        <v>22157285.004845578</v>
      </c>
      <c r="G67" s="77">
        <f>E67*SUP_CONTROL!$C$27*12</f>
        <v>10356286.724889351</v>
      </c>
    </row>
    <row r="69" spans="2:7" ht="15" customHeight="1" x14ac:dyDescent="0.2">
      <c r="B69" s="23" t="s">
        <v>997</v>
      </c>
    </row>
  </sheetData>
  <mergeCells count="3">
    <mergeCell ref="B14:K14"/>
    <mergeCell ref="B15:K15"/>
    <mergeCell ref="B16:K16"/>
  </mergeCells>
  <pageMargins left="0.75" right="0.75" top="1" bottom="1" header="0.511811023622047" footer="0.511811023622047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7030A0"/>
  </sheetPr>
  <dimension ref="A1:DS68"/>
  <sheetViews>
    <sheetView zoomScaleNormal="100" workbookViewId="0"/>
  </sheetViews>
  <sheetFormatPr baseColWidth="10" defaultColWidth="8.6640625" defaultRowHeight="15" x14ac:dyDescent="0.2"/>
  <cols>
    <col min="1" max="1" width="4" customWidth="1"/>
    <col min="2" max="2" width="62" customWidth="1"/>
    <col min="4" max="123" width="10" customWidth="1"/>
  </cols>
  <sheetData>
    <row r="1" spans="1:123" ht="15" customHeight="1" x14ac:dyDescent="0.2">
      <c r="A1" s="24" t="s">
        <v>998</v>
      </c>
      <c r="B1" s="14"/>
      <c r="C1" s="14"/>
      <c r="D1" s="14"/>
      <c r="E1" s="14"/>
      <c r="F1" s="14"/>
      <c r="G1" s="14"/>
      <c r="H1" s="14"/>
      <c r="I1" s="14"/>
    </row>
    <row r="2" spans="1:123" ht="15" customHeight="1" x14ac:dyDescent="0.2">
      <c r="A2" s="23" t="s">
        <v>999</v>
      </c>
    </row>
    <row r="3" spans="1:123" ht="15" customHeight="1" x14ac:dyDescent="0.2">
      <c r="A3" s="23" t="s">
        <v>89</v>
      </c>
    </row>
    <row r="4" spans="1:123" ht="15" customHeight="1" x14ac:dyDescent="0.2">
      <c r="B4" s="20" t="s">
        <v>632</v>
      </c>
      <c r="D4" s="87">
        <v>1</v>
      </c>
      <c r="E4" s="87">
        <v>2</v>
      </c>
      <c r="F4" s="87">
        <v>3</v>
      </c>
      <c r="G4" s="87">
        <v>4</v>
      </c>
      <c r="H4" s="87">
        <v>5</v>
      </c>
      <c r="I4" s="87">
        <v>6</v>
      </c>
      <c r="J4" s="87">
        <v>7</v>
      </c>
      <c r="K4" s="87">
        <v>8</v>
      </c>
      <c r="L4" s="87">
        <v>9</v>
      </c>
      <c r="M4" s="87">
        <v>10</v>
      </c>
      <c r="N4" s="87">
        <v>11</v>
      </c>
      <c r="O4" s="87">
        <v>12</v>
      </c>
      <c r="P4" s="87">
        <v>13</v>
      </c>
      <c r="Q4" s="87">
        <v>14</v>
      </c>
      <c r="R4" s="87">
        <v>15</v>
      </c>
      <c r="S4" s="87">
        <v>16</v>
      </c>
      <c r="T4" s="87">
        <v>17</v>
      </c>
      <c r="U4" s="87">
        <v>18</v>
      </c>
      <c r="V4" s="87">
        <v>19</v>
      </c>
      <c r="W4" s="87">
        <v>20</v>
      </c>
      <c r="X4" s="87">
        <v>21</v>
      </c>
      <c r="Y4" s="87">
        <v>22</v>
      </c>
      <c r="Z4" s="87">
        <v>23</v>
      </c>
      <c r="AA4" s="87">
        <v>24</v>
      </c>
      <c r="AB4" s="87">
        <v>25</v>
      </c>
      <c r="AC4" s="87">
        <v>26</v>
      </c>
      <c r="AD4" s="87">
        <v>27</v>
      </c>
      <c r="AE4" s="87">
        <v>28</v>
      </c>
      <c r="AF4" s="87">
        <v>29</v>
      </c>
      <c r="AG4" s="87">
        <v>30</v>
      </c>
      <c r="AH4" s="87">
        <v>31</v>
      </c>
      <c r="AI4" s="87">
        <v>32</v>
      </c>
      <c r="AJ4" s="87">
        <v>33</v>
      </c>
      <c r="AK4" s="87">
        <v>34</v>
      </c>
      <c r="AL4" s="87">
        <v>35</v>
      </c>
      <c r="AM4" s="87">
        <v>36</v>
      </c>
      <c r="AN4" s="87">
        <v>37</v>
      </c>
      <c r="AO4" s="87">
        <v>38</v>
      </c>
      <c r="AP4" s="87">
        <v>39</v>
      </c>
      <c r="AQ4" s="87">
        <v>40</v>
      </c>
      <c r="AR4" s="87">
        <v>41</v>
      </c>
      <c r="AS4" s="87">
        <v>42</v>
      </c>
      <c r="AT4" s="87">
        <v>43</v>
      </c>
      <c r="AU4" s="87">
        <v>44</v>
      </c>
      <c r="AV4" s="87">
        <v>45</v>
      </c>
      <c r="AW4" s="87">
        <v>46</v>
      </c>
      <c r="AX4" s="87">
        <v>47</v>
      </c>
      <c r="AY4" s="87">
        <v>48</v>
      </c>
      <c r="AZ4" s="87">
        <v>49</v>
      </c>
      <c r="BA4" s="87">
        <v>50</v>
      </c>
      <c r="BB4" s="87">
        <v>51</v>
      </c>
      <c r="BC4" s="87">
        <v>52</v>
      </c>
      <c r="BD4" s="87">
        <v>53</v>
      </c>
      <c r="BE4" s="87">
        <v>54</v>
      </c>
      <c r="BF4" s="87">
        <v>55</v>
      </c>
      <c r="BG4" s="87">
        <v>56</v>
      </c>
      <c r="BH4" s="87">
        <v>57</v>
      </c>
      <c r="BI4" s="87">
        <v>58</v>
      </c>
      <c r="BJ4" s="87">
        <v>59</v>
      </c>
      <c r="BK4" s="87">
        <v>60</v>
      </c>
      <c r="BL4" s="87">
        <v>61</v>
      </c>
      <c r="BM4" s="87">
        <v>62</v>
      </c>
      <c r="BN4" s="87">
        <v>63</v>
      </c>
      <c r="BO4" s="87">
        <v>64</v>
      </c>
      <c r="BP4" s="87">
        <v>65</v>
      </c>
      <c r="BQ4" s="87">
        <v>66</v>
      </c>
      <c r="BR4" s="87">
        <v>67</v>
      </c>
      <c r="BS4" s="87">
        <v>68</v>
      </c>
      <c r="BT4" s="87">
        <v>69</v>
      </c>
      <c r="BU4" s="87">
        <v>70</v>
      </c>
      <c r="BV4" s="87">
        <v>71</v>
      </c>
      <c r="BW4" s="87">
        <v>72</v>
      </c>
      <c r="BX4" s="87">
        <v>73</v>
      </c>
      <c r="BY4" s="87">
        <v>74</v>
      </c>
      <c r="BZ4" s="87">
        <v>75</v>
      </c>
      <c r="CA4" s="87">
        <v>76</v>
      </c>
      <c r="CB4" s="87">
        <v>77</v>
      </c>
      <c r="CC4" s="87">
        <v>78</v>
      </c>
      <c r="CD4" s="87">
        <v>79</v>
      </c>
      <c r="CE4" s="87">
        <v>80</v>
      </c>
      <c r="CF4" s="87">
        <v>81</v>
      </c>
      <c r="CG4" s="87">
        <v>82</v>
      </c>
      <c r="CH4" s="87">
        <v>83</v>
      </c>
      <c r="CI4" s="87">
        <v>84</v>
      </c>
      <c r="CJ4" s="87">
        <v>85</v>
      </c>
      <c r="CK4" s="87">
        <v>86</v>
      </c>
      <c r="CL4" s="87">
        <v>87</v>
      </c>
      <c r="CM4" s="87">
        <v>88</v>
      </c>
      <c r="CN4" s="87">
        <v>89</v>
      </c>
      <c r="CO4" s="87">
        <v>90</v>
      </c>
      <c r="CP4" s="87">
        <v>91</v>
      </c>
      <c r="CQ4" s="87">
        <v>92</v>
      </c>
      <c r="CR4" s="87">
        <v>93</v>
      </c>
      <c r="CS4" s="87">
        <v>94</v>
      </c>
      <c r="CT4" s="87">
        <v>95</v>
      </c>
      <c r="CU4" s="87">
        <v>96</v>
      </c>
      <c r="CV4" s="87">
        <v>97</v>
      </c>
      <c r="CW4" s="87">
        <v>98</v>
      </c>
      <c r="CX4" s="87">
        <v>99</v>
      </c>
      <c r="CY4" s="87">
        <v>100</v>
      </c>
      <c r="CZ4" s="87">
        <v>101</v>
      </c>
      <c r="DA4" s="87">
        <v>102</v>
      </c>
      <c r="DB4" s="87">
        <v>103</v>
      </c>
      <c r="DC4" s="87">
        <v>104</v>
      </c>
      <c r="DD4" s="87">
        <v>105</v>
      </c>
      <c r="DE4" s="87">
        <v>106</v>
      </c>
      <c r="DF4" s="87">
        <v>107</v>
      </c>
      <c r="DG4" s="87">
        <v>108</v>
      </c>
      <c r="DH4" s="87">
        <v>109</v>
      </c>
      <c r="DI4" s="87">
        <v>110</v>
      </c>
      <c r="DJ4" s="87">
        <v>111</v>
      </c>
      <c r="DK4" s="87">
        <v>112</v>
      </c>
      <c r="DL4" s="87">
        <v>113</v>
      </c>
      <c r="DM4" s="87">
        <v>114</v>
      </c>
      <c r="DN4" s="87">
        <v>115</v>
      </c>
      <c r="DO4" s="87">
        <v>116</v>
      </c>
      <c r="DP4" s="87">
        <v>117</v>
      </c>
      <c r="DQ4" s="87">
        <v>118</v>
      </c>
      <c r="DR4" s="87">
        <v>119</v>
      </c>
      <c r="DS4" s="87">
        <v>120</v>
      </c>
    </row>
    <row r="6" spans="1:123" ht="15" customHeight="1" x14ac:dyDescent="0.2">
      <c r="A6" s="25" t="s">
        <v>1000</v>
      </c>
      <c r="B6" s="26"/>
      <c r="C6" s="26"/>
    </row>
    <row r="7" spans="1:123" ht="15" customHeight="1" x14ac:dyDescent="0.2">
      <c r="B7" s="37" t="s">
        <v>1001</v>
      </c>
      <c r="D7" s="77">
        <f>SUP_CONTROL!$C$11*CAPA1_PILOTO!D32</f>
        <v>0</v>
      </c>
      <c r="E7" s="77">
        <f>SUP_CONTROL!$C$11*CAPA1_PILOTO!E32</f>
        <v>-15714.999999999998</v>
      </c>
      <c r="F7" s="77">
        <f>SUP_CONTROL!$C$11*CAPA1_PILOTO!F32</f>
        <v>-15714.999999999998</v>
      </c>
      <c r="G7" s="77">
        <f>SUP_CONTROL!$C$11*CAPA1_PILOTO!G32</f>
        <v>-12922.749499036378</v>
      </c>
      <c r="H7" s="77">
        <f>SUP_CONTROL!$C$11*CAPA1_PILOTO!H32</f>
        <v>5534.7285646337368</v>
      </c>
      <c r="I7" s="77">
        <f>SUP_CONTROL!$C$11*CAPA1_PILOTO!I32</f>
        <v>22386.91392405441</v>
      </c>
      <c r="J7" s="77">
        <f>SUP_CONTROL!$C$11*CAPA1_PILOTO!J32</f>
        <v>33729.789836990494</v>
      </c>
      <c r="K7" s="77">
        <f>SUP_CONTROL!$C$11*CAPA1_PILOTO!K32</f>
        <v>46096.136047573047</v>
      </c>
      <c r="L7" s="77">
        <f>SUP_CONTROL!$C$11*CAPA1_PILOTO!L32</f>
        <v>52032.83278784815</v>
      </c>
      <c r="M7" s="77">
        <f>SUP_CONTROL!$C$11*CAPA1_PILOTO!M32</f>
        <v>55182.91677248395</v>
      </c>
      <c r="N7" s="77">
        <f>SUP_CONTROL!$C$11*CAPA1_PILOTO!N32</f>
        <v>55182.91677248395</v>
      </c>
      <c r="O7" s="77">
        <f>SUP_CONTROL!$C$11*CAPA1_PILOTO!O32</f>
        <v>55182.91677248395</v>
      </c>
      <c r="P7" s="77">
        <f>SUP_CONTROL!$C$11*CAPA1_PILOTO!P32</f>
        <v>58326.444877464273</v>
      </c>
      <c r="Q7" s="77">
        <f>SUP_CONTROL!$C$11*CAPA1_PILOTO!Q32</f>
        <v>58326.444877464273</v>
      </c>
      <c r="R7" s="77">
        <f>SUP_CONTROL!$C$11*CAPA1_PILOTO!R32</f>
        <v>58326.444877464273</v>
      </c>
      <c r="S7" s="77">
        <f>SUP_CONTROL!$C$11*CAPA1_PILOTO!S32</f>
        <v>58326.444877464273</v>
      </c>
      <c r="T7" s="77">
        <f>SUP_CONTROL!$C$11*CAPA1_PILOTO!T32</f>
        <v>58732.976582821415</v>
      </c>
      <c r="U7" s="77">
        <f>SUP_CONTROL!$C$11*CAPA1_PILOTO!U32</f>
        <v>58820.376890284781</v>
      </c>
      <c r="V7" s="77">
        <f>SUP_CONTROL!$C$11*CAPA1_PILOTO!V32</f>
        <v>59225.787955024512</v>
      </c>
      <c r="W7" s="77">
        <f>SUP_CONTROL!$C$11*CAPA1_PILOTO!W32</f>
        <v>59652.152850076629</v>
      </c>
      <c r="X7" s="77">
        <f>SUP_CONTROL!$C$11*CAPA1_PILOTO!X32</f>
        <v>59760.572844835595</v>
      </c>
      <c r="Y7" s="77">
        <f>SUP_CONTROL!$C$11*CAPA1_PILOTO!Y32</f>
        <v>59844.4804929534</v>
      </c>
      <c r="Z7" s="77">
        <f>SUP_CONTROL!$C$11*CAPA1_PILOTO!Z32</f>
        <v>59885.528838795202</v>
      </c>
      <c r="AA7" s="77">
        <f>SUP_CONTROL!$C$11*CAPA1_PILOTO!AA32</f>
        <v>56816.501156780825</v>
      </c>
      <c r="AB7" s="77">
        <f>SUP_CONTROL!$C$11*CAPA1_PILOTO!AB32</f>
        <v>59960.029261761156</v>
      </c>
      <c r="AC7" s="77">
        <f>SUP_CONTROL!$C$11*CAPA1_PILOTO!AC32</f>
        <v>59960.029261761156</v>
      </c>
      <c r="AD7" s="77">
        <f>SUP_CONTROL!$C$11*CAPA1_PILOTO!AD32</f>
        <v>59887.325950484075</v>
      </c>
      <c r="AE7" s="77">
        <f>SUP_CONTROL!$C$11*CAPA1_PILOTO!AE32</f>
        <v>59887.325950484075</v>
      </c>
      <c r="AF7" s="77">
        <f>SUP_CONTROL!$C$11*CAPA1_PILOTO!AF32</f>
        <v>60516.427839324599</v>
      </c>
      <c r="AG7" s="77">
        <f>SUP_CONTROL!$C$11*CAPA1_PILOTO!AG32</f>
        <v>61078.776753831262</v>
      </c>
      <c r="AH7" s="77">
        <f>SUP_CONTROL!$C$11*CAPA1_PILOTO!AH32</f>
        <v>61252.18259179833</v>
      </c>
      <c r="AI7" s="77">
        <f>SUP_CONTROL!$C$11*CAPA1_PILOTO!AI32</f>
        <v>61760.174419822433</v>
      </c>
      <c r="AJ7" s="77">
        <f>SUP_CONTROL!$C$11*CAPA1_PILOTO!AJ32</f>
        <v>62228.298262536686</v>
      </c>
      <c r="AK7" s="77">
        <f>SUP_CONTROL!$C$11*CAPA1_PILOTO!AK32</f>
        <v>62350.132924791986</v>
      </c>
      <c r="AL7" s="77">
        <f>SUP_CONTROL!$C$11*CAPA1_PILOTO!AL32</f>
        <v>62357.064771698453</v>
      </c>
      <c r="AM7" s="77">
        <f>SUP_CONTROL!$C$11*CAPA1_PILOTO!AM32</f>
        <v>62777.664416782893</v>
      </c>
      <c r="AN7" s="77">
        <f>SUP_CONTROL!$C$11*CAPA1_PILOTO!AN32</f>
        <v>64692.72001158823</v>
      </c>
      <c r="AO7" s="77">
        <f>SUP_CONTROL!$C$11*CAPA1_PILOTO!AO32</f>
        <v>65039.285097023923</v>
      </c>
      <c r="AP7" s="77">
        <f>SUP_CONTROL!$C$11*CAPA1_PILOTO!AP32</f>
        <v>65389.656163820335</v>
      </c>
      <c r="AQ7" s="77">
        <f>SUP_CONTROL!$C$11*CAPA1_PILOTO!AQ32</f>
        <v>65501.518996761079</v>
      </c>
      <c r="AR7" s="77">
        <f>SUP_CONTROL!$C$11*CAPA1_PILOTO!AR32</f>
        <v>65815.998208826175</v>
      </c>
      <c r="AS7" s="77">
        <f>SUP_CONTROL!$C$11*CAPA1_PILOTO!AS32</f>
        <v>65899.853710199604</v>
      </c>
      <c r="AT7" s="77">
        <f>SUP_CONTROL!$C$11*CAPA1_PILOTO!AT32</f>
        <v>66112.021971896029</v>
      </c>
      <c r="AU7" s="77">
        <f>SUP_CONTROL!$C$11*CAPA1_PILOTO!AU32</f>
        <v>66348.279880600428</v>
      </c>
      <c r="AV7" s="77">
        <f>SUP_CONTROL!$C$11*CAPA1_PILOTO!AV32</f>
        <v>66408.922507706273</v>
      </c>
      <c r="AW7" s="77">
        <f>SUP_CONTROL!$C$11*CAPA1_PILOTO!AW32</f>
        <v>63093.182787091617</v>
      </c>
      <c r="AX7" s="77">
        <f>SUP_CONTROL!$C$11*CAPA1_PILOTO!AX32</f>
        <v>63129.478420084961</v>
      </c>
      <c r="AY7" s="77">
        <f>SUP_CONTROL!$C$11*CAPA1_PILOTO!AY32</f>
        <v>63129.478420084961</v>
      </c>
      <c r="AZ7" s="77">
        <f>SUP_CONTROL!$C$11*CAPA1_PILOTO!AZ32</f>
        <v>64701.242472575119</v>
      </c>
      <c r="BA7" s="77">
        <f>SUP_CONTROL!$C$11*CAPA1_PILOTO!BA32</f>
        <v>64556.556102162031</v>
      </c>
      <c r="BB7" s="77">
        <f>SUP_CONTROL!$C$11*CAPA1_PILOTO!BB32</f>
        <v>64556.556102162031</v>
      </c>
      <c r="BC7" s="77">
        <f>SUP_CONTROL!$C$11*CAPA1_PILOTO!BC32</f>
        <v>64556.556102162031</v>
      </c>
      <c r="BD7" s="77">
        <f>SUP_CONTROL!$C$11*CAPA1_PILOTO!BD32</f>
        <v>65006.280675306683</v>
      </c>
      <c r="BE7" s="77">
        <f>SUP_CONTROL!$C$11*CAPA1_PILOTO!BE32</f>
        <v>65309.425334436535</v>
      </c>
      <c r="BF7" s="77">
        <f>SUP_CONTROL!$C$11*CAPA1_PILOTO!BF32</f>
        <v>65548.600560487044</v>
      </c>
      <c r="BG7" s="77">
        <f>SUP_CONTROL!$C$11*CAPA1_PILOTO!BG32</f>
        <v>65864.220887932577</v>
      </c>
      <c r="BH7" s="77">
        <f>SUP_CONTROL!$C$11*CAPA1_PILOTO!BH32</f>
        <v>66129.216870697564</v>
      </c>
      <c r="BI7" s="77">
        <f>SUP_CONTROL!$C$11*CAPA1_PILOTO!BI32</f>
        <v>66377.995571665335</v>
      </c>
      <c r="BJ7" s="77">
        <f>SUP_CONTROL!$C$11*CAPA1_PILOTO!BJ32</f>
        <v>66648.202703174422</v>
      </c>
      <c r="BK7" s="77">
        <f>SUP_CONTROL!$C$11*CAPA1_PILOTO!BK32</f>
        <v>66759.304846971296</v>
      </c>
      <c r="BL7" s="77">
        <f>SUP_CONTROL!$C$11*CAPA1_PILOTO!BL32</f>
        <v>68538.699426198626</v>
      </c>
      <c r="BM7" s="77">
        <f>SUP_CONTROL!$C$11*CAPA1_PILOTO!BM32</f>
        <v>68735.14377191852</v>
      </c>
      <c r="BN7" s="77">
        <f>SUP_CONTROL!$C$11*CAPA1_PILOTO!BN32</f>
        <v>68950.19684034698</v>
      </c>
      <c r="BO7" s="77">
        <f>SUP_CONTROL!$C$11*CAPA1_PILOTO!BO32</f>
        <v>69127.848440230955</v>
      </c>
      <c r="BP7" s="77">
        <f>SUP_CONTROL!$C$11*CAPA1_PILOTO!BP32</f>
        <v>69215.075307599836</v>
      </c>
      <c r="BQ7" s="77">
        <f>SUP_CONTROL!$C$11*CAPA1_PILOTO!BQ32</f>
        <v>69374.478021022427</v>
      </c>
      <c r="BR7" s="77">
        <f>SUP_CONTROL!$C$11*CAPA1_PILOTO!BR32</f>
        <v>69550.052678848268</v>
      </c>
      <c r="BS7" s="77">
        <f>SUP_CONTROL!$C$11*CAPA1_PILOTO!BS32</f>
        <v>69783.320511868107</v>
      </c>
      <c r="BT7" s="77">
        <f>SUP_CONTROL!$C$11*CAPA1_PILOTO!BT32</f>
        <v>69935.741902868642</v>
      </c>
      <c r="BU7" s="77">
        <f>SUP_CONTROL!$C$11*CAPA1_PILOTO!BU32</f>
        <v>70000.12842291547</v>
      </c>
      <c r="BV7" s="77">
        <f>SUP_CONTROL!$C$11*CAPA1_PILOTO!BV32</f>
        <v>70130.304269897068</v>
      </c>
      <c r="BW7" s="77">
        <f>SUP_CONTROL!$C$11*CAPA1_PILOTO!BW32</f>
        <v>70265.291736871804</v>
      </c>
      <c r="BX7" s="77">
        <f>SUP_CONTROL!$C$11*CAPA1_PILOTO!BX32</f>
        <v>71949.966254962666</v>
      </c>
      <c r="BY7" s="77">
        <f>SUP_CONTROL!$C$11*CAPA1_PILOTO!BY32</f>
        <v>72056.861045635669</v>
      </c>
      <c r="BZ7" s="77">
        <f>SUP_CONTROL!$C$11*CAPA1_PILOTO!BZ32</f>
        <v>72175.544591593061</v>
      </c>
      <c r="CA7" s="77">
        <f>SUP_CONTROL!$C$11*CAPA1_PILOTO!CA32</f>
        <v>72301.725201854497</v>
      </c>
      <c r="CB7" s="77">
        <f>SUP_CONTROL!$C$11*CAPA1_PILOTO!CB32</f>
        <v>71454.127051685529</v>
      </c>
      <c r="CC7" s="77">
        <f>SUP_CONTROL!$C$11*CAPA1_PILOTO!CC32</f>
        <v>71503.920442281058</v>
      </c>
      <c r="CD7" s="77">
        <f>SUP_CONTROL!$C$11*CAPA1_PILOTO!CD32</f>
        <v>71527.485554238476</v>
      </c>
      <c r="CE7" s="77">
        <f>SUP_CONTROL!$C$11*CAPA1_PILOTO!CE32</f>
        <v>71537.67263330378</v>
      </c>
      <c r="CF7" s="77">
        <f>SUP_CONTROL!$C$11*CAPA1_PILOTO!CF32</f>
        <v>71537.67263330378</v>
      </c>
      <c r="CG7" s="77">
        <f>SUP_CONTROL!$C$11*CAPA1_PILOTO!CG32</f>
        <v>71537.67263330378</v>
      </c>
      <c r="CH7" s="77">
        <f>SUP_CONTROL!$C$11*CAPA1_PILOTO!CH32</f>
        <v>71537.67263330378</v>
      </c>
      <c r="CI7" s="77">
        <f>SUP_CONTROL!$C$11*CAPA1_PILOTO!CI32</f>
        <v>71537.67263330378</v>
      </c>
      <c r="CJ7" s="77">
        <f>SUP_CONTROL!$C$11*CAPA1_PILOTO!CJ32</f>
        <v>71537.67263330378</v>
      </c>
      <c r="CK7" s="77">
        <f>SUP_CONTROL!$C$11*CAPA1_PILOTO!CK32</f>
        <v>71537.67263330378</v>
      </c>
      <c r="CL7" s="77">
        <f>SUP_CONTROL!$C$11*CAPA1_PILOTO!CL32</f>
        <v>71537.67263330378</v>
      </c>
      <c r="CM7" s="77">
        <f>SUP_CONTROL!$C$11*CAPA1_PILOTO!CM32</f>
        <v>71537.67263330378</v>
      </c>
      <c r="CN7" s="77">
        <f>SUP_CONTROL!$C$11*CAPA1_PILOTO!CN32</f>
        <v>71537.67263330378</v>
      </c>
      <c r="CO7" s="77">
        <f>SUP_CONTROL!$C$11*CAPA1_PILOTO!CO32</f>
        <v>71537.67263330378</v>
      </c>
      <c r="CP7" s="77">
        <f>SUP_CONTROL!$C$11*CAPA1_PILOTO!CP32</f>
        <v>71537.67263330378</v>
      </c>
      <c r="CQ7" s="77">
        <f>SUP_CONTROL!$C$11*CAPA1_PILOTO!CQ32</f>
        <v>71537.67263330378</v>
      </c>
      <c r="CR7" s="77">
        <f>SUP_CONTROL!$C$11*CAPA1_PILOTO!CR32</f>
        <v>71537.67263330378</v>
      </c>
      <c r="CS7" s="77">
        <f>SUP_CONTROL!$C$11*CAPA1_PILOTO!CS32</f>
        <v>71537.67263330378</v>
      </c>
      <c r="CT7" s="77">
        <f>SUP_CONTROL!$C$11*CAPA1_PILOTO!CT32</f>
        <v>71537.67263330378</v>
      </c>
      <c r="CU7" s="77">
        <f>SUP_CONTROL!$C$11*CAPA1_PILOTO!CU32</f>
        <v>71537.67263330378</v>
      </c>
      <c r="CV7" s="77">
        <f>SUP_CONTROL!$C$11*CAPA1_PILOTO!CV32</f>
        <v>71537.67263330378</v>
      </c>
      <c r="CW7" s="77">
        <f>SUP_CONTROL!$C$11*CAPA1_PILOTO!CW32</f>
        <v>71537.67263330378</v>
      </c>
      <c r="CX7" s="77">
        <f>SUP_CONTROL!$C$11*CAPA1_PILOTO!CX32</f>
        <v>71537.67263330378</v>
      </c>
      <c r="CY7" s="77">
        <f>SUP_CONTROL!$C$11*CAPA1_PILOTO!CY32</f>
        <v>71537.67263330378</v>
      </c>
      <c r="CZ7" s="77">
        <f>SUP_CONTROL!$C$11*CAPA1_PILOTO!CZ32</f>
        <v>71537.67263330378</v>
      </c>
      <c r="DA7" s="77">
        <f>SUP_CONTROL!$C$11*CAPA1_PILOTO!DA32</f>
        <v>71537.67263330378</v>
      </c>
      <c r="DB7" s="77">
        <f>SUP_CONTROL!$C$11*CAPA1_PILOTO!DB32</f>
        <v>71537.67263330378</v>
      </c>
      <c r="DC7" s="77">
        <f>SUP_CONTROL!$C$11*CAPA1_PILOTO!DC32</f>
        <v>71537.67263330378</v>
      </c>
      <c r="DD7" s="77">
        <f>SUP_CONTROL!$C$11*CAPA1_PILOTO!DD32</f>
        <v>71537.67263330378</v>
      </c>
      <c r="DE7" s="77">
        <f>SUP_CONTROL!$C$11*CAPA1_PILOTO!DE32</f>
        <v>71537.67263330378</v>
      </c>
      <c r="DF7" s="77">
        <f>SUP_CONTROL!$C$11*CAPA1_PILOTO!DF32</f>
        <v>71537.67263330378</v>
      </c>
      <c r="DG7" s="77">
        <f>SUP_CONTROL!$C$11*CAPA1_PILOTO!DG32</f>
        <v>71537.67263330378</v>
      </c>
      <c r="DH7" s="77">
        <f>SUP_CONTROL!$C$11*CAPA1_PILOTO!DH32</f>
        <v>71537.67263330378</v>
      </c>
      <c r="DI7" s="77">
        <f>SUP_CONTROL!$C$11*CAPA1_PILOTO!DI32</f>
        <v>71537.67263330378</v>
      </c>
      <c r="DJ7" s="77">
        <f>SUP_CONTROL!$C$11*CAPA1_PILOTO!DJ32</f>
        <v>71537.67263330378</v>
      </c>
      <c r="DK7" s="77">
        <f>SUP_CONTROL!$C$11*CAPA1_PILOTO!DK32</f>
        <v>71537.67263330378</v>
      </c>
      <c r="DL7" s="77">
        <f>SUP_CONTROL!$C$11*CAPA1_PILOTO!DL32</f>
        <v>71537.67263330378</v>
      </c>
      <c r="DM7" s="77">
        <f>SUP_CONTROL!$C$11*CAPA1_PILOTO!DM32</f>
        <v>71537.67263330378</v>
      </c>
      <c r="DN7" s="77">
        <f>SUP_CONTROL!$C$11*CAPA1_PILOTO!DN32</f>
        <v>71537.67263330378</v>
      </c>
      <c r="DO7" s="77">
        <f>SUP_CONTROL!$C$11*CAPA1_PILOTO!DO32</f>
        <v>71537.67263330378</v>
      </c>
      <c r="DP7" s="77">
        <f>SUP_CONTROL!$C$11*CAPA1_PILOTO!DP32</f>
        <v>71537.67263330378</v>
      </c>
      <c r="DQ7" s="77">
        <f>SUP_CONTROL!$C$11*CAPA1_PILOTO!DQ32</f>
        <v>71537.67263330378</v>
      </c>
      <c r="DR7" s="77">
        <f>SUP_CONTROL!$C$11*CAPA1_PILOTO!DR32</f>
        <v>71537.67263330378</v>
      </c>
      <c r="DS7" s="77">
        <f>SUP_CONTROL!$C$11*CAPA1_PILOTO!DS32</f>
        <v>71537.67263330378</v>
      </c>
    </row>
    <row r="8" spans="1:123" ht="15" customHeight="1" x14ac:dyDescent="0.2">
      <c r="B8" s="37" t="s">
        <v>1002</v>
      </c>
      <c r="D8" s="77">
        <f>SUP_CONTROL!$C$12*CAPA2_FLAGSHIP!D26</f>
        <v>0</v>
      </c>
      <c r="E8" s="77">
        <f>SUP_CONTROL!$C$12*CAPA2_FLAGSHIP!E26</f>
        <v>0</v>
      </c>
      <c r="F8" s="77">
        <f>SUP_CONTROL!$C$12*CAPA2_FLAGSHIP!F26</f>
        <v>0</v>
      </c>
      <c r="G8" s="77">
        <f>SUP_CONTROL!$C$12*CAPA2_FLAGSHIP!G26</f>
        <v>0</v>
      </c>
      <c r="H8" s="77">
        <f>SUP_CONTROL!$C$12*CAPA2_FLAGSHIP!H26</f>
        <v>0</v>
      </c>
      <c r="I8" s="77">
        <f>SUP_CONTROL!$C$12*CAPA2_FLAGSHIP!I26</f>
        <v>0</v>
      </c>
      <c r="J8" s="77">
        <f>SUP_CONTROL!$C$12*CAPA2_FLAGSHIP!J26</f>
        <v>0</v>
      </c>
      <c r="K8" s="77">
        <f>SUP_CONTROL!$C$12*CAPA2_FLAGSHIP!K26</f>
        <v>0</v>
      </c>
      <c r="L8" s="77">
        <f>SUP_CONTROL!$C$12*CAPA2_FLAGSHIP!L26</f>
        <v>0</v>
      </c>
      <c r="M8" s="77">
        <f>SUP_CONTROL!$C$12*CAPA2_FLAGSHIP!M26</f>
        <v>0</v>
      </c>
      <c r="N8" s="77">
        <f>SUP_CONTROL!$C$12*CAPA2_FLAGSHIP!N26</f>
        <v>0</v>
      </c>
      <c r="O8" s="77">
        <f>SUP_CONTROL!$C$12*CAPA2_FLAGSHIP!O26</f>
        <v>0</v>
      </c>
      <c r="P8" s="77">
        <f>SUP_CONTROL!$C$12*CAPA2_FLAGSHIP!P26</f>
        <v>0</v>
      </c>
      <c r="Q8" s="77">
        <f>SUP_CONTROL!$C$12*CAPA2_FLAGSHIP!Q26</f>
        <v>0</v>
      </c>
      <c r="R8" s="77">
        <f>SUP_CONTROL!$C$12*CAPA2_FLAGSHIP!R26</f>
        <v>0</v>
      </c>
      <c r="S8" s="77">
        <f>SUP_CONTROL!$C$12*CAPA2_FLAGSHIP!S26</f>
        <v>0</v>
      </c>
      <c r="T8" s="77">
        <f>SUP_CONTROL!$C$12*CAPA2_FLAGSHIP!T26</f>
        <v>0</v>
      </c>
      <c r="U8" s="77">
        <f>SUP_CONTROL!$C$12*CAPA2_FLAGSHIP!U26</f>
        <v>0</v>
      </c>
      <c r="V8" s="77">
        <f>SUP_CONTROL!$C$12*CAPA2_FLAGSHIP!V26</f>
        <v>0</v>
      </c>
      <c r="W8" s="77">
        <f>SUP_CONTROL!$C$12*CAPA2_FLAGSHIP!W26</f>
        <v>0</v>
      </c>
      <c r="X8" s="77">
        <f>SUP_CONTROL!$C$12*CAPA2_FLAGSHIP!X26</f>
        <v>0</v>
      </c>
      <c r="Y8" s="77">
        <f>SUP_CONTROL!$C$12*CAPA2_FLAGSHIP!Y26</f>
        <v>0</v>
      </c>
      <c r="Z8" s="77">
        <f>SUP_CONTROL!$C$12*CAPA2_FLAGSHIP!Z26</f>
        <v>0</v>
      </c>
      <c r="AA8" s="77">
        <f>SUP_CONTROL!$C$12*CAPA2_FLAGSHIP!AA26</f>
        <v>0</v>
      </c>
      <c r="AB8" s="77">
        <f>SUP_CONTROL!$C$12*CAPA2_FLAGSHIP!AB26</f>
        <v>0</v>
      </c>
      <c r="AC8" s="77">
        <f>SUP_CONTROL!$C$12*CAPA2_FLAGSHIP!AC26</f>
        <v>0</v>
      </c>
      <c r="AD8" s="77">
        <f>SUP_CONTROL!$C$12*CAPA2_FLAGSHIP!AD26</f>
        <v>0</v>
      </c>
      <c r="AE8" s="77">
        <f>SUP_CONTROL!$C$12*CAPA2_FLAGSHIP!AE26</f>
        <v>0</v>
      </c>
      <c r="AF8" s="77">
        <f>SUP_CONTROL!$C$12*CAPA2_FLAGSHIP!AF26</f>
        <v>0</v>
      </c>
      <c r="AG8" s="77">
        <f>SUP_CONTROL!$C$12*CAPA2_FLAGSHIP!AG26</f>
        <v>0</v>
      </c>
      <c r="AH8" s="77">
        <f>SUP_CONTROL!$C$12*CAPA2_FLAGSHIP!AH26</f>
        <v>0</v>
      </c>
      <c r="AI8" s="77">
        <f>SUP_CONTROL!$C$12*CAPA2_FLAGSHIP!AI26</f>
        <v>0</v>
      </c>
      <c r="AJ8" s="77">
        <f>SUP_CONTROL!$C$12*CAPA2_FLAGSHIP!AJ26</f>
        <v>0</v>
      </c>
      <c r="AK8" s="77">
        <f>SUP_CONTROL!$C$12*CAPA2_FLAGSHIP!AK26</f>
        <v>0</v>
      </c>
      <c r="AL8" s="77">
        <f>SUP_CONTROL!$C$12*CAPA2_FLAGSHIP!AL26</f>
        <v>0</v>
      </c>
      <c r="AM8" s="77">
        <f>SUP_CONTROL!$C$12*CAPA2_FLAGSHIP!AM26</f>
        <v>0</v>
      </c>
      <c r="AN8" s="77">
        <f>SUP_CONTROL!$C$12*CAPA2_FLAGSHIP!AN26</f>
        <v>0</v>
      </c>
      <c r="AO8" s="77">
        <f>SUP_CONTROL!$C$12*CAPA2_FLAGSHIP!AO26</f>
        <v>0</v>
      </c>
      <c r="AP8" s="77">
        <f>SUP_CONTROL!$C$12*CAPA2_FLAGSHIP!AP26</f>
        <v>0</v>
      </c>
      <c r="AQ8" s="77">
        <f>SUP_CONTROL!$C$12*CAPA2_FLAGSHIP!AQ26</f>
        <v>0</v>
      </c>
      <c r="AR8" s="77">
        <f>SUP_CONTROL!$C$12*CAPA2_FLAGSHIP!AR26</f>
        <v>0</v>
      </c>
      <c r="AS8" s="77">
        <f>SUP_CONTROL!$C$12*CAPA2_FLAGSHIP!AS26</f>
        <v>0</v>
      </c>
      <c r="AT8" s="77">
        <f>SUP_CONTROL!$C$12*CAPA2_FLAGSHIP!AT26</f>
        <v>0</v>
      </c>
      <c r="AU8" s="77">
        <f>SUP_CONTROL!$C$12*CAPA2_FLAGSHIP!AU26</f>
        <v>0</v>
      </c>
      <c r="AV8" s="77">
        <f>SUP_CONTROL!$C$12*CAPA2_FLAGSHIP!AV26</f>
        <v>0</v>
      </c>
      <c r="AW8" s="77">
        <f>SUP_CONTROL!$C$12*CAPA2_FLAGSHIP!AW26</f>
        <v>0</v>
      </c>
      <c r="AX8" s="77">
        <f>SUP_CONTROL!$C$12*CAPA2_FLAGSHIP!AX26</f>
        <v>0</v>
      </c>
      <c r="AY8" s="77">
        <f>SUP_CONTROL!$C$12*CAPA2_FLAGSHIP!AY26</f>
        <v>0</v>
      </c>
      <c r="AZ8" s="77">
        <f>SUP_CONTROL!$C$12*CAPA2_FLAGSHIP!AZ26</f>
        <v>0</v>
      </c>
      <c r="BA8" s="77">
        <f>SUP_CONTROL!$C$12*CAPA2_FLAGSHIP!BA26</f>
        <v>0</v>
      </c>
      <c r="BB8" s="77">
        <f>SUP_CONTROL!$C$12*CAPA2_FLAGSHIP!BB26</f>
        <v>0</v>
      </c>
      <c r="BC8" s="77">
        <f>SUP_CONTROL!$C$12*CAPA2_FLAGSHIP!BC26</f>
        <v>0</v>
      </c>
      <c r="BD8" s="77">
        <f>SUP_CONTROL!$C$12*CAPA2_FLAGSHIP!BD26</f>
        <v>0</v>
      </c>
      <c r="BE8" s="77">
        <f>SUP_CONTROL!$C$12*CAPA2_FLAGSHIP!BE26</f>
        <v>0</v>
      </c>
      <c r="BF8" s="77">
        <f>SUP_CONTROL!$C$12*CAPA2_FLAGSHIP!BF26</f>
        <v>0</v>
      </c>
      <c r="BG8" s="77">
        <f>SUP_CONTROL!$C$12*CAPA2_FLAGSHIP!BG26</f>
        <v>0</v>
      </c>
      <c r="BH8" s="77">
        <f>SUP_CONTROL!$C$12*CAPA2_FLAGSHIP!BH26</f>
        <v>0</v>
      </c>
      <c r="BI8" s="77">
        <f>SUP_CONTROL!$C$12*CAPA2_FLAGSHIP!BI26</f>
        <v>0</v>
      </c>
      <c r="BJ8" s="77">
        <f>SUP_CONTROL!$C$12*CAPA2_FLAGSHIP!BJ26</f>
        <v>0</v>
      </c>
      <c r="BK8" s="77">
        <f>SUP_CONTROL!$C$12*CAPA2_FLAGSHIP!BK26</f>
        <v>0</v>
      </c>
      <c r="BL8" s="77">
        <f>SUP_CONTROL!$C$12*CAPA2_FLAGSHIP!BL26</f>
        <v>0</v>
      </c>
      <c r="BM8" s="77">
        <f>SUP_CONTROL!$C$12*CAPA2_FLAGSHIP!BM26</f>
        <v>0</v>
      </c>
      <c r="BN8" s="77">
        <f>SUP_CONTROL!$C$12*CAPA2_FLAGSHIP!BN26</f>
        <v>0</v>
      </c>
      <c r="BO8" s="77">
        <f>SUP_CONTROL!$C$12*CAPA2_FLAGSHIP!BO26</f>
        <v>0</v>
      </c>
      <c r="BP8" s="77">
        <f>SUP_CONTROL!$C$12*CAPA2_FLAGSHIP!BP26</f>
        <v>0</v>
      </c>
      <c r="BQ8" s="77">
        <f>SUP_CONTROL!$C$12*CAPA2_FLAGSHIP!BQ26</f>
        <v>0</v>
      </c>
      <c r="BR8" s="77">
        <f>SUP_CONTROL!$C$12*CAPA2_FLAGSHIP!BR26</f>
        <v>0</v>
      </c>
      <c r="BS8" s="77">
        <f>SUP_CONTROL!$C$12*CAPA2_FLAGSHIP!BS26</f>
        <v>0</v>
      </c>
      <c r="BT8" s="77">
        <f>SUP_CONTROL!$C$12*CAPA2_FLAGSHIP!BT26</f>
        <v>0</v>
      </c>
      <c r="BU8" s="77">
        <f>SUP_CONTROL!$C$12*CAPA2_FLAGSHIP!BU26</f>
        <v>0</v>
      </c>
      <c r="BV8" s="77">
        <f>SUP_CONTROL!$C$12*CAPA2_FLAGSHIP!BV26</f>
        <v>0</v>
      </c>
      <c r="BW8" s="77">
        <f>SUP_CONTROL!$C$12*CAPA2_FLAGSHIP!BW26</f>
        <v>0</v>
      </c>
      <c r="BX8" s="77">
        <f>SUP_CONTROL!$C$12*CAPA2_FLAGSHIP!BX26</f>
        <v>0</v>
      </c>
      <c r="BY8" s="77">
        <f>SUP_CONTROL!$C$12*CAPA2_FLAGSHIP!BY26</f>
        <v>0</v>
      </c>
      <c r="BZ8" s="77">
        <f>SUP_CONTROL!$C$12*CAPA2_FLAGSHIP!BZ26</f>
        <v>0</v>
      </c>
      <c r="CA8" s="77">
        <f>SUP_CONTROL!$C$12*CAPA2_FLAGSHIP!CA26</f>
        <v>0</v>
      </c>
      <c r="CB8" s="77">
        <f>SUP_CONTROL!$C$12*CAPA2_FLAGSHIP!CB26</f>
        <v>0</v>
      </c>
      <c r="CC8" s="77">
        <f>SUP_CONTROL!$C$12*CAPA2_FLAGSHIP!CC26</f>
        <v>0</v>
      </c>
      <c r="CD8" s="77">
        <f>SUP_CONTROL!$C$12*CAPA2_FLAGSHIP!CD26</f>
        <v>0</v>
      </c>
      <c r="CE8" s="77">
        <f>SUP_CONTROL!$C$12*CAPA2_FLAGSHIP!CE26</f>
        <v>0</v>
      </c>
      <c r="CF8" s="77">
        <f>SUP_CONTROL!$C$12*CAPA2_FLAGSHIP!CF26</f>
        <v>0</v>
      </c>
      <c r="CG8" s="77">
        <f>SUP_CONTROL!$C$12*CAPA2_FLAGSHIP!CG26</f>
        <v>0</v>
      </c>
      <c r="CH8" s="77">
        <f>SUP_CONTROL!$C$12*CAPA2_FLAGSHIP!CH26</f>
        <v>0</v>
      </c>
      <c r="CI8" s="77">
        <f>SUP_CONTROL!$C$12*CAPA2_FLAGSHIP!CI26</f>
        <v>0</v>
      </c>
      <c r="CJ8" s="77">
        <f>SUP_CONTROL!$C$12*CAPA2_FLAGSHIP!CJ26</f>
        <v>0</v>
      </c>
      <c r="CK8" s="77">
        <f>SUP_CONTROL!$C$12*CAPA2_FLAGSHIP!CK26</f>
        <v>0</v>
      </c>
      <c r="CL8" s="77">
        <f>SUP_CONTROL!$C$12*CAPA2_FLAGSHIP!CL26</f>
        <v>0</v>
      </c>
      <c r="CM8" s="77">
        <f>SUP_CONTROL!$C$12*CAPA2_FLAGSHIP!CM26</f>
        <v>0</v>
      </c>
      <c r="CN8" s="77">
        <f>SUP_CONTROL!$C$12*CAPA2_FLAGSHIP!CN26</f>
        <v>0</v>
      </c>
      <c r="CO8" s="77">
        <f>SUP_CONTROL!$C$12*CAPA2_FLAGSHIP!CO26</f>
        <v>0</v>
      </c>
      <c r="CP8" s="77">
        <f>SUP_CONTROL!$C$12*CAPA2_FLAGSHIP!CP26</f>
        <v>0</v>
      </c>
      <c r="CQ8" s="77">
        <f>SUP_CONTROL!$C$12*CAPA2_FLAGSHIP!CQ26</f>
        <v>0</v>
      </c>
      <c r="CR8" s="77">
        <f>SUP_CONTROL!$C$12*CAPA2_FLAGSHIP!CR26</f>
        <v>0</v>
      </c>
      <c r="CS8" s="77">
        <f>SUP_CONTROL!$C$12*CAPA2_FLAGSHIP!CS26</f>
        <v>0</v>
      </c>
      <c r="CT8" s="77">
        <f>SUP_CONTROL!$C$12*CAPA2_FLAGSHIP!CT26</f>
        <v>0</v>
      </c>
      <c r="CU8" s="77">
        <f>SUP_CONTROL!$C$12*CAPA2_FLAGSHIP!CU26</f>
        <v>0</v>
      </c>
      <c r="CV8" s="77">
        <f>SUP_CONTROL!$C$12*CAPA2_FLAGSHIP!CV26</f>
        <v>0</v>
      </c>
      <c r="CW8" s="77">
        <f>SUP_CONTROL!$C$12*CAPA2_FLAGSHIP!CW26</f>
        <v>0</v>
      </c>
      <c r="CX8" s="77">
        <f>SUP_CONTROL!$C$12*CAPA2_FLAGSHIP!CX26</f>
        <v>0</v>
      </c>
      <c r="CY8" s="77">
        <f>SUP_CONTROL!$C$12*CAPA2_FLAGSHIP!CY26</f>
        <v>0</v>
      </c>
      <c r="CZ8" s="77">
        <f>SUP_CONTROL!$C$12*CAPA2_FLAGSHIP!CZ26</f>
        <v>0</v>
      </c>
      <c r="DA8" s="77">
        <f>SUP_CONTROL!$C$12*CAPA2_FLAGSHIP!DA26</f>
        <v>0</v>
      </c>
      <c r="DB8" s="77">
        <f>SUP_CONTROL!$C$12*CAPA2_FLAGSHIP!DB26</f>
        <v>0</v>
      </c>
      <c r="DC8" s="77">
        <f>SUP_CONTROL!$C$12*CAPA2_FLAGSHIP!DC26</f>
        <v>0</v>
      </c>
      <c r="DD8" s="77">
        <f>SUP_CONTROL!$C$12*CAPA2_FLAGSHIP!DD26</f>
        <v>0</v>
      </c>
      <c r="DE8" s="77">
        <f>SUP_CONTROL!$C$12*CAPA2_FLAGSHIP!DE26</f>
        <v>0</v>
      </c>
      <c r="DF8" s="77">
        <f>SUP_CONTROL!$C$12*CAPA2_FLAGSHIP!DF26</f>
        <v>0</v>
      </c>
      <c r="DG8" s="77">
        <f>SUP_CONTROL!$C$12*CAPA2_FLAGSHIP!DG26</f>
        <v>0</v>
      </c>
      <c r="DH8" s="77">
        <f>SUP_CONTROL!$C$12*CAPA2_FLAGSHIP!DH26</f>
        <v>0</v>
      </c>
      <c r="DI8" s="77">
        <f>SUP_CONTROL!$C$12*CAPA2_FLAGSHIP!DI26</f>
        <v>0</v>
      </c>
      <c r="DJ8" s="77">
        <f>SUP_CONTROL!$C$12*CAPA2_FLAGSHIP!DJ26</f>
        <v>0</v>
      </c>
      <c r="DK8" s="77">
        <f>SUP_CONTROL!$C$12*CAPA2_FLAGSHIP!DK26</f>
        <v>0</v>
      </c>
      <c r="DL8" s="77">
        <f>SUP_CONTROL!$C$12*CAPA2_FLAGSHIP!DL26</f>
        <v>0</v>
      </c>
      <c r="DM8" s="77">
        <f>SUP_CONTROL!$C$12*CAPA2_FLAGSHIP!DM26</f>
        <v>0</v>
      </c>
      <c r="DN8" s="77">
        <f>SUP_CONTROL!$C$12*CAPA2_FLAGSHIP!DN26</f>
        <v>0</v>
      </c>
      <c r="DO8" s="77">
        <f>SUP_CONTROL!$C$12*CAPA2_FLAGSHIP!DO26</f>
        <v>0</v>
      </c>
      <c r="DP8" s="77">
        <f>SUP_CONTROL!$C$12*CAPA2_FLAGSHIP!DP26</f>
        <v>0</v>
      </c>
      <c r="DQ8" s="77">
        <f>SUP_CONTROL!$C$12*CAPA2_FLAGSHIP!DQ26</f>
        <v>0</v>
      </c>
      <c r="DR8" s="77">
        <f>SUP_CONTROL!$C$12*CAPA2_FLAGSHIP!DR26</f>
        <v>0</v>
      </c>
      <c r="DS8" s="77">
        <f>SUP_CONTROL!$C$12*CAPA2_FLAGSHIP!DS26</f>
        <v>0</v>
      </c>
    </row>
    <row r="9" spans="1:123" ht="15" customHeight="1" x14ac:dyDescent="0.2">
      <c r="B9" s="37" t="s">
        <v>1003</v>
      </c>
      <c r="D9" s="77">
        <f>SUP_CONTROL!$C$14*CAPA4_RETAIL!D19</f>
        <v>0</v>
      </c>
      <c r="E9" s="77">
        <f>SUP_CONTROL!$C$14*CAPA4_RETAIL!E19</f>
        <v>0</v>
      </c>
      <c r="F9" s="77">
        <f>SUP_CONTROL!$C$14*CAPA4_RETAIL!F19</f>
        <v>0</v>
      </c>
      <c r="G9" s="77">
        <f>SUP_CONTROL!$C$14*CAPA4_RETAIL!G19</f>
        <v>0</v>
      </c>
      <c r="H9" s="77">
        <f>SUP_CONTROL!$C$14*CAPA4_RETAIL!H19</f>
        <v>0</v>
      </c>
      <c r="I9" s="77">
        <f>SUP_CONTROL!$C$14*CAPA4_RETAIL!I19</f>
        <v>0</v>
      </c>
      <c r="J9" s="77">
        <f>SUP_CONTROL!$C$14*CAPA4_RETAIL!J19</f>
        <v>0</v>
      </c>
      <c r="K9" s="77">
        <f>SUP_CONTROL!$C$14*CAPA4_RETAIL!K19</f>
        <v>0</v>
      </c>
      <c r="L9" s="77">
        <f>SUP_CONTROL!$C$14*CAPA4_RETAIL!L19</f>
        <v>0</v>
      </c>
      <c r="M9" s="77">
        <f>SUP_CONTROL!$C$14*CAPA4_RETAIL!M19</f>
        <v>0</v>
      </c>
      <c r="N9" s="77">
        <f>SUP_CONTROL!$C$14*CAPA4_RETAIL!N19</f>
        <v>0</v>
      </c>
      <c r="O9" s="77">
        <f>SUP_CONTROL!$C$14*CAPA4_RETAIL!O19</f>
        <v>0</v>
      </c>
      <c r="P9" s="77">
        <f>SUP_CONTROL!$C$14*CAPA4_RETAIL!P19</f>
        <v>0</v>
      </c>
      <c r="Q9" s="77">
        <f>SUP_CONTROL!$C$14*CAPA4_RETAIL!Q19</f>
        <v>0</v>
      </c>
      <c r="R9" s="77">
        <f>SUP_CONTROL!$C$14*CAPA4_RETAIL!R19</f>
        <v>0</v>
      </c>
      <c r="S9" s="77">
        <f>SUP_CONTROL!$C$14*CAPA4_RETAIL!S19</f>
        <v>0</v>
      </c>
      <c r="T9" s="77">
        <f>SUP_CONTROL!$C$14*CAPA4_RETAIL!T19</f>
        <v>0</v>
      </c>
      <c r="U9" s="77">
        <f>SUP_CONTROL!$C$14*CAPA4_RETAIL!U19</f>
        <v>0</v>
      </c>
      <c r="V9" s="77">
        <f>SUP_CONTROL!$C$14*CAPA4_RETAIL!V19</f>
        <v>0</v>
      </c>
      <c r="W9" s="77">
        <f>SUP_CONTROL!$C$14*CAPA4_RETAIL!W19</f>
        <v>0</v>
      </c>
      <c r="X9" s="77">
        <f>SUP_CONTROL!$C$14*CAPA4_RETAIL!X19</f>
        <v>0</v>
      </c>
      <c r="Y9" s="77">
        <f>SUP_CONTROL!$C$14*CAPA4_RETAIL!Y19</f>
        <v>0</v>
      </c>
      <c r="Z9" s="77">
        <f>SUP_CONTROL!$C$14*CAPA4_RETAIL!Z19</f>
        <v>0</v>
      </c>
      <c r="AA9" s="77">
        <f>SUP_CONTROL!$C$14*CAPA4_RETAIL!AA19</f>
        <v>0</v>
      </c>
      <c r="AB9" s="77">
        <f>SUP_CONTROL!$C$14*CAPA4_RETAIL!AB19</f>
        <v>0</v>
      </c>
      <c r="AC9" s="77">
        <f>SUP_CONTROL!$C$14*CAPA4_RETAIL!AC19</f>
        <v>0</v>
      </c>
      <c r="AD9" s="77">
        <f>SUP_CONTROL!$C$14*CAPA4_RETAIL!AD19</f>
        <v>0</v>
      </c>
      <c r="AE9" s="77">
        <f>SUP_CONTROL!$C$14*CAPA4_RETAIL!AE19</f>
        <v>0</v>
      </c>
      <c r="AF9" s="77">
        <f>SUP_CONTROL!$C$14*CAPA4_RETAIL!AF19</f>
        <v>0</v>
      </c>
      <c r="AG9" s="77">
        <f>SUP_CONTROL!$C$14*CAPA4_RETAIL!AG19</f>
        <v>0</v>
      </c>
      <c r="AH9" s="77">
        <f>SUP_CONTROL!$C$14*CAPA4_RETAIL!AH19</f>
        <v>0</v>
      </c>
      <c r="AI9" s="77">
        <f>SUP_CONTROL!$C$14*CAPA4_RETAIL!AI19</f>
        <v>0</v>
      </c>
      <c r="AJ9" s="77">
        <f>SUP_CONTROL!$C$14*CAPA4_RETAIL!AJ19</f>
        <v>0</v>
      </c>
      <c r="AK9" s="77">
        <f>SUP_CONTROL!$C$14*CAPA4_RETAIL!AK19</f>
        <v>0</v>
      </c>
      <c r="AL9" s="77">
        <f>SUP_CONTROL!$C$14*CAPA4_RETAIL!AL19</f>
        <v>0</v>
      </c>
      <c r="AM9" s="77">
        <f>SUP_CONTROL!$C$14*CAPA4_RETAIL!AM19</f>
        <v>0</v>
      </c>
      <c r="AN9" s="77">
        <f>SUP_CONTROL!$C$14*CAPA4_RETAIL!AN19</f>
        <v>0</v>
      </c>
      <c r="AO9" s="77">
        <f>SUP_CONTROL!$C$14*CAPA4_RETAIL!AO19</f>
        <v>0</v>
      </c>
      <c r="AP9" s="77">
        <f>SUP_CONTROL!$C$14*CAPA4_RETAIL!AP19</f>
        <v>0</v>
      </c>
      <c r="AQ9" s="77">
        <f>SUP_CONTROL!$C$14*CAPA4_RETAIL!AQ19</f>
        <v>0</v>
      </c>
      <c r="AR9" s="77">
        <f>SUP_CONTROL!$C$14*CAPA4_RETAIL!AR19</f>
        <v>0</v>
      </c>
      <c r="AS9" s="77">
        <f>SUP_CONTROL!$C$14*CAPA4_RETAIL!AS19</f>
        <v>0</v>
      </c>
      <c r="AT9" s="77">
        <f>SUP_CONTROL!$C$14*CAPA4_RETAIL!AT19</f>
        <v>0</v>
      </c>
      <c r="AU9" s="77">
        <f>SUP_CONTROL!$C$14*CAPA4_RETAIL!AU19</f>
        <v>0</v>
      </c>
      <c r="AV9" s="77">
        <f>SUP_CONTROL!$C$14*CAPA4_RETAIL!AV19</f>
        <v>0</v>
      </c>
      <c r="AW9" s="77">
        <f>SUP_CONTROL!$C$14*CAPA4_RETAIL!AW19</f>
        <v>0</v>
      </c>
      <c r="AX9" s="77">
        <f>SUP_CONTROL!$C$14*CAPA4_RETAIL!AX19</f>
        <v>0</v>
      </c>
      <c r="AY9" s="77">
        <f>SUP_CONTROL!$C$14*CAPA4_RETAIL!AY19</f>
        <v>0</v>
      </c>
      <c r="AZ9" s="77">
        <f>SUP_CONTROL!$C$14*CAPA4_RETAIL!AZ19</f>
        <v>0</v>
      </c>
      <c r="BA9" s="77">
        <f>SUP_CONTROL!$C$14*CAPA4_RETAIL!BA19</f>
        <v>0</v>
      </c>
      <c r="BB9" s="77">
        <f>SUP_CONTROL!$C$14*CAPA4_RETAIL!BB19</f>
        <v>0</v>
      </c>
      <c r="BC9" s="77">
        <f>SUP_CONTROL!$C$14*CAPA4_RETAIL!BC19</f>
        <v>0</v>
      </c>
      <c r="BD9" s="77">
        <f>SUP_CONTROL!$C$14*CAPA4_RETAIL!BD19</f>
        <v>0</v>
      </c>
      <c r="BE9" s="77">
        <f>SUP_CONTROL!$C$14*CAPA4_RETAIL!BE19</f>
        <v>0</v>
      </c>
      <c r="BF9" s="77">
        <f>SUP_CONTROL!$C$14*CAPA4_RETAIL!BF19</f>
        <v>0</v>
      </c>
      <c r="BG9" s="77">
        <f>SUP_CONTROL!$C$14*CAPA4_RETAIL!BG19</f>
        <v>0</v>
      </c>
      <c r="BH9" s="77">
        <f>SUP_CONTROL!$C$14*CAPA4_RETAIL!BH19</f>
        <v>0</v>
      </c>
      <c r="BI9" s="77">
        <f>SUP_CONTROL!$C$14*CAPA4_RETAIL!BI19</f>
        <v>0</v>
      </c>
      <c r="BJ9" s="77">
        <f>SUP_CONTROL!$C$14*CAPA4_RETAIL!BJ19</f>
        <v>0</v>
      </c>
      <c r="BK9" s="77">
        <f>SUP_CONTROL!$C$14*CAPA4_RETAIL!BK19</f>
        <v>0</v>
      </c>
      <c r="BL9" s="77">
        <f>SUP_CONTROL!$C$14*CAPA4_RETAIL!BL19</f>
        <v>0</v>
      </c>
      <c r="BM9" s="77">
        <f>SUP_CONTROL!$C$14*CAPA4_RETAIL!BM19</f>
        <v>0</v>
      </c>
      <c r="BN9" s="77">
        <f>SUP_CONTROL!$C$14*CAPA4_RETAIL!BN19</f>
        <v>0</v>
      </c>
      <c r="BO9" s="77">
        <f>SUP_CONTROL!$C$14*CAPA4_RETAIL!BO19</f>
        <v>0</v>
      </c>
      <c r="BP9" s="77">
        <f>SUP_CONTROL!$C$14*CAPA4_RETAIL!BP19</f>
        <v>0</v>
      </c>
      <c r="BQ9" s="77">
        <f>SUP_CONTROL!$C$14*CAPA4_RETAIL!BQ19</f>
        <v>0</v>
      </c>
      <c r="BR9" s="77">
        <f>SUP_CONTROL!$C$14*CAPA4_RETAIL!BR19</f>
        <v>0</v>
      </c>
      <c r="BS9" s="77">
        <f>SUP_CONTROL!$C$14*CAPA4_RETAIL!BS19</f>
        <v>0</v>
      </c>
      <c r="BT9" s="77">
        <f>SUP_CONTROL!$C$14*CAPA4_RETAIL!BT19</f>
        <v>0</v>
      </c>
      <c r="BU9" s="77">
        <f>SUP_CONTROL!$C$14*CAPA4_RETAIL!BU19</f>
        <v>0</v>
      </c>
      <c r="BV9" s="77">
        <f>SUP_CONTROL!$C$14*CAPA4_RETAIL!BV19</f>
        <v>0</v>
      </c>
      <c r="BW9" s="77">
        <f>SUP_CONTROL!$C$14*CAPA4_RETAIL!BW19</f>
        <v>0</v>
      </c>
      <c r="BX9" s="77">
        <f>SUP_CONTROL!$C$14*CAPA4_RETAIL!BX19</f>
        <v>0</v>
      </c>
      <c r="BY9" s="77">
        <f>SUP_CONTROL!$C$14*CAPA4_RETAIL!BY19</f>
        <v>0</v>
      </c>
      <c r="BZ9" s="77">
        <f>SUP_CONTROL!$C$14*CAPA4_RETAIL!BZ19</f>
        <v>0</v>
      </c>
      <c r="CA9" s="77">
        <f>SUP_CONTROL!$C$14*CAPA4_RETAIL!CA19</f>
        <v>0</v>
      </c>
      <c r="CB9" s="77">
        <f>SUP_CONTROL!$C$14*CAPA4_RETAIL!CB19</f>
        <v>0</v>
      </c>
      <c r="CC9" s="77">
        <f>SUP_CONTROL!$C$14*CAPA4_RETAIL!CC19</f>
        <v>0</v>
      </c>
      <c r="CD9" s="77">
        <f>SUP_CONTROL!$C$14*CAPA4_RETAIL!CD19</f>
        <v>0</v>
      </c>
      <c r="CE9" s="77">
        <f>SUP_CONTROL!$C$14*CAPA4_RETAIL!CE19</f>
        <v>0</v>
      </c>
      <c r="CF9" s="77">
        <f>SUP_CONTROL!$C$14*CAPA4_RETAIL!CF19</f>
        <v>0</v>
      </c>
      <c r="CG9" s="77">
        <f>SUP_CONTROL!$C$14*CAPA4_RETAIL!CG19</f>
        <v>0</v>
      </c>
      <c r="CH9" s="77">
        <f>SUP_CONTROL!$C$14*CAPA4_RETAIL!CH19</f>
        <v>0</v>
      </c>
      <c r="CI9" s="77">
        <f>SUP_CONTROL!$C$14*CAPA4_RETAIL!CI19</f>
        <v>0</v>
      </c>
      <c r="CJ9" s="77">
        <f>SUP_CONTROL!$C$14*CAPA4_RETAIL!CJ19</f>
        <v>0</v>
      </c>
      <c r="CK9" s="77">
        <f>SUP_CONTROL!$C$14*CAPA4_RETAIL!CK19</f>
        <v>0</v>
      </c>
      <c r="CL9" s="77">
        <f>SUP_CONTROL!$C$14*CAPA4_RETAIL!CL19</f>
        <v>0</v>
      </c>
      <c r="CM9" s="77">
        <f>SUP_CONTROL!$C$14*CAPA4_RETAIL!CM19</f>
        <v>0</v>
      </c>
      <c r="CN9" s="77">
        <f>SUP_CONTROL!$C$14*CAPA4_RETAIL!CN19</f>
        <v>0</v>
      </c>
      <c r="CO9" s="77">
        <f>SUP_CONTROL!$C$14*CAPA4_RETAIL!CO19</f>
        <v>0</v>
      </c>
      <c r="CP9" s="77">
        <f>SUP_CONTROL!$C$14*CAPA4_RETAIL!CP19</f>
        <v>0</v>
      </c>
      <c r="CQ9" s="77">
        <f>SUP_CONTROL!$C$14*CAPA4_RETAIL!CQ19</f>
        <v>0</v>
      </c>
      <c r="CR9" s="77">
        <f>SUP_CONTROL!$C$14*CAPA4_RETAIL!CR19</f>
        <v>0</v>
      </c>
      <c r="CS9" s="77">
        <f>SUP_CONTROL!$C$14*CAPA4_RETAIL!CS19</f>
        <v>0</v>
      </c>
      <c r="CT9" s="77">
        <f>SUP_CONTROL!$C$14*CAPA4_RETAIL!CT19</f>
        <v>0</v>
      </c>
      <c r="CU9" s="77">
        <f>SUP_CONTROL!$C$14*CAPA4_RETAIL!CU19</f>
        <v>0</v>
      </c>
      <c r="CV9" s="77">
        <f>SUP_CONTROL!$C$14*CAPA4_RETAIL!CV19</f>
        <v>0</v>
      </c>
      <c r="CW9" s="77">
        <f>SUP_CONTROL!$C$14*CAPA4_RETAIL!CW19</f>
        <v>0</v>
      </c>
      <c r="CX9" s="77">
        <f>SUP_CONTROL!$C$14*CAPA4_RETAIL!CX19</f>
        <v>0</v>
      </c>
      <c r="CY9" s="77">
        <f>SUP_CONTROL!$C$14*CAPA4_RETAIL!CY19</f>
        <v>0</v>
      </c>
      <c r="CZ9" s="77">
        <f>SUP_CONTROL!$C$14*CAPA4_RETAIL!CZ19</f>
        <v>0</v>
      </c>
      <c r="DA9" s="77">
        <f>SUP_CONTROL!$C$14*CAPA4_RETAIL!DA19</f>
        <v>0</v>
      </c>
      <c r="DB9" s="77">
        <f>SUP_CONTROL!$C$14*CAPA4_RETAIL!DB19</f>
        <v>0</v>
      </c>
      <c r="DC9" s="77">
        <f>SUP_CONTROL!$C$14*CAPA4_RETAIL!DC19</f>
        <v>0</v>
      </c>
      <c r="DD9" s="77">
        <f>SUP_CONTROL!$C$14*CAPA4_RETAIL!DD19</f>
        <v>0</v>
      </c>
      <c r="DE9" s="77">
        <f>SUP_CONTROL!$C$14*CAPA4_RETAIL!DE19</f>
        <v>0</v>
      </c>
      <c r="DF9" s="77">
        <f>SUP_CONTROL!$C$14*CAPA4_RETAIL!DF19</f>
        <v>0</v>
      </c>
      <c r="DG9" s="77">
        <f>SUP_CONTROL!$C$14*CAPA4_RETAIL!DG19</f>
        <v>0</v>
      </c>
      <c r="DH9" s="77">
        <f>SUP_CONTROL!$C$14*CAPA4_RETAIL!DH19</f>
        <v>0</v>
      </c>
      <c r="DI9" s="77">
        <f>SUP_CONTROL!$C$14*CAPA4_RETAIL!DI19</f>
        <v>0</v>
      </c>
      <c r="DJ9" s="77">
        <f>SUP_CONTROL!$C$14*CAPA4_RETAIL!DJ19</f>
        <v>0</v>
      </c>
      <c r="DK9" s="77">
        <f>SUP_CONTROL!$C$14*CAPA4_RETAIL!DK19</f>
        <v>0</v>
      </c>
      <c r="DL9" s="77">
        <f>SUP_CONTROL!$C$14*CAPA4_RETAIL!DL19</f>
        <v>0</v>
      </c>
      <c r="DM9" s="77">
        <f>SUP_CONTROL!$C$14*CAPA4_RETAIL!DM19</f>
        <v>0</v>
      </c>
      <c r="DN9" s="77">
        <f>SUP_CONTROL!$C$14*CAPA4_RETAIL!DN19</f>
        <v>0</v>
      </c>
      <c r="DO9" s="77">
        <f>SUP_CONTROL!$C$14*CAPA4_RETAIL!DO19</f>
        <v>0</v>
      </c>
      <c r="DP9" s="77">
        <f>SUP_CONTROL!$C$14*CAPA4_RETAIL!DP19</f>
        <v>0</v>
      </c>
      <c r="DQ9" s="77">
        <f>SUP_CONTROL!$C$14*CAPA4_RETAIL!DQ19</f>
        <v>0</v>
      </c>
      <c r="DR9" s="77">
        <f>SUP_CONTROL!$C$14*CAPA4_RETAIL!DR19</f>
        <v>0</v>
      </c>
      <c r="DS9" s="77">
        <f>SUP_CONTROL!$C$14*CAPA4_RETAIL!DS19</f>
        <v>0</v>
      </c>
    </row>
    <row r="10" spans="1:123" ht="15" customHeight="1" x14ac:dyDescent="0.2">
      <c r="B10" s="37" t="s">
        <v>1004</v>
      </c>
      <c r="D10" s="77">
        <f t="shared" ref="D10:AI10" si="0">D51</f>
        <v>0</v>
      </c>
      <c r="E10" s="77">
        <f t="shared" si="0"/>
        <v>0</v>
      </c>
      <c r="F10" s="77">
        <f t="shared" si="0"/>
        <v>0</v>
      </c>
      <c r="G10" s="77">
        <f t="shared" si="0"/>
        <v>0</v>
      </c>
      <c r="H10" s="77">
        <f t="shared" si="0"/>
        <v>0</v>
      </c>
      <c r="I10" s="77">
        <f t="shared" si="0"/>
        <v>0</v>
      </c>
      <c r="J10" s="77">
        <f t="shared" si="0"/>
        <v>0</v>
      </c>
      <c r="K10" s="77">
        <f t="shared" si="0"/>
        <v>0</v>
      </c>
      <c r="L10" s="77">
        <f t="shared" si="0"/>
        <v>0</v>
      </c>
      <c r="M10" s="77">
        <f t="shared" si="0"/>
        <v>0</v>
      </c>
      <c r="N10" s="77">
        <f t="shared" si="0"/>
        <v>0</v>
      </c>
      <c r="O10" s="77">
        <f t="shared" si="0"/>
        <v>0</v>
      </c>
      <c r="P10" s="77">
        <f t="shared" si="0"/>
        <v>0</v>
      </c>
      <c r="Q10" s="77">
        <f t="shared" si="0"/>
        <v>0</v>
      </c>
      <c r="R10" s="77">
        <f t="shared" si="0"/>
        <v>0</v>
      </c>
      <c r="S10" s="77">
        <f t="shared" si="0"/>
        <v>0</v>
      </c>
      <c r="T10" s="77">
        <f t="shared" si="0"/>
        <v>3158.0003315392364</v>
      </c>
      <c r="U10" s="77">
        <f t="shared" si="0"/>
        <v>4325.4303484750308</v>
      </c>
      <c r="V10" s="77">
        <f t="shared" si="0"/>
        <v>7534.3709057311262</v>
      </c>
      <c r="W10" s="77">
        <f t="shared" si="0"/>
        <v>11977.187957073995</v>
      </c>
      <c r="X10" s="77">
        <f t="shared" si="0"/>
        <v>13960.151836313642</v>
      </c>
      <c r="Y10" s="77">
        <f t="shared" si="0"/>
        <v>15549.351287394718</v>
      </c>
      <c r="Z10" s="77">
        <f t="shared" si="0"/>
        <v>16344.856491152357</v>
      </c>
      <c r="AA10" s="77">
        <f t="shared" si="0"/>
        <v>14821.298962500076</v>
      </c>
      <c r="AB10" s="77">
        <f t="shared" si="0"/>
        <v>15686.490184054299</v>
      </c>
      <c r="AC10" s="77">
        <f t="shared" si="0"/>
        <v>16080.071413762631</v>
      </c>
      <c r="AD10" s="77">
        <f t="shared" si="0"/>
        <v>15616.165468586925</v>
      </c>
      <c r="AE10" s="77">
        <f t="shared" si="0"/>
        <v>15616.165468586925</v>
      </c>
      <c r="AF10" s="77">
        <f t="shared" si="0"/>
        <v>18841.848327753862</v>
      </c>
      <c r="AG10" s="77">
        <f t="shared" si="0"/>
        <v>23157.284161254684</v>
      </c>
      <c r="AH10" s="77">
        <f t="shared" si="0"/>
        <v>25394.641904457749</v>
      </c>
      <c r="AI10" s="77">
        <f t="shared" si="0"/>
        <v>29803.535617254041</v>
      </c>
      <c r="AJ10" s="77">
        <f t="shared" ref="AJ10:BO10" si="1">AJ51</f>
        <v>34818.075943723561</v>
      </c>
      <c r="AK10" s="77">
        <f t="shared" si="1"/>
        <v>37110.953419489204</v>
      </c>
      <c r="AL10" s="77">
        <f t="shared" si="1"/>
        <v>37490.532391393892</v>
      </c>
      <c r="AM10" s="77">
        <f t="shared" si="1"/>
        <v>41576.005335879367</v>
      </c>
      <c r="AN10" s="77">
        <f t="shared" si="1"/>
        <v>46885.791001829522</v>
      </c>
      <c r="AO10" s="77">
        <f t="shared" si="1"/>
        <v>52200.544473988324</v>
      </c>
      <c r="AP10" s="77">
        <f t="shared" si="1"/>
        <v>57970.334103667985</v>
      </c>
      <c r="AQ10" s="77">
        <f t="shared" si="1"/>
        <v>61104.197715625254</v>
      </c>
      <c r="AR10" s="77">
        <f t="shared" si="1"/>
        <v>66276.987360158062</v>
      </c>
      <c r="AS10" s="77">
        <f t="shared" si="1"/>
        <v>68707.780796124862</v>
      </c>
      <c r="AT10" s="77">
        <f t="shared" si="1"/>
        <v>72484.714809429774</v>
      </c>
      <c r="AU10" s="77">
        <f t="shared" si="1"/>
        <v>77516.194228611523</v>
      </c>
      <c r="AV10" s="77">
        <f t="shared" si="1"/>
        <v>79586.610022980429</v>
      </c>
      <c r="AW10" s="77">
        <f t="shared" si="1"/>
        <v>77048.119186108277</v>
      </c>
      <c r="AX10" s="77">
        <f t="shared" si="1"/>
        <v>77864.246921704835</v>
      </c>
      <c r="AY10" s="77">
        <f t="shared" si="1"/>
        <v>77864.246921704835</v>
      </c>
      <c r="AZ10" s="77">
        <f t="shared" si="1"/>
        <v>79894.634420887203</v>
      </c>
      <c r="BA10" s="77">
        <f t="shared" si="1"/>
        <v>78001.472496148053</v>
      </c>
      <c r="BB10" s="77">
        <f t="shared" si="1"/>
        <v>78263.717150981392</v>
      </c>
      <c r="BC10" s="77">
        <f t="shared" si="1"/>
        <v>78657.298380689725</v>
      </c>
      <c r="BD10" s="77">
        <f t="shared" si="1"/>
        <v>77379.02222824037</v>
      </c>
      <c r="BE10" s="77">
        <f t="shared" si="1"/>
        <v>82688.14036053521</v>
      </c>
      <c r="BF10" s="77">
        <f t="shared" si="1"/>
        <v>85741.443868326256</v>
      </c>
      <c r="BG10" s="77">
        <f t="shared" si="1"/>
        <v>92603.675239419055</v>
      </c>
      <c r="BH10" s="77">
        <f t="shared" si="1"/>
        <v>98436.663285194765</v>
      </c>
      <c r="BI10" s="77">
        <f t="shared" si="1"/>
        <v>104285.86861276766</v>
      </c>
      <c r="BJ10" s="77">
        <f t="shared" si="1"/>
        <v>110451.58142888831</v>
      </c>
      <c r="BK10" s="77">
        <f t="shared" si="1"/>
        <v>112333.02766362583</v>
      </c>
      <c r="BL10" s="77">
        <f t="shared" si="1"/>
        <v>121184.11816568568</v>
      </c>
      <c r="BM10" s="77">
        <f t="shared" si="1"/>
        <v>127027.56963851574</v>
      </c>
      <c r="BN10" s="77">
        <f t="shared" si="1"/>
        <v>133181.04291486373</v>
      </c>
      <c r="BO10" s="77">
        <f t="shared" si="1"/>
        <v>139297.49921078898</v>
      </c>
      <c r="BP10" s="77">
        <f t="shared" ref="BP10:CU10" si="2">BP51</f>
        <v>142297.80862036569</v>
      </c>
      <c r="BQ10" s="77">
        <f t="shared" si="2"/>
        <v>148034.48153520233</v>
      </c>
      <c r="BR10" s="77">
        <f t="shared" si="2"/>
        <v>154060.57387516531</v>
      </c>
      <c r="BS10" s="77">
        <f t="shared" si="2"/>
        <v>155686.20749305369</v>
      </c>
      <c r="BT10" s="77">
        <f t="shared" si="2"/>
        <v>162769.00864112334</v>
      </c>
      <c r="BU10" s="77">
        <f t="shared" si="2"/>
        <v>164469.93985668433</v>
      </c>
      <c r="BV10" s="77">
        <f t="shared" si="2"/>
        <v>170645.89008341855</v>
      </c>
      <c r="BW10" s="77">
        <f t="shared" si="2"/>
        <v>176545.71026724484</v>
      </c>
      <c r="BX10" s="77">
        <f t="shared" si="2"/>
        <v>187177.26356389793</v>
      </c>
      <c r="BY10" s="77">
        <f t="shared" si="2"/>
        <v>192948.87003027211</v>
      </c>
      <c r="BZ10" s="77">
        <f t="shared" si="2"/>
        <v>200017.92113874236</v>
      </c>
      <c r="CA10" s="77">
        <f t="shared" si="2"/>
        <v>206888.8819895674</v>
      </c>
      <c r="CB10" s="77">
        <f t="shared" si="2"/>
        <v>209979.44892160804</v>
      </c>
      <c r="CC10" s="77">
        <f t="shared" si="2"/>
        <v>211081.28445392806</v>
      </c>
      <c r="CD10" s="77">
        <f t="shared" si="2"/>
        <v>212884.02903420108</v>
      </c>
      <c r="CE10" s="77">
        <f t="shared" si="2"/>
        <v>213667.88964740984</v>
      </c>
      <c r="CF10" s="77">
        <f t="shared" si="2"/>
        <v>213667.88964740984</v>
      </c>
      <c r="CG10" s="77">
        <f t="shared" si="2"/>
        <v>213667.88964740984</v>
      </c>
      <c r="CH10" s="77">
        <f t="shared" si="2"/>
        <v>213667.88964740984</v>
      </c>
      <c r="CI10" s="77">
        <f t="shared" si="2"/>
        <v>213667.88964740984</v>
      </c>
      <c r="CJ10" s="77">
        <f t="shared" si="2"/>
        <v>213667.88964740984</v>
      </c>
      <c r="CK10" s="77">
        <f t="shared" si="2"/>
        <v>213667.88964740984</v>
      </c>
      <c r="CL10" s="77">
        <f t="shared" si="2"/>
        <v>213667.88964740984</v>
      </c>
      <c r="CM10" s="77">
        <f t="shared" si="2"/>
        <v>213667.88964740984</v>
      </c>
      <c r="CN10" s="77">
        <f t="shared" si="2"/>
        <v>213667.88964740984</v>
      </c>
      <c r="CO10" s="77">
        <f t="shared" si="2"/>
        <v>213667.88964740984</v>
      </c>
      <c r="CP10" s="77">
        <f t="shared" si="2"/>
        <v>213667.88964740984</v>
      </c>
      <c r="CQ10" s="77">
        <f t="shared" si="2"/>
        <v>213667.88964740984</v>
      </c>
      <c r="CR10" s="77">
        <f t="shared" si="2"/>
        <v>213667.88964740984</v>
      </c>
      <c r="CS10" s="77">
        <f t="shared" si="2"/>
        <v>213667.88964740984</v>
      </c>
      <c r="CT10" s="77">
        <f t="shared" si="2"/>
        <v>213667.88964740984</v>
      </c>
      <c r="CU10" s="77">
        <f t="shared" si="2"/>
        <v>213667.88964740984</v>
      </c>
      <c r="CV10" s="77">
        <f t="shared" ref="CV10:DS10" si="3">CV51</f>
        <v>213667.88964740984</v>
      </c>
      <c r="CW10" s="77">
        <f t="shared" si="3"/>
        <v>213667.88964740984</v>
      </c>
      <c r="CX10" s="77">
        <f t="shared" si="3"/>
        <v>213667.88964740984</v>
      </c>
      <c r="CY10" s="77">
        <f t="shared" si="3"/>
        <v>213667.88964740984</v>
      </c>
      <c r="CZ10" s="77">
        <f t="shared" si="3"/>
        <v>213667.88964740984</v>
      </c>
      <c r="DA10" s="77">
        <f t="shared" si="3"/>
        <v>213667.88964740984</v>
      </c>
      <c r="DB10" s="77">
        <f t="shared" si="3"/>
        <v>213667.88964740984</v>
      </c>
      <c r="DC10" s="77">
        <f t="shared" si="3"/>
        <v>213667.88964740984</v>
      </c>
      <c r="DD10" s="77">
        <f t="shared" si="3"/>
        <v>213667.88964740984</v>
      </c>
      <c r="DE10" s="77">
        <f t="shared" si="3"/>
        <v>213667.88964740984</v>
      </c>
      <c r="DF10" s="77">
        <f t="shared" si="3"/>
        <v>213667.88964740984</v>
      </c>
      <c r="DG10" s="77">
        <f t="shared" si="3"/>
        <v>213667.88964740984</v>
      </c>
      <c r="DH10" s="77">
        <f t="shared" si="3"/>
        <v>213667.88964740984</v>
      </c>
      <c r="DI10" s="77">
        <f t="shared" si="3"/>
        <v>213667.88964740984</v>
      </c>
      <c r="DJ10" s="77">
        <f t="shared" si="3"/>
        <v>213667.88964740984</v>
      </c>
      <c r="DK10" s="77">
        <f t="shared" si="3"/>
        <v>213667.88964740984</v>
      </c>
      <c r="DL10" s="77">
        <f t="shared" si="3"/>
        <v>213667.88964740984</v>
      </c>
      <c r="DM10" s="77">
        <f t="shared" si="3"/>
        <v>213667.88964740984</v>
      </c>
      <c r="DN10" s="77">
        <f t="shared" si="3"/>
        <v>213667.88964740984</v>
      </c>
      <c r="DO10" s="77">
        <f t="shared" si="3"/>
        <v>213667.88964740984</v>
      </c>
      <c r="DP10" s="77">
        <f t="shared" si="3"/>
        <v>213667.88964740984</v>
      </c>
      <c r="DQ10" s="77">
        <f t="shared" si="3"/>
        <v>213667.88964740984</v>
      </c>
      <c r="DR10" s="77">
        <f t="shared" si="3"/>
        <v>213667.88964740984</v>
      </c>
      <c r="DS10" s="77">
        <f t="shared" si="3"/>
        <v>213667.88964740984</v>
      </c>
    </row>
    <row r="11" spans="1:123" ht="15" customHeight="1" x14ac:dyDescent="0.2">
      <c r="B11" s="20" t="s">
        <v>1005</v>
      </c>
      <c r="D11" s="72">
        <f t="shared" ref="D11:AI11" si="4">SUM(D7:D10)</f>
        <v>0</v>
      </c>
      <c r="E11" s="72">
        <f t="shared" si="4"/>
        <v>-15714.999999999998</v>
      </c>
      <c r="F11" s="72">
        <f t="shared" si="4"/>
        <v>-15714.999999999998</v>
      </c>
      <c r="G11" s="72">
        <f t="shared" si="4"/>
        <v>-12922.749499036378</v>
      </c>
      <c r="H11" s="72">
        <f t="shared" si="4"/>
        <v>5534.7285646337368</v>
      </c>
      <c r="I11" s="72">
        <f t="shared" si="4"/>
        <v>22386.91392405441</v>
      </c>
      <c r="J11" s="72">
        <f t="shared" si="4"/>
        <v>33729.789836990494</v>
      </c>
      <c r="K11" s="72">
        <f t="shared" si="4"/>
        <v>46096.136047573047</v>
      </c>
      <c r="L11" s="72">
        <f t="shared" si="4"/>
        <v>52032.83278784815</v>
      </c>
      <c r="M11" s="72">
        <f t="shared" si="4"/>
        <v>55182.91677248395</v>
      </c>
      <c r="N11" s="72">
        <f t="shared" si="4"/>
        <v>55182.91677248395</v>
      </c>
      <c r="O11" s="72">
        <f t="shared" si="4"/>
        <v>55182.91677248395</v>
      </c>
      <c r="P11" s="72">
        <f t="shared" si="4"/>
        <v>58326.444877464273</v>
      </c>
      <c r="Q11" s="72">
        <f t="shared" si="4"/>
        <v>58326.444877464273</v>
      </c>
      <c r="R11" s="72">
        <f t="shared" si="4"/>
        <v>58326.444877464273</v>
      </c>
      <c r="S11" s="72">
        <f t="shared" si="4"/>
        <v>58326.444877464273</v>
      </c>
      <c r="T11" s="72">
        <f t="shared" si="4"/>
        <v>61890.976914360654</v>
      </c>
      <c r="U11" s="72">
        <f t="shared" si="4"/>
        <v>63145.807238759808</v>
      </c>
      <c r="V11" s="72">
        <f t="shared" si="4"/>
        <v>66760.158860755633</v>
      </c>
      <c r="W11" s="72">
        <f t="shared" si="4"/>
        <v>71629.340807150627</v>
      </c>
      <c r="X11" s="72">
        <f t="shared" si="4"/>
        <v>73720.724681149237</v>
      </c>
      <c r="Y11" s="72">
        <f t="shared" si="4"/>
        <v>75393.831780348119</v>
      </c>
      <c r="Z11" s="72">
        <f t="shared" si="4"/>
        <v>76230.38532994756</v>
      </c>
      <c r="AA11" s="72">
        <f t="shared" si="4"/>
        <v>71637.800119280902</v>
      </c>
      <c r="AB11" s="72">
        <f t="shared" si="4"/>
        <v>75646.519445815458</v>
      </c>
      <c r="AC11" s="72">
        <f t="shared" si="4"/>
        <v>76040.10067552379</v>
      </c>
      <c r="AD11" s="72">
        <f t="shared" si="4"/>
        <v>75503.491419070997</v>
      </c>
      <c r="AE11" s="72">
        <f t="shared" si="4"/>
        <v>75503.491419070997</v>
      </c>
      <c r="AF11" s="72">
        <f t="shared" si="4"/>
        <v>79358.276167078468</v>
      </c>
      <c r="AG11" s="72">
        <f t="shared" si="4"/>
        <v>84236.060915085953</v>
      </c>
      <c r="AH11" s="72">
        <f t="shared" si="4"/>
        <v>86646.824496256071</v>
      </c>
      <c r="AI11" s="72">
        <f t="shared" si="4"/>
        <v>91563.710037076467</v>
      </c>
      <c r="AJ11" s="72">
        <f t="shared" ref="AJ11:BO11" si="5">SUM(AJ7:AJ10)</f>
        <v>97046.374206260254</v>
      </c>
      <c r="AK11" s="72">
        <f t="shared" si="5"/>
        <v>99461.086344281182</v>
      </c>
      <c r="AL11" s="72">
        <f t="shared" si="5"/>
        <v>99847.597163092345</v>
      </c>
      <c r="AM11" s="72">
        <f t="shared" si="5"/>
        <v>104353.66975266226</v>
      </c>
      <c r="AN11" s="72">
        <f t="shared" si="5"/>
        <v>111578.51101341775</v>
      </c>
      <c r="AO11" s="72">
        <f t="shared" si="5"/>
        <v>117239.82957101225</v>
      </c>
      <c r="AP11" s="72">
        <f t="shared" si="5"/>
        <v>123359.99026748832</v>
      </c>
      <c r="AQ11" s="72">
        <f t="shared" si="5"/>
        <v>126605.71671238633</v>
      </c>
      <c r="AR11" s="72">
        <f t="shared" si="5"/>
        <v>132092.98556898424</v>
      </c>
      <c r="AS11" s="72">
        <f t="shared" si="5"/>
        <v>134607.63450632448</v>
      </c>
      <c r="AT11" s="72">
        <f t="shared" si="5"/>
        <v>138596.7367813258</v>
      </c>
      <c r="AU11" s="72">
        <f t="shared" si="5"/>
        <v>143864.47410921194</v>
      </c>
      <c r="AV11" s="72">
        <f t="shared" si="5"/>
        <v>145995.5325306867</v>
      </c>
      <c r="AW11" s="72">
        <f t="shared" si="5"/>
        <v>140141.30197319988</v>
      </c>
      <c r="AX11" s="72">
        <f t="shared" si="5"/>
        <v>140993.7253417898</v>
      </c>
      <c r="AY11" s="72">
        <f t="shared" si="5"/>
        <v>140993.7253417898</v>
      </c>
      <c r="AZ11" s="72">
        <f t="shared" si="5"/>
        <v>144595.87689346232</v>
      </c>
      <c r="BA11" s="72">
        <f t="shared" si="5"/>
        <v>142558.02859831008</v>
      </c>
      <c r="BB11" s="72">
        <f t="shared" si="5"/>
        <v>142820.27325314342</v>
      </c>
      <c r="BC11" s="72">
        <f t="shared" si="5"/>
        <v>143213.85448285175</v>
      </c>
      <c r="BD11" s="72">
        <f t="shared" si="5"/>
        <v>142385.30290354707</v>
      </c>
      <c r="BE11" s="72">
        <f t="shared" si="5"/>
        <v>147997.56569497174</v>
      </c>
      <c r="BF11" s="72">
        <f t="shared" si="5"/>
        <v>151290.0444288133</v>
      </c>
      <c r="BG11" s="72">
        <f t="shared" si="5"/>
        <v>158467.89612735162</v>
      </c>
      <c r="BH11" s="72">
        <f t="shared" si="5"/>
        <v>164565.88015589234</v>
      </c>
      <c r="BI11" s="72">
        <f t="shared" si="5"/>
        <v>170663.86418443301</v>
      </c>
      <c r="BJ11" s="72">
        <f t="shared" si="5"/>
        <v>177099.78413206275</v>
      </c>
      <c r="BK11" s="72">
        <f t="shared" si="5"/>
        <v>179092.33251059713</v>
      </c>
      <c r="BL11" s="72">
        <f t="shared" si="5"/>
        <v>189722.81759188429</v>
      </c>
      <c r="BM11" s="72">
        <f t="shared" si="5"/>
        <v>195762.71341043425</v>
      </c>
      <c r="BN11" s="72">
        <f t="shared" si="5"/>
        <v>202131.2397552107</v>
      </c>
      <c r="BO11" s="72">
        <f t="shared" si="5"/>
        <v>208425.34765101993</v>
      </c>
      <c r="BP11" s="72">
        <f t="shared" ref="BP11:CU11" si="6">SUM(BP7:BP10)</f>
        <v>211512.88392796554</v>
      </c>
      <c r="BQ11" s="72">
        <f t="shared" si="6"/>
        <v>217408.95955622476</v>
      </c>
      <c r="BR11" s="72">
        <f t="shared" si="6"/>
        <v>223610.62655401358</v>
      </c>
      <c r="BS11" s="72">
        <f t="shared" si="6"/>
        <v>225469.5280049218</v>
      </c>
      <c r="BT11" s="72">
        <f t="shared" si="6"/>
        <v>232704.75054399198</v>
      </c>
      <c r="BU11" s="72">
        <f t="shared" si="6"/>
        <v>234470.0682795998</v>
      </c>
      <c r="BV11" s="72">
        <f t="shared" si="6"/>
        <v>240776.19435331563</v>
      </c>
      <c r="BW11" s="72">
        <f t="shared" si="6"/>
        <v>246811.00200411666</v>
      </c>
      <c r="BX11" s="72">
        <f t="shared" si="6"/>
        <v>259127.22981886059</v>
      </c>
      <c r="BY11" s="72">
        <f t="shared" si="6"/>
        <v>265005.73107590777</v>
      </c>
      <c r="BZ11" s="72">
        <f t="shared" si="6"/>
        <v>272193.46573033545</v>
      </c>
      <c r="CA11" s="72">
        <f t="shared" si="6"/>
        <v>279190.60719142191</v>
      </c>
      <c r="CB11" s="72">
        <f t="shared" si="6"/>
        <v>281433.57597329357</v>
      </c>
      <c r="CC11" s="72">
        <f t="shared" si="6"/>
        <v>282585.20489620912</v>
      </c>
      <c r="CD11" s="72">
        <f t="shared" si="6"/>
        <v>284411.51458843955</v>
      </c>
      <c r="CE11" s="72">
        <f t="shared" si="6"/>
        <v>285205.56228071364</v>
      </c>
      <c r="CF11" s="72">
        <f t="shared" si="6"/>
        <v>285205.56228071364</v>
      </c>
      <c r="CG11" s="72">
        <f t="shared" si="6"/>
        <v>285205.56228071364</v>
      </c>
      <c r="CH11" s="72">
        <f t="shared" si="6"/>
        <v>285205.56228071364</v>
      </c>
      <c r="CI11" s="72">
        <f t="shared" si="6"/>
        <v>285205.56228071364</v>
      </c>
      <c r="CJ11" s="72">
        <f t="shared" si="6"/>
        <v>285205.56228071364</v>
      </c>
      <c r="CK11" s="72">
        <f t="shared" si="6"/>
        <v>285205.56228071364</v>
      </c>
      <c r="CL11" s="72">
        <f t="shared" si="6"/>
        <v>285205.56228071364</v>
      </c>
      <c r="CM11" s="72">
        <f t="shared" si="6"/>
        <v>285205.56228071364</v>
      </c>
      <c r="CN11" s="72">
        <f t="shared" si="6"/>
        <v>285205.56228071364</v>
      </c>
      <c r="CO11" s="72">
        <f t="shared" si="6"/>
        <v>285205.56228071364</v>
      </c>
      <c r="CP11" s="72">
        <f t="shared" si="6"/>
        <v>285205.56228071364</v>
      </c>
      <c r="CQ11" s="72">
        <f t="shared" si="6"/>
        <v>285205.56228071364</v>
      </c>
      <c r="CR11" s="72">
        <f t="shared" si="6"/>
        <v>285205.56228071364</v>
      </c>
      <c r="CS11" s="72">
        <f t="shared" si="6"/>
        <v>285205.56228071364</v>
      </c>
      <c r="CT11" s="72">
        <f t="shared" si="6"/>
        <v>285205.56228071364</v>
      </c>
      <c r="CU11" s="72">
        <f t="shared" si="6"/>
        <v>285205.56228071364</v>
      </c>
      <c r="CV11" s="72">
        <f t="shared" ref="CV11:EA11" si="7">SUM(CV7:CV10)</f>
        <v>285205.56228071364</v>
      </c>
      <c r="CW11" s="72">
        <f t="shared" si="7"/>
        <v>285205.56228071364</v>
      </c>
      <c r="CX11" s="72">
        <f t="shared" si="7"/>
        <v>285205.56228071364</v>
      </c>
      <c r="CY11" s="72">
        <f t="shared" si="7"/>
        <v>285205.56228071364</v>
      </c>
      <c r="CZ11" s="72">
        <f t="shared" si="7"/>
        <v>285205.56228071364</v>
      </c>
      <c r="DA11" s="72">
        <f t="shared" si="7"/>
        <v>285205.56228071364</v>
      </c>
      <c r="DB11" s="72">
        <f t="shared" si="7"/>
        <v>285205.56228071364</v>
      </c>
      <c r="DC11" s="72">
        <f t="shared" si="7"/>
        <v>285205.56228071364</v>
      </c>
      <c r="DD11" s="72">
        <f t="shared" si="7"/>
        <v>285205.56228071364</v>
      </c>
      <c r="DE11" s="72">
        <f t="shared" si="7"/>
        <v>285205.56228071364</v>
      </c>
      <c r="DF11" s="72">
        <f t="shared" si="7"/>
        <v>285205.56228071364</v>
      </c>
      <c r="DG11" s="72">
        <f t="shared" si="7"/>
        <v>285205.56228071364</v>
      </c>
      <c r="DH11" s="72">
        <f t="shared" si="7"/>
        <v>285205.56228071364</v>
      </c>
      <c r="DI11" s="72">
        <f t="shared" si="7"/>
        <v>285205.56228071364</v>
      </c>
      <c r="DJ11" s="72">
        <f t="shared" si="7"/>
        <v>285205.56228071364</v>
      </c>
      <c r="DK11" s="72">
        <f t="shared" si="7"/>
        <v>285205.56228071364</v>
      </c>
      <c r="DL11" s="72">
        <f t="shared" si="7"/>
        <v>285205.56228071364</v>
      </c>
      <c r="DM11" s="72">
        <f t="shared" si="7"/>
        <v>285205.56228071364</v>
      </c>
      <c r="DN11" s="72">
        <f t="shared" si="7"/>
        <v>285205.56228071364</v>
      </c>
      <c r="DO11" s="72">
        <f t="shared" si="7"/>
        <v>285205.56228071364</v>
      </c>
      <c r="DP11" s="72">
        <f t="shared" si="7"/>
        <v>285205.56228071364</v>
      </c>
      <c r="DQ11" s="72">
        <f t="shared" si="7"/>
        <v>285205.56228071364</v>
      </c>
      <c r="DR11" s="72">
        <f t="shared" si="7"/>
        <v>285205.56228071364</v>
      </c>
      <c r="DS11" s="72">
        <f t="shared" si="7"/>
        <v>285205.56228071364</v>
      </c>
    </row>
    <row r="13" spans="1:123" ht="15" customHeight="1" x14ac:dyDescent="0.2">
      <c r="B13" s="37" t="s">
        <v>1006</v>
      </c>
      <c r="D13" s="77">
        <f>SUP_CONTROL!$C$11*(CAPA1_PILOTO!D15-CAPA1_PILOTO!D23)+SUP_CONTROL!$C$12*(CAPA2_FLAGSHIP!D11-CAPA2_FLAGSHIP!D18)+SUP_CONTROL!$C$14*(CAPA4_RETAIL!D8-CAPA4_RETAIL!D12)+(D39-D46)</f>
        <v>0</v>
      </c>
      <c r="E13" s="77">
        <f>SUP_CONTROL!$C$11*(CAPA1_PILOTO!E15-CAPA1_PILOTO!E23)+SUP_CONTROL!$C$12*(CAPA2_FLAGSHIP!E11-CAPA2_FLAGSHIP!E18)+SUP_CONTROL!$C$14*(CAPA4_RETAIL!E8-CAPA4_RETAIL!E12)+(E39-E46)</f>
        <v>15714.999999999998</v>
      </c>
      <c r="F13" s="77">
        <f>SUP_CONTROL!$C$11*(CAPA1_PILOTO!F15-CAPA1_PILOTO!F23)+SUP_CONTROL!$C$12*(CAPA2_FLAGSHIP!F11-CAPA2_FLAGSHIP!F18)+SUP_CONTROL!$C$14*(CAPA4_RETAIL!F8-CAPA4_RETAIL!F12)+(F39-F46)</f>
        <v>15714.999999999998</v>
      </c>
      <c r="G13" s="77">
        <f>SUP_CONTROL!$C$11*(CAPA1_PILOTO!G15-CAPA1_PILOTO!G23)+SUP_CONTROL!$C$12*(CAPA2_FLAGSHIP!G11-CAPA2_FLAGSHIP!G18)+SUP_CONTROL!$C$14*(CAPA4_RETAIL!G8-CAPA4_RETAIL!G12)+(G39-G46)</f>
        <v>74097.88637660761</v>
      </c>
      <c r="H13" s="77">
        <f>SUP_CONTROL!$C$11*(CAPA1_PILOTO!H15-CAPA1_PILOTO!H23)+SUP_CONTROL!$C$12*(CAPA2_FLAGSHIP!H11-CAPA2_FLAGSHIP!H18)+SUP_CONTROL!$C$14*(CAPA4_RETAIL!H8-CAPA4_RETAIL!H12)+(H39-H46)</f>
        <v>129924.50309284545</v>
      </c>
      <c r="I13" s="77">
        <f>SUP_CONTROL!$C$11*(CAPA1_PILOTO!I15-CAPA1_PILOTO!I23)+SUP_CONTROL!$C$12*(CAPA2_FLAGSHIP!I11-CAPA2_FLAGSHIP!I18)+SUP_CONTROL!$C$14*(CAPA4_RETAIL!I8-CAPA4_RETAIL!I12)+(I39-I46)</f>
        <v>196253.11727089141</v>
      </c>
      <c r="J13" s="77">
        <f>SUP_CONTROL!$C$11*(CAPA1_PILOTO!J15-CAPA1_PILOTO!J23)+SUP_CONTROL!$C$12*(CAPA2_FLAGSHIP!J11-CAPA2_FLAGSHIP!J18)+SUP_CONTROL!$C$14*(CAPA4_RETAIL!J8-CAPA4_RETAIL!J12)+(J39-J46)</f>
        <v>275636.26485911099</v>
      </c>
      <c r="K13" s="77">
        <f>SUP_CONTROL!$C$11*(CAPA1_PILOTO!K15-CAPA1_PILOTO!K23)+SUP_CONTROL!$C$12*(CAPA2_FLAGSHIP!K11-CAPA2_FLAGSHIP!K18)+SUP_CONTROL!$C$14*(CAPA4_RETAIL!K8-CAPA4_RETAIL!K12)+(K39-K46)</f>
        <v>364611.31409212516</v>
      </c>
      <c r="L13" s="77">
        <f>SUP_CONTROL!$C$11*(CAPA1_PILOTO!L15-CAPA1_PILOTO!L23)+SUP_CONTROL!$C$12*(CAPA2_FLAGSHIP!L11-CAPA2_FLAGSHIP!L18)+SUP_CONTROL!$C$14*(CAPA4_RETAIL!L8-CAPA4_RETAIL!L12)+(L39-L46)</f>
        <v>387733.26589182712</v>
      </c>
      <c r="M13" s="77">
        <f>SUP_CONTROL!$C$11*(CAPA1_PILOTO!M15-CAPA1_PILOTO!M23)+SUP_CONTROL!$C$12*(CAPA2_FLAGSHIP!M11-CAPA2_FLAGSHIP!M18)+SUP_CONTROL!$C$14*(CAPA4_RETAIL!M8-CAPA4_RETAIL!M12)+(M39-M46)</f>
        <v>400002.05664268945</v>
      </c>
      <c r="N13" s="77">
        <f>SUP_CONTROL!$C$11*(CAPA1_PILOTO!N15-CAPA1_PILOTO!N23)+SUP_CONTROL!$C$12*(CAPA2_FLAGSHIP!N11-CAPA2_FLAGSHIP!N18)+SUP_CONTROL!$C$14*(CAPA4_RETAIL!N8-CAPA4_RETAIL!N12)+(N39-N46)</f>
        <v>400002.05664268945</v>
      </c>
      <c r="O13" s="77">
        <f>SUP_CONTROL!$C$11*(CAPA1_PILOTO!O15-CAPA1_PILOTO!O23)+SUP_CONTROL!$C$12*(CAPA2_FLAGSHIP!O11-CAPA2_FLAGSHIP!O18)+SUP_CONTROL!$C$14*(CAPA4_RETAIL!O8-CAPA4_RETAIL!O12)+(O39-O46)</f>
        <v>400002.05664268945</v>
      </c>
      <c r="P13" s="77">
        <f>SUP_CONTROL!$C$11*(CAPA1_PILOTO!P15-CAPA1_PILOTO!P23)+SUP_CONTROL!$C$12*(CAPA2_FLAGSHIP!P11-CAPA2_FLAGSHIP!P18)+SUP_CONTROL!$C$14*(CAPA4_RETAIL!P8-CAPA4_RETAIL!P12)+(P39-P46)</f>
        <v>395239.13527150714</v>
      </c>
      <c r="Q13" s="77">
        <f>SUP_CONTROL!$C$11*(CAPA1_PILOTO!Q15-CAPA1_PILOTO!Q23)+SUP_CONTROL!$C$12*(CAPA2_FLAGSHIP!Q11-CAPA2_FLAGSHIP!Q18)+SUP_CONTROL!$C$14*(CAPA4_RETAIL!Q8-CAPA4_RETAIL!Q12)+(Q39-Q46)</f>
        <v>395239.13527150714</v>
      </c>
      <c r="R13" s="77">
        <f>SUP_CONTROL!$C$11*(CAPA1_PILOTO!R15-CAPA1_PILOTO!R23)+SUP_CONTROL!$C$12*(CAPA2_FLAGSHIP!R11-CAPA2_FLAGSHIP!R18)+SUP_CONTROL!$C$14*(CAPA4_RETAIL!R8-CAPA4_RETAIL!R12)+(R39-R46)</f>
        <v>395239.13527150714</v>
      </c>
      <c r="S13" s="77">
        <f>SUP_CONTROL!$C$11*(CAPA1_PILOTO!S15-CAPA1_PILOTO!S23)+SUP_CONTROL!$C$12*(CAPA2_FLAGSHIP!S11-CAPA2_FLAGSHIP!S18)+SUP_CONTROL!$C$14*(CAPA4_RETAIL!S8-CAPA4_RETAIL!S12)+(S39-S46)</f>
        <v>395239.13527150714</v>
      </c>
      <c r="T13" s="77">
        <f>SUP_CONTROL!$C$11*(CAPA1_PILOTO!T15-CAPA1_PILOTO!T23)+SUP_CONTROL!$C$12*(CAPA2_FLAGSHIP!T11-CAPA2_FLAGSHIP!T18)+SUP_CONTROL!$C$14*(CAPA4_RETAIL!T8-CAPA4_RETAIL!T12)+(T39-T46)</f>
        <v>419433.0924350603</v>
      </c>
      <c r="U13" s="77">
        <f>SUP_CONTROL!$C$11*(CAPA1_PILOTO!U15-CAPA1_PILOTO!U23)+SUP_CONTROL!$C$12*(CAPA2_FLAGSHIP!U11-CAPA2_FLAGSHIP!U18)+SUP_CONTROL!$C$14*(CAPA4_RETAIL!U8-CAPA4_RETAIL!U12)+(U39-U46)</f>
        <v>424086.31331895723</v>
      </c>
      <c r="V13" s="77">
        <f>SUP_CONTROL!$C$11*(CAPA1_PILOTO!V15-CAPA1_PILOTO!V23)+SUP_CONTROL!$C$12*(CAPA2_FLAGSHIP!V11-CAPA2_FLAGSHIP!V18)+SUP_CONTROL!$C$14*(CAPA4_RETAIL!V8-CAPA4_RETAIL!V12)+(V39-V46)</f>
        <v>451382.41773844161</v>
      </c>
      <c r="W13" s="77">
        <f>SUP_CONTROL!$C$11*(CAPA1_PILOTO!W15-CAPA1_PILOTO!W23)+SUP_CONTROL!$C$12*(CAPA2_FLAGSHIP!W11-CAPA2_FLAGSHIP!W18)+SUP_CONTROL!$C$14*(CAPA4_RETAIL!W8-CAPA4_RETAIL!W12)+(W39-W46)</f>
        <v>483331.74304182304</v>
      </c>
      <c r="X13" s="77">
        <f>SUP_CONTROL!$C$11*(CAPA1_PILOTO!X15-CAPA1_PILOTO!X23)+SUP_CONTROL!$C$12*(CAPA2_FLAGSHIP!X11-CAPA2_FLAGSHIP!X18)+SUP_CONTROL!$C$14*(CAPA4_RETAIL!X8-CAPA4_RETAIL!X12)+(X39-X46)</f>
        <v>491087.11118165113</v>
      </c>
      <c r="Y13" s="77">
        <f>SUP_CONTROL!$C$11*(CAPA1_PILOTO!Y15-CAPA1_PILOTO!Y23)+SUP_CONTROL!$C$12*(CAPA2_FLAGSHIP!Y11-CAPA2_FLAGSHIP!Y18)+SUP_CONTROL!$C$14*(CAPA4_RETAIL!Y8-CAPA4_RETAIL!Y12)+(Y39-Y46)</f>
        <v>497291.40569351363</v>
      </c>
      <c r="Z13" s="77">
        <f>SUP_CONTROL!$C$11*(CAPA1_PILOTO!Z15-CAPA1_PILOTO!Z23)+SUP_CONTROL!$C$12*(CAPA2_FLAGSHIP!Z11-CAPA2_FLAGSHIP!Z18)+SUP_CONTROL!$C$14*(CAPA4_RETAIL!Z8-CAPA4_RETAIL!Z12)+(Z39-Z46)</f>
        <v>500393.55294944491</v>
      </c>
      <c r="AA13" s="77">
        <f>SUP_CONTROL!$C$11*(CAPA1_PILOTO!AA15-CAPA1_PILOTO!AA23)+SUP_CONTROL!$C$12*(CAPA2_FLAGSHIP!AA11-CAPA2_FLAGSHIP!AA18)+SUP_CONTROL!$C$14*(CAPA4_RETAIL!AA8-CAPA4_RETAIL!AA12)+(AA39-AA46)</f>
        <v>508823.42294944485</v>
      </c>
      <c r="AB13" s="77">
        <f>SUP_CONTROL!$C$11*(CAPA1_PILOTO!AB15-CAPA1_PILOTO!AB23)+SUP_CONTROL!$C$12*(CAPA2_FLAGSHIP!AB11-CAPA2_FLAGSHIP!AB18)+SUP_CONTROL!$C$14*(CAPA4_RETAIL!AB8-CAPA4_RETAIL!AB12)+(AB39-AB46)</f>
        <v>502749.60578802892</v>
      </c>
      <c r="AC13" s="77">
        <f>SUP_CONTROL!$C$11*(CAPA1_PILOTO!AC15-CAPA1_PILOTO!AC23)+SUP_CONTROL!$C$12*(CAPA2_FLAGSHIP!AC11-CAPA2_FLAGSHIP!AC18)+SUP_CONTROL!$C$14*(CAPA4_RETAIL!AC8-CAPA4_RETAIL!AC12)+(AC39-AC46)</f>
        <v>502749.60578802892</v>
      </c>
      <c r="AD13" s="77">
        <f>SUP_CONTROL!$C$11*(CAPA1_PILOTO!AD15-CAPA1_PILOTO!AD23)+SUP_CONTROL!$C$12*(CAPA2_FLAGSHIP!AD11-CAPA2_FLAGSHIP!AD18)+SUP_CONTROL!$C$14*(CAPA4_RETAIL!AD8-CAPA4_RETAIL!AD12)+(AD39-AD46)</f>
        <v>500027.30313139776</v>
      </c>
      <c r="AE13" s="77">
        <f>SUP_CONTROL!$C$11*(CAPA1_PILOTO!AE15-CAPA1_PILOTO!AE23)+SUP_CONTROL!$C$12*(CAPA2_FLAGSHIP!AE11-CAPA2_FLAGSHIP!AE18)+SUP_CONTROL!$C$14*(CAPA4_RETAIL!AE8-CAPA4_RETAIL!AE12)+(AE39-AE46)</f>
        <v>500027.30313139776</v>
      </c>
      <c r="AF13" s="77">
        <f>SUP_CONTROL!$C$11*(CAPA1_PILOTO!AF15-CAPA1_PILOTO!AF23)+SUP_CONTROL!$C$12*(CAPA2_FLAGSHIP!AF11-CAPA2_FLAGSHIP!AF18)+SUP_CONTROL!$C$14*(CAPA4_RETAIL!AF8-CAPA4_RETAIL!AF12)+(AF39-AF46)</f>
        <v>530399.91838148329</v>
      </c>
      <c r="AG13" s="77">
        <f>SUP_CONTROL!$C$11*(CAPA1_PILOTO!AG15-CAPA1_PILOTO!AG23)+SUP_CONTROL!$C$12*(CAPA2_FLAGSHIP!AG11-CAPA2_FLAGSHIP!AG18)+SUP_CONTROL!$C$14*(CAPA4_RETAIL!AG8-CAPA4_RETAIL!AG12)+(AG39-AG46)</f>
        <v>559222.53363156877</v>
      </c>
      <c r="AH13" s="77">
        <f>SUP_CONTROL!$C$11*(CAPA1_PILOTO!AH15-CAPA1_PILOTO!AH23)+SUP_CONTROL!$C$12*(CAPA2_FLAGSHIP!AH11-CAPA2_FLAGSHIP!AH18)+SUP_CONTROL!$C$14*(CAPA4_RETAIL!AH8-CAPA4_RETAIL!AH12)+(AH39-AH46)</f>
        <v>567437.83809313562</v>
      </c>
      <c r="AI13" s="77">
        <f>SUP_CONTROL!$C$11*(CAPA1_PILOTO!AI15-CAPA1_PILOTO!AI23)+SUP_CONTROL!$C$12*(CAPA2_FLAGSHIP!AI11-CAPA2_FLAGSHIP!AI18)+SUP_CONTROL!$C$14*(CAPA4_RETAIL!AI8-CAPA4_RETAIL!AI12)+(AI39-AI46)</f>
        <v>597287.36640091706</v>
      </c>
      <c r="AJ13" s="77">
        <f>SUP_CONTROL!$C$11*(CAPA1_PILOTO!AJ15-CAPA1_PILOTO!AJ23)+SUP_CONTROL!$C$12*(CAPA2_FLAGSHIP!AJ11-CAPA2_FLAGSHIP!AJ18)+SUP_CONTROL!$C$14*(CAPA4_RETAIL!AJ8-CAPA4_RETAIL!AJ12)+(AJ39-AJ46)</f>
        <v>627723.70217023895</v>
      </c>
      <c r="AK13" s="77">
        <f>SUP_CONTROL!$C$11*(CAPA1_PILOTO!AK15-CAPA1_PILOTO!AK23)+SUP_CONTROL!$C$12*(CAPA2_FLAGSHIP!AK11-CAPA2_FLAGSHIP!AK18)+SUP_CONTROL!$C$14*(CAPA4_RETAIL!AK8-CAPA4_RETAIL!AK12)+(AK39-AK46)</f>
        <v>635058.79543949501</v>
      </c>
      <c r="AL13" s="77">
        <f>SUP_CONTROL!$C$11*(CAPA1_PILOTO!AL15-CAPA1_PILOTO!AL23)+SUP_CONTROL!$C$12*(CAPA2_FLAGSHIP!AL11-CAPA2_FLAGSHIP!AL18)+SUP_CONTROL!$C$14*(CAPA4_RETAIL!AL8-CAPA4_RETAIL!AL12)+(AL39-AL46)</f>
        <v>635482.26474163763</v>
      </c>
      <c r="AM13" s="77">
        <f>SUP_CONTROL!$C$11*(CAPA1_PILOTO!AM15-CAPA1_PILOTO!AM23)+SUP_CONTROL!$C$12*(CAPA2_FLAGSHIP!AM11-CAPA2_FLAGSHIP!AM18)+SUP_CONTROL!$C$14*(CAPA4_RETAIL!AM8-CAPA4_RETAIL!AM12)+(AM39-AM46)</f>
        <v>668074.31285205996</v>
      </c>
      <c r="AN13" s="77">
        <f>SUP_CONTROL!$C$11*(CAPA1_PILOTO!AN15-CAPA1_PILOTO!AN23)+SUP_CONTROL!$C$12*(CAPA2_FLAGSHIP!AN11-CAPA2_FLAGSHIP!AN18)+SUP_CONTROL!$C$14*(CAPA4_RETAIL!AN8-CAPA4_RETAIL!AN12)+(AN39-AN46)</f>
        <v>692020.35236564162</v>
      </c>
      <c r="AO13" s="77">
        <f>SUP_CONTROL!$C$11*(CAPA1_PILOTO!AO15-CAPA1_PILOTO!AO23)+SUP_CONTROL!$C$12*(CAPA2_FLAGSHIP!AO11-CAPA2_FLAGSHIP!AO18)+SUP_CONTROL!$C$14*(CAPA4_RETAIL!AO8-CAPA4_RETAIL!AO12)+(AO39-AO46)</f>
        <v>722441.62434677011</v>
      </c>
      <c r="AP13" s="77">
        <f>SUP_CONTROL!$C$11*(CAPA1_PILOTO!AP15-CAPA1_PILOTO!AP23)+SUP_CONTROL!$C$12*(CAPA2_FLAGSHIP!AP11-CAPA2_FLAGSHIP!AP18)+SUP_CONTROL!$C$14*(CAPA4_RETAIL!AP8-CAPA4_RETAIL!AP12)+(AP39-AP46)</f>
        <v>755700.66750866512</v>
      </c>
      <c r="AQ13" s="77">
        <f>SUP_CONTROL!$C$11*(CAPA1_PILOTO!AQ15-CAPA1_PILOTO!AQ23)+SUP_CONTROL!$C$12*(CAPA2_FLAGSHIP!AQ11-CAPA2_FLAGSHIP!AQ18)+SUP_CONTROL!$C$14*(CAPA4_RETAIL!AQ8-CAPA4_RETAIL!AQ12)+(AQ39-AQ46)</f>
        <v>765632.86664134776</v>
      </c>
      <c r="AR13" s="77">
        <f>SUP_CONTROL!$C$11*(CAPA1_PILOTO!AR15-CAPA1_PILOTO!AR23)+SUP_CONTROL!$C$12*(CAPA2_FLAGSHIP!AR11-CAPA2_FLAGSHIP!AR18)+SUP_CONTROL!$C$14*(CAPA4_RETAIL!AR8-CAPA4_RETAIL!AR12)+(AR39-AR46)</f>
        <v>800867.57548035774</v>
      </c>
      <c r="AS13" s="77">
        <f>SUP_CONTROL!$C$11*(CAPA1_PILOTO!AS15-CAPA1_PILOTO!AS23)+SUP_CONTROL!$C$12*(CAPA2_FLAGSHIP!AS11-CAPA2_FLAGSHIP!AS18)+SUP_CONTROL!$C$14*(CAPA4_RETAIL!AS8-CAPA4_RETAIL!AS12)+(AS39-AS46)</f>
        <v>809239.0004636189</v>
      </c>
      <c r="AT13" s="77">
        <f>SUP_CONTROL!$C$11*(CAPA1_PILOTO!AT15-CAPA1_PILOTO!AT23)+SUP_CONTROL!$C$12*(CAPA2_FLAGSHIP!AT11-CAPA2_FLAGSHIP!AT18)+SUP_CONTROL!$C$14*(CAPA4_RETAIL!AT8-CAPA4_RETAIL!AT12)+(AT39-AT46)</f>
        <v>835403.61567359767</v>
      </c>
      <c r="AU13" s="77">
        <f>SUP_CONTROL!$C$11*(CAPA1_PILOTO!AU15-CAPA1_PILOTO!AU23)+SUP_CONTROL!$C$12*(CAPA2_FLAGSHIP!AU11-CAPA2_FLAGSHIP!AU18)+SUP_CONTROL!$C$14*(CAPA4_RETAIL!AU8-CAPA4_RETAIL!AU12)+(AU39-AU46)</f>
        <v>865824.88765472604</v>
      </c>
      <c r="AV13" s="77">
        <f>SUP_CONTROL!$C$11*(CAPA1_PILOTO!AV15-CAPA1_PILOTO!AV23)+SUP_CONTROL!$C$12*(CAPA2_FLAGSHIP!AV11-CAPA2_FLAGSHIP!AV18)+SUP_CONTROL!$C$14*(CAPA4_RETAIL!AV8-CAPA4_RETAIL!AV12)+(AV39-AV46)</f>
        <v>872919.31560664217</v>
      </c>
      <c r="AW13" s="77">
        <f>SUP_CONTROL!$C$11*(CAPA1_PILOTO!AW15-CAPA1_PILOTO!AW23)+SUP_CONTROL!$C$12*(CAPA2_FLAGSHIP!AW11-CAPA2_FLAGSHIP!AW18)+SUP_CONTROL!$C$14*(CAPA4_RETAIL!AW8-CAPA4_RETAIL!AW12)+(AW39-AW46)</f>
        <v>892729.85796817532</v>
      </c>
      <c r="AX13" s="77">
        <f>SUP_CONTROL!$C$11*(CAPA1_PILOTO!AX15-CAPA1_PILOTO!AX23)+SUP_CONTROL!$C$12*(CAPA2_FLAGSHIP!AX11-CAPA2_FLAGSHIP!AX18)+SUP_CONTROL!$C$14*(CAPA4_RETAIL!AX8-CAPA4_RETAIL!AX12)+(AX39-AX46)</f>
        <v>895567.62914894172</v>
      </c>
      <c r="AY13" s="77">
        <f>SUP_CONTROL!$C$11*(CAPA1_PILOTO!AY15-CAPA1_PILOTO!AY23)+SUP_CONTROL!$C$12*(CAPA2_FLAGSHIP!AY11-CAPA2_FLAGSHIP!AY18)+SUP_CONTROL!$C$14*(CAPA4_RETAIL!AY8-CAPA4_RETAIL!AY12)+(AY39-AY46)</f>
        <v>895567.62914894172</v>
      </c>
      <c r="AZ13" s="77">
        <f>SUP_CONTROL!$C$11*(CAPA1_PILOTO!AZ15-CAPA1_PILOTO!AZ23)+SUP_CONTROL!$C$12*(CAPA2_FLAGSHIP!AZ11-CAPA2_FLAGSHIP!AZ18)+SUP_CONTROL!$C$14*(CAPA4_RETAIL!AZ8-CAPA4_RETAIL!AZ12)+(AZ39-AZ46)</f>
        <v>890109.82376761979</v>
      </c>
      <c r="BA13" s="77">
        <f>SUP_CONTROL!$C$11*(CAPA1_PILOTO!BA15-CAPA1_PILOTO!BA23)+SUP_CONTROL!$C$12*(CAPA2_FLAGSHIP!BA11-CAPA2_FLAGSHIP!BA18)+SUP_CONTROL!$C$14*(CAPA4_RETAIL!BA8-CAPA4_RETAIL!BA12)+(BA39-BA46)</f>
        <v>879005.28511051729</v>
      </c>
      <c r="BB13" s="77">
        <f>SUP_CONTROL!$C$11*(CAPA1_PILOTO!BB15-CAPA1_PILOTO!BB23)+SUP_CONTROL!$C$12*(CAPA2_FLAGSHIP!BB11-CAPA2_FLAGSHIP!BB18)+SUP_CONTROL!$C$14*(CAPA4_RETAIL!BB8-CAPA4_RETAIL!BB12)+(BB39-BB46)</f>
        <v>879005.28511051729</v>
      </c>
      <c r="BC13" s="77">
        <f>SUP_CONTROL!$C$11*(CAPA1_PILOTO!BC15-CAPA1_PILOTO!BC23)+SUP_CONTROL!$C$12*(CAPA2_FLAGSHIP!BC11-CAPA2_FLAGSHIP!BC18)+SUP_CONTROL!$C$14*(CAPA4_RETAIL!BC8-CAPA4_RETAIL!BC12)+(BC39-BC46)</f>
        <v>879005.28511051729</v>
      </c>
      <c r="BD13" s="77">
        <f>SUP_CONTROL!$C$11*(CAPA1_PILOTO!BD15-CAPA1_PILOTO!BD23)+SUP_CONTROL!$C$12*(CAPA2_FLAGSHIP!BD11-CAPA2_FLAGSHIP!BD18)+SUP_CONTROL!$C$14*(CAPA4_RETAIL!BD8-CAPA4_RETAIL!BD12)+(BD39-BD46)</f>
        <v>932919.05218137533</v>
      </c>
      <c r="BE13" s="77">
        <f>SUP_CONTROL!$C$11*(CAPA1_PILOTO!BE15-CAPA1_PILOTO!BE23)+SUP_CONTROL!$C$12*(CAPA2_FLAGSHIP!BE11-CAPA2_FLAGSHIP!BE18)+SUP_CONTROL!$C$14*(CAPA4_RETAIL!BE8-CAPA4_RETAIL!BE12)+(BE39-BE46)</f>
        <v>963003.72811777191</v>
      </c>
      <c r="BF13" s="77">
        <f>SUP_CONTROL!$C$11*(CAPA1_PILOTO!BF15-CAPA1_PILOTO!BF23)+SUP_CONTROL!$C$12*(CAPA2_FLAGSHIP!BF11-CAPA2_FLAGSHIP!BF18)+SUP_CONTROL!$C$14*(CAPA4_RETAIL!BF8-CAPA4_RETAIL!BF12)+(BF39-BF46)</f>
        <v>990420.16990657081</v>
      </c>
      <c r="BG13" s="77">
        <f>SUP_CONTROL!$C$11*(CAPA1_PILOTO!BG15-CAPA1_PILOTO!BG23)+SUP_CONTROL!$C$12*(CAPA2_FLAGSHIP!BG11-CAPA2_FLAGSHIP!BG18)+SUP_CONTROL!$C$14*(CAPA4_RETAIL!BG8-CAPA4_RETAIL!BG12)+(BG39-BG46)</f>
        <v>1025170.2426210518</v>
      </c>
      <c r="BH13" s="77">
        <f>SUP_CONTROL!$C$11*(CAPA1_PILOTO!BH15-CAPA1_PILOTO!BH23)+SUP_CONTROL!$C$12*(CAPA2_FLAGSHIP!BH11-CAPA2_FLAGSHIP!BH18)+SUP_CONTROL!$C$14*(CAPA4_RETAIL!BH8-CAPA4_RETAIL!BH12)+(BH39-BH46)</f>
        <v>1056834.8931851701</v>
      </c>
      <c r="BI13" s="77">
        <f>SUP_CONTROL!$C$11*(CAPA1_PILOTO!BI15-CAPA1_PILOTO!BI23)+SUP_CONTROL!$C$12*(CAPA2_FLAGSHIP!BI11-CAPA2_FLAGSHIP!BI18)+SUP_CONTROL!$C$14*(CAPA4_RETAIL!BI8-CAPA4_RETAIL!BI12)+(BI39-BI46)</f>
        <v>1088499.5437492887</v>
      </c>
      <c r="BJ13" s="77">
        <f>SUP_CONTROL!$C$11*(CAPA1_PILOTO!BJ15-CAPA1_PILOTO!BJ23)+SUP_CONTROL!$C$12*(CAPA2_FLAGSHIP!BJ11-CAPA2_FLAGSHIP!BJ18)+SUP_CONTROL!$C$14*(CAPA4_RETAIL!BJ8-CAPA4_RETAIL!BJ12)+(BJ39-BJ46)</f>
        <v>1126141.1043552319</v>
      </c>
      <c r="BK13" s="77">
        <f>SUP_CONTROL!$C$11*(CAPA1_PILOTO!BK15-CAPA1_PILOTO!BK23)+SUP_CONTROL!$C$12*(CAPA2_FLAGSHIP!BK11-CAPA2_FLAGSHIP!BK18)+SUP_CONTROL!$C$14*(CAPA4_RETAIL!BK8-CAPA4_RETAIL!BK12)+(BK39-BK46)</f>
        <v>1144024.2026477298</v>
      </c>
      <c r="BL13" s="77">
        <f>SUP_CONTROL!$C$11*(CAPA1_PILOTO!BL15-CAPA1_PILOTO!BL23)+SUP_CONTROL!$C$12*(CAPA2_FLAGSHIP!BL11-CAPA2_FLAGSHIP!BL18)+SUP_CONTROL!$C$14*(CAPA4_RETAIL!BL8-CAPA4_RETAIL!BL12)+(BL39-BL46)</f>
        <v>1167921.2789317265</v>
      </c>
      <c r="BM13" s="77">
        <f>SUP_CONTROL!$C$11*(CAPA1_PILOTO!BM15-CAPA1_PILOTO!BM23)+SUP_CONTROL!$C$12*(CAPA2_FLAGSHIP!BM11-CAPA2_FLAGSHIP!BM18)+SUP_CONTROL!$C$14*(CAPA4_RETAIL!BM8-CAPA4_RETAIL!BM12)+(BM39-BM46)</f>
        <v>1198773.7934925978</v>
      </c>
      <c r="BN13" s="77">
        <f>SUP_CONTROL!$C$11*(CAPA1_PILOTO!BN15-CAPA1_PILOTO!BN23)+SUP_CONTROL!$C$12*(CAPA2_FLAGSHIP!BN11-CAPA2_FLAGSHIP!BN18)+SUP_CONTROL!$C$14*(CAPA4_RETAIL!BN8-CAPA4_RETAIL!BN12)+(BN39-BN46)</f>
        <v>1235473.1186384626</v>
      </c>
      <c r="BO13" s="77">
        <f>SUP_CONTROL!$C$11*(CAPA1_PILOTO!BO15-CAPA1_PILOTO!BO23)+SUP_CONTROL!$C$12*(CAPA2_FLAGSHIP!BO11-CAPA2_FLAGSHIP!BO18)+SUP_CONTROL!$C$14*(CAPA4_RETAIL!BO8-CAPA4_RETAIL!BO12)+(BO39-BO46)</f>
        <v>1266716.2523434241</v>
      </c>
      <c r="BP13" s="77">
        <f>SUP_CONTROL!$C$11*(CAPA1_PILOTO!BP15-CAPA1_PILOTO!BP23)+SUP_CONTROL!$C$12*(CAPA2_FLAGSHIP!BP11-CAPA2_FLAGSHIP!BP18)+SUP_CONTROL!$C$14*(CAPA4_RETAIL!BP8-CAPA4_RETAIL!BP12)+(BP39-BP46)</f>
        <v>1284642.8243180327</v>
      </c>
      <c r="BQ13" s="77">
        <f>SUP_CONTROL!$C$11*(CAPA1_PILOTO!BQ15-CAPA1_PILOTO!BQ23)+SUP_CONTROL!$C$12*(CAPA2_FLAGSHIP!BQ11-CAPA2_FLAGSHIP!BQ18)+SUP_CONTROL!$C$14*(CAPA4_RETAIL!BQ8-CAPA4_RETAIL!BQ12)+(BQ39-BQ46)</f>
        <v>1315038.1369261618</v>
      </c>
      <c r="BR13" s="77">
        <f>SUP_CONTROL!$C$11*(CAPA1_PILOTO!BR15-CAPA1_PILOTO!BR23)+SUP_CONTROL!$C$12*(CAPA2_FLAGSHIP!BR11-CAPA2_FLAGSHIP!BR18)+SUP_CONTROL!$C$14*(CAPA4_RETAIL!BR8-CAPA4_RETAIL!BR12)+(BR39-BR46)</f>
        <v>1351207.0190297675</v>
      </c>
      <c r="BS13" s="77">
        <f>SUP_CONTROL!$C$11*(CAPA1_PILOTO!BS15-CAPA1_PILOTO!BS23)+SUP_CONTROL!$C$12*(CAPA2_FLAGSHIP!BS11-CAPA2_FLAGSHIP!BS18)+SUP_CONTROL!$C$14*(CAPA4_RETAIL!BS8-CAPA4_RETAIL!BS12)+(BS39-BS46)</f>
        <v>1412854.5965742129</v>
      </c>
      <c r="BT13" s="77">
        <f>SUP_CONTROL!$C$11*(CAPA1_PILOTO!BT15-CAPA1_PILOTO!BT23)+SUP_CONTROL!$C$12*(CAPA2_FLAGSHIP!BT11-CAPA2_FLAGSHIP!BT18)+SUP_CONTROL!$C$14*(CAPA4_RETAIL!BT8-CAPA4_RETAIL!BT12)+(BT39-BT46)</f>
        <v>1447089.5178145936</v>
      </c>
      <c r="BU13" s="77">
        <f>SUP_CONTROL!$C$11*(CAPA1_PILOTO!BU15-CAPA1_PILOTO!BU23)+SUP_CONTROL!$C$12*(CAPA2_FLAGSHIP!BU11-CAPA2_FLAGSHIP!BU18)+SUP_CONTROL!$C$14*(CAPA4_RETAIL!BU8-CAPA4_RETAIL!BU12)+(BU39-BU46)</f>
        <v>1464353.2209386239</v>
      </c>
      <c r="BV13" s="77">
        <f>SUP_CONTROL!$C$11*(CAPA1_PILOTO!BV15-CAPA1_PILOTO!BV23)+SUP_CONTROL!$C$12*(CAPA2_FLAGSHIP!BV11-CAPA2_FLAGSHIP!BV18)+SUP_CONTROL!$C$14*(CAPA4_RETAIL!BV8-CAPA4_RETAIL!BV12)+(BV39-BV46)</f>
        <v>1496052.0769783573</v>
      </c>
      <c r="BW13" s="77">
        <f>SUP_CONTROL!$C$11*(CAPA1_PILOTO!BW15-CAPA1_PILOTO!BW23)+SUP_CONTROL!$C$12*(CAPA2_FLAGSHIP!BW11-CAPA2_FLAGSHIP!BW18)+SUP_CONTROL!$C$14*(CAPA4_RETAIL!BW8-CAPA4_RETAIL!BW12)+(BW39-BW46)</f>
        <v>1531690.5160397044</v>
      </c>
      <c r="BX13" s="77">
        <f>SUP_CONTROL!$C$11*(CAPA1_PILOTO!BX15-CAPA1_PILOTO!BX23)+SUP_CONTROL!$C$12*(CAPA2_FLAGSHIP!BX11-CAPA2_FLAGSHIP!BX18)+SUP_CONTROL!$C$14*(CAPA4_RETAIL!BX8-CAPA4_RETAIL!BX12)+(BX39-BX46)</f>
        <v>1552439.3395242733</v>
      </c>
      <c r="BY13" s="77">
        <f>SUP_CONTROL!$C$11*(CAPA1_PILOTO!BY15-CAPA1_PILOTO!BY23)+SUP_CONTROL!$C$12*(CAPA2_FLAGSHIP!BY11-CAPA2_FLAGSHIP!BY18)+SUP_CONTROL!$C$14*(CAPA4_RETAIL!BY8-CAPA4_RETAIL!BY12)+(BY39-BY46)</f>
        <v>1582186.1686356016</v>
      </c>
      <c r="BZ13" s="77">
        <f>SUP_CONTROL!$C$11*(CAPA1_PILOTO!BZ15-CAPA1_PILOTO!BZ23)+SUP_CONTROL!$C$12*(CAPA2_FLAGSHIP!BZ11-CAPA2_FLAGSHIP!BZ18)+SUP_CONTROL!$C$14*(CAPA4_RETAIL!BZ8-CAPA4_RETAIL!BZ12)+(BZ39-BZ46)</f>
        <v>1616001.2796794481</v>
      </c>
      <c r="CA13" s="77">
        <f>SUP_CONTROL!$C$11*(CAPA1_PILOTO!CA15-CAPA1_PILOTO!CA23)+SUP_CONTROL!$C$12*(CAPA2_FLAGSHIP!CA11-CAPA2_FLAGSHIP!CA18)+SUP_CONTROL!$C$14*(CAPA4_RETAIL!CA8-CAPA4_RETAIL!CA12)+(CA39-CA46)</f>
        <v>1654767.8856531533</v>
      </c>
      <c r="CB13" s="77">
        <f>SUP_CONTROL!$C$11*(CAPA1_PILOTO!CB15-CAPA1_PILOTO!CB23)+SUP_CONTROL!$C$12*(CAPA2_FLAGSHIP!CB11-CAPA2_FLAGSHIP!CB18)+SUP_CONTROL!$C$14*(CAPA4_RETAIL!CB8-CAPA4_RETAIL!CB12)+(CB39-CB46)</f>
        <v>1695859.6803296534</v>
      </c>
      <c r="CC13" s="77">
        <f>SUP_CONTROL!$C$11*(CAPA1_PILOTO!CC15-CAPA1_PILOTO!CC23)+SUP_CONTROL!$C$12*(CAPA2_FLAGSHIP!CC11-CAPA2_FLAGSHIP!CC18)+SUP_CONTROL!$C$14*(CAPA4_RETAIL!CC8-CAPA4_RETAIL!CC12)+(CC39-CC46)</f>
        <v>1711733.2274429458</v>
      </c>
      <c r="CD13" s="77">
        <f>SUP_CONTROL!$C$11*(CAPA1_PILOTO!CD15-CAPA1_PILOTO!CD23)+SUP_CONTROL!$C$12*(CAPA2_FLAGSHIP!CD11-CAPA2_FLAGSHIP!CD18)+SUP_CONTROL!$C$14*(CAPA4_RETAIL!CD8-CAPA4_RETAIL!CD12)+(CD39-CD46)</f>
        <v>1717408.2604347318</v>
      </c>
      <c r="CE13" s="77">
        <f>SUP_CONTROL!$C$11*(CAPA1_PILOTO!CE15-CAPA1_PILOTO!CE23)+SUP_CONTROL!$C$12*(CAPA2_FLAGSHIP!CE11-CAPA2_FLAGSHIP!CE18)+SUP_CONTROL!$C$14*(CAPA4_RETAIL!CE8-CAPA4_RETAIL!CE12)+(CE39-CE46)</f>
        <v>1719875.6660833345</v>
      </c>
      <c r="CF13" s="77">
        <f>SUP_CONTROL!$C$11*(CAPA1_PILOTO!CF15-CAPA1_PILOTO!CF23)+SUP_CONTROL!$C$12*(CAPA2_FLAGSHIP!CF11-CAPA2_FLAGSHIP!CF18)+SUP_CONTROL!$C$14*(CAPA4_RETAIL!CF8-CAPA4_RETAIL!CF12)+(CF39-CF46)</f>
        <v>1719875.6660833345</v>
      </c>
      <c r="CG13" s="77">
        <f>SUP_CONTROL!$C$11*(CAPA1_PILOTO!CG15-CAPA1_PILOTO!CG23)+SUP_CONTROL!$C$12*(CAPA2_FLAGSHIP!CG11-CAPA2_FLAGSHIP!CG18)+SUP_CONTROL!$C$14*(CAPA4_RETAIL!CG8-CAPA4_RETAIL!CG12)+(CG39-CG46)</f>
        <v>1719875.6660833345</v>
      </c>
      <c r="CH13" s="77">
        <f>SUP_CONTROL!$C$11*(CAPA1_PILOTO!CH15-CAPA1_PILOTO!CH23)+SUP_CONTROL!$C$12*(CAPA2_FLAGSHIP!CH11-CAPA2_FLAGSHIP!CH18)+SUP_CONTROL!$C$14*(CAPA4_RETAIL!CH8-CAPA4_RETAIL!CH12)+(CH39-CH46)</f>
        <v>1719875.6660833345</v>
      </c>
      <c r="CI13" s="77">
        <f>SUP_CONTROL!$C$11*(CAPA1_PILOTO!CI15-CAPA1_PILOTO!CI23)+SUP_CONTROL!$C$12*(CAPA2_FLAGSHIP!CI11-CAPA2_FLAGSHIP!CI18)+SUP_CONTROL!$C$14*(CAPA4_RETAIL!CI8-CAPA4_RETAIL!CI12)+(CI39-CI46)</f>
        <v>1719875.6660833345</v>
      </c>
      <c r="CJ13" s="77">
        <f>SUP_CONTROL!$C$11*(CAPA1_PILOTO!CJ15-CAPA1_PILOTO!CJ23)+SUP_CONTROL!$C$12*(CAPA2_FLAGSHIP!CJ11-CAPA2_FLAGSHIP!CJ18)+SUP_CONTROL!$C$14*(CAPA4_RETAIL!CJ8-CAPA4_RETAIL!CJ12)+(CJ39-CJ46)</f>
        <v>1719875.6660833345</v>
      </c>
      <c r="CK13" s="77">
        <f>SUP_CONTROL!$C$11*(CAPA1_PILOTO!CK15-CAPA1_PILOTO!CK23)+SUP_CONTROL!$C$12*(CAPA2_FLAGSHIP!CK11-CAPA2_FLAGSHIP!CK18)+SUP_CONTROL!$C$14*(CAPA4_RETAIL!CK8-CAPA4_RETAIL!CK12)+(CK39-CK46)</f>
        <v>1719875.6660833345</v>
      </c>
      <c r="CL13" s="77">
        <f>SUP_CONTROL!$C$11*(CAPA1_PILOTO!CL15-CAPA1_PILOTO!CL23)+SUP_CONTROL!$C$12*(CAPA2_FLAGSHIP!CL11-CAPA2_FLAGSHIP!CL18)+SUP_CONTROL!$C$14*(CAPA4_RETAIL!CL8-CAPA4_RETAIL!CL12)+(CL39-CL46)</f>
        <v>1719875.6660833345</v>
      </c>
      <c r="CM13" s="77">
        <f>SUP_CONTROL!$C$11*(CAPA1_PILOTO!CM15-CAPA1_PILOTO!CM23)+SUP_CONTROL!$C$12*(CAPA2_FLAGSHIP!CM11-CAPA2_FLAGSHIP!CM18)+SUP_CONTROL!$C$14*(CAPA4_RETAIL!CM8-CAPA4_RETAIL!CM12)+(CM39-CM46)</f>
        <v>1719875.6660833345</v>
      </c>
      <c r="CN13" s="77">
        <f>SUP_CONTROL!$C$11*(CAPA1_PILOTO!CN15-CAPA1_PILOTO!CN23)+SUP_CONTROL!$C$12*(CAPA2_FLAGSHIP!CN11-CAPA2_FLAGSHIP!CN18)+SUP_CONTROL!$C$14*(CAPA4_RETAIL!CN8-CAPA4_RETAIL!CN12)+(CN39-CN46)</f>
        <v>1719875.6660833345</v>
      </c>
      <c r="CO13" s="77">
        <f>SUP_CONTROL!$C$11*(CAPA1_PILOTO!CO15-CAPA1_PILOTO!CO23)+SUP_CONTROL!$C$12*(CAPA2_FLAGSHIP!CO11-CAPA2_FLAGSHIP!CO18)+SUP_CONTROL!$C$14*(CAPA4_RETAIL!CO8-CAPA4_RETAIL!CO12)+(CO39-CO46)</f>
        <v>1719875.6660833345</v>
      </c>
      <c r="CP13" s="77">
        <f>SUP_CONTROL!$C$11*(CAPA1_PILOTO!CP15-CAPA1_PILOTO!CP23)+SUP_CONTROL!$C$12*(CAPA2_FLAGSHIP!CP11-CAPA2_FLAGSHIP!CP18)+SUP_CONTROL!$C$14*(CAPA4_RETAIL!CP8-CAPA4_RETAIL!CP12)+(CP39-CP46)</f>
        <v>1719875.6660833345</v>
      </c>
      <c r="CQ13" s="77">
        <f>SUP_CONTROL!$C$11*(CAPA1_PILOTO!CQ15-CAPA1_PILOTO!CQ23)+SUP_CONTROL!$C$12*(CAPA2_FLAGSHIP!CQ11-CAPA2_FLAGSHIP!CQ18)+SUP_CONTROL!$C$14*(CAPA4_RETAIL!CQ8-CAPA4_RETAIL!CQ12)+(CQ39-CQ46)</f>
        <v>1719875.6660833345</v>
      </c>
      <c r="CR13" s="77">
        <f>SUP_CONTROL!$C$11*(CAPA1_PILOTO!CR15-CAPA1_PILOTO!CR23)+SUP_CONTROL!$C$12*(CAPA2_FLAGSHIP!CR11-CAPA2_FLAGSHIP!CR18)+SUP_CONTROL!$C$14*(CAPA4_RETAIL!CR8-CAPA4_RETAIL!CR12)+(CR39-CR46)</f>
        <v>1719875.6660833345</v>
      </c>
      <c r="CS13" s="77">
        <f>SUP_CONTROL!$C$11*(CAPA1_PILOTO!CS15-CAPA1_PILOTO!CS23)+SUP_CONTROL!$C$12*(CAPA2_FLAGSHIP!CS11-CAPA2_FLAGSHIP!CS18)+SUP_CONTROL!$C$14*(CAPA4_RETAIL!CS8-CAPA4_RETAIL!CS12)+(CS39-CS46)</f>
        <v>1719875.6660833345</v>
      </c>
      <c r="CT13" s="77">
        <f>SUP_CONTROL!$C$11*(CAPA1_PILOTO!CT15-CAPA1_PILOTO!CT23)+SUP_CONTROL!$C$12*(CAPA2_FLAGSHIP!CT11-CAPA2_FLAGSHIP!CT18)+SUP_CONTROL!$C$14*(CAPA4_RETAIL!CT8-CAPA4_RETAIL!CT12)+(CT39-CT46)</f>
        <v>1719875.6660833345</v>
      </c>
      <c r="CU13" s="77">
        <f>SUP_CONTROL!$C$11*(CAPA1_PILOTO!CU15-CAPA1_PILOTO!CU23)+SUP_CONTROL!$C$12*(CAPA2_FLAGSHIP!CU11-CAPA2_FLAGSHIP!CU18)+SUP_CONTROL!$C$14*(CAPA4_RETAIL!CU8-CAPA4_RETAIL!CU12)+(CU39-CU46)</f>
        <v>1719875.6660833345</v>
      </c>
      <c r="CV13" s="77">
        <f>SUP_CONTROL!$C$11*(CAPA1_PILOTO!CV15-CAPA1_PILOTO!CV23)+SUP_CONTROL!$C$12*(CAPA2_FLAGSHIP!CV11-CAPA2_FLAGSHIP!CV18)+SUP_CONTROL!$C$14*(CAPA4_RETAIL!CV8-CAPA4_RETAIL!CV12)+(CV39-CV46)</f>
        <v>1719875.6660833345</v>
      </c>
      <c r="CW13" s="77">
        <f>SUP_CONTROL!$C$11*(CAPA1_PILOTO!CW15-CAPA1_PILOTO!CW23)+SUP_CONTROL!$C$12*(CAPA2_FLAGSHIP!CW11-CAPA2_FLAGSHIP!CW18)+SUP_CONTROL!$C$14*(CAPA4_RETAIL!CW8-CAPA4_RETAIL!CW12)+(CW39-CW46)</f>
        <v>1719875.6660833345</v>
      </c>
      <c r="CX13" s="77">
        <f>SUP_CONTROL!$C$11*(CAPA1_PILOTO!CX15-CAPA1_PILOTO!CX23)+SUP_CONTROL!$C$12*(CAPA2_FLAGSHIP!CX11-CAPA2_FLAGSHIP!CX18)+SUP_CONTROL!$C$14*(CAPA4_RETAIL!CX8-CAPA4_RETAIL!CX12)+(CX39-CX46)</f>
        <v>1719875.6660833345</v>
      </c>
      <c r="CY13" s="77">
        <f>SUP_CONTROL!$C$11*(CAPA1_PILOTO!CY15-CAPA1_PILOTO!CY23)+SUP_CONTROL!$C$12*(CAPA2_FLAGSHIP!CY11-CAPA2_FLAGSHIP!CY18)+SUP_CONTROL!$C$14*(CAPA4_RETAIL!CY8-CAPA4_RETAIL!CY12)+(CY39-CY46)</f>
        <v>1719875.6660833345</v>
      </c>
      <c r="CZ13" s="77">
        <f>SUP_CONTROL!$C$11*(CAPA1_PILOTO!CZ15-CAPA1_PILOTO!CZ23)+SUP_CONTROL!$C$12*(CAPA2_FLAGSHIP!CZ11-CAPA2_FLAGSHIP!CZ18)+SUP_CONTROL!$C$14*(CAPA4_RETAIL!CZ8-CAPA4_RETAIL!CZ12)+(CZ39-CZ46)</f>
        <v>1719875.6660833345</v>
      </c>
      <c r="DA13" s="77">
        <f>SUP_CONTROL!$C$11*(CAPA1_PILOTO!DA15-CAPA1_PILOTO!DA23)+SUP_CONTROL!$C$12*(CAPA2_FLAGSHIP!DA11-CAPA2_FLAGSHIP!DA18)+SUP_CONTROL!$C$14*(CAPA4_RETAIL!DA8-CAPA4_RETAIL!DA12)+(DA39-DA46)</f>
        <v>1719875.6660833345</v>
      </c>
      <c r="DB13" s="77">
        <f>SUP_CONTROL!$C$11*(CAPA1_PILOTO!DB15-CAPA1_PILOTO!DB23)+SUP_CONTROL!$C$12*(CAPA2_FLAGSHIP!DB11-CAPA2_FLAGSHIP!DB18)+SUP_CONTROL!$C$14*(CAPA4_RETAIL!DB8-CAPA4_RETAIL!DB12)+(DB39-DB46)</f>
        <v>1719875.6660833345</v>
      </c>
      <c r="DC13" s="77">
        <f>SUP_CONTROL!$C$11*(CAPA1_PILOTO!DC15-CAPA1_PILOTO!DC23)+SUP_CONTROL!$C$12*(CAPA2_FLAGSHIP!DC11-CAPA2_FLAGSHIP!DC18)+SUP_CONTROL!$C$14*(CAPA4_RETAIL!DC8-CAPA4_RETAIL!DC12)+(DC39-DC46)</f>
        <v>1719875.6660833345</v>
      </c>
      <c r="DD13" s="77">
        <f>SUP_CONTROL!$C$11*(CAPA1_PILOTO!DD15-CAPA1_PILOTO!DD23)+SUP_CONTROL!$C$12*(CAPA2_FLAGSHIP!DD11-CAPA2_FLAGSHIP!DD18)+SUP_CONTROL!$C$14*(CAPA4_RETAIL!DD8-CAPA4_RETAIL!DD12)+(DD39-DD46)</f>
        <v>1719875.6660833345</v>
      </c>
      <c r="DE13" s="77">
        <f>SUP_CONTROL!$C$11*(CAPA1_PILOTO!DE15-CAPA1_PILOTO!DE23)+SUP_CONTROL!$C$12*(CAPA2_FLAGSHIP!DE11-CAPA2_FLAGSHIP!DE18)+SUP_CONTROL!$C$14*(CAPA4_RETAIL!DE8-CAPA4_RETAIL!DE12)+(DE39-DE46)</f>
        <v>1719875.6660833345</v>
      </c>
      <c r="DF13" s="77">
        <f>SUP_CONTROL!$C$11*(CAPA1_PILOTO!DF15-CAPA1_PILOTO!DF23)+SUP_CONTROL!$C$12*(CAPA2_FLAGSHIP!DF11-CAPA2_FLAGSHIP!DF18)+SUP_CONTROL!$C$14*(CAPA4_RETAIL!DF8-CAPA4_RETAIL!DF12)+(DF39-DF46)</f>
        <v>1719875.6660833345</v>
      </c>
      <c r="DG13" s="77">
        <f>SUP_CONTROL!$C$11*(CAPA1_PILOTO!DG15-CAPA1_PILOTO!DG23)+SUP_CONTROL!$C$12*(CAPA2_FLAGSHIP!DG11-CAPA2_FLAGSHIP!DG18)+SUP_CONTROL!$C$14*(CAPA4_RETAIL!DG8-CAPA4_RETAIL!DG12)+(DG39-DG46)</f>
        <v>1719875.6660833345</v>
      </c>
      <c r="DH13" s="77">
        <f>SUP_CONTROL!$C$11*(CAPA1_PILOTO!DH15-CAPA1_PILOTO!DH23)+SUP_CONTROL!$C$12*(CAPA2_FLAGSHIP!DH11-CAPA2_FLAGSHIP!DH18)+SUP_CONTROL!$C$14*(CAPA4_RETAIL!DH8-CAPA4_RETAIL!DH12)+(DH39-DH46)</f>
        <v>1719875.6660833345</v>
      </c>
      <c r="DI13" s="77">
        <f>SUP_CONTROL!$C$11*(CAPA1_PILOTO!DI15-CAPA1_PILOTO!DI23)+SUP_CONTROL!$C$12*(CAPA2_FLAGSHIP!DI11-CAPA2_FLAGSHIP!DI18)+SUP_CONTROL!$C$14*(CAPA4_RETAIL!DI8-CAPA4_RETAIL!DI12)+(DI39-DI46)</f>
        <v>1719875.6660833345</v>
      </c>
      <c r="DJ13" s="77">
        <f>SUP_CONTROL!$C$11*(CAPA1_PILOTO!DJ15-CAPA1_PILOTO!DJ23)+SUP_CONTROL!$C$12*(CAPA2_FLAGSHIP!DJ11-CAPA2_FLAGSHIP!DJ18)+SUP_CONTROL!$C$14*(CAPA4_RETAIL!DJ8-CAPA4_RETAIL!DJ12)+(DJ39-DJ46)</f>
        <v>1719875.6660833345</v>
      </c>
      <c r="DK13" s="77">
        <f>SUP_CONTROL!$C$11*(CAPA1_PILOTO!DK15-CAPA1_PILOTO!DK23)+SUP_CONTROL!$C$12*(CAPA2_FLAGSHIP!DK11-CAPA2_FLAGSHIP!DK18)+SUP_CONTROL!$C$14*(CAPA4_RETAIL!DK8-CAPA4_RETAIL!DK12)+(DK39-DK46)</f>
        <v>1719875.6660833345</v>
      </c>
      <c r="DL13" s="77">
        <f>SUP_CONTROL!$C$11*(CAPA1_PILOTO!DL15-CAPA1_PILOTO!DL23)+SUP_CONTROL!$C$12*(CAPA2_FLAGSHIP!DL11-CAPA2_FLAGSHIP!DL18)+SUP_CONTROL!$C$14*(CAPA4_RETAIL!DL8-CAPA4_RETAIL!DL12)+(DL39-DL46)</f>
        <v>1719875.6660833345</v>
      </c>
      <c r="DM13" s="77">
        <f>SUP_CONTROL!$C$11*(CAPA1_PILOTO!DM15-CAPA1_PILOTO!DM23)+SUP_CONTROL!$C$12*(CAPA2_FLAGSHIP!DM11-CAPA2_FLAGSHIP!DM18)+SUP_CONTROL!$C$14*(CAPA4_RETAIL!DM8-CAPA4_RETAIL!DM12)+(DM39-DM46)</f>
        <v>1719875.6660833345</v>
      </c>
      <c r="DN13" s="77">
        <f>SUP_CONTROL!$C$11*(CAPA1_PILOTO!DN15-CAPA1_PILOTO!DN23)+SUP_CONTROL!$C$12*(CAPA2_FLAGSHIP!DN11-CAPA2_FLAGSHIP!DN18)+SUP_CONTROL!$C$14*(CAPA4_RETAIL!DN8-CAPA4_RETAIL!DN12)+(DN39-DN46)</f>
        <v>1719875.6660833345</v>
      </c>
      <c r="DO13" s="77">
        <f>SUP_CONTROL!$C$11*(CAPA1_PILOTO!DO15-CAPA1_PILOTO!DO23)+SUP_CONTROL!$C$12*(CAPA2_FLAGSHIP!DO11-CAPA2_FLAGSHIP!DO18)+SUP_CONTROL!$C$14*(CAPA4_RETAIL!DO8-CAPA4_RETAIL!DO12)+(DO39-DO46)</f>
        <v>1719875.6660833345</v>
      </c>
      <c r="DP13" s="77">
        <f>SUP_CONTROL!$C$11*(CAPA1_PILOTO!DP15-CAPA1_PILOTO!DP23)+SUP_CONTROL!$C$12*(CAPA2_FLAGSHIP!DP11-CAPA2_FLAGSHIP!DP18)+SUP_CONTROL!$C$14*(CAPA4_RETAIL!DP8-CAPA4_RETAIL!DP12)+(DP39-DP46)</f>
        <v>1719875.6660833345</v>
      </c>
      <c r="DQ13" s="77">
        <f>SUP_CONTROL!$C$11*(CAPA1_PILOTO!DQ15-CAPA1_PILOTO!DQ23)+SUP_CONTROL!$C$12*(CAPA2_FLAGSHIP!DQ11-CAPA2_FLAGSHIP!DQ18)+SUP_CONTROL!$C$14*(CAPA4_RETAIL!DQ8-CAPA4_RETAIL!DQ12)+(DQ39-DQ46)</f>
        <v>1719875.6660833345</v>
      </c>
      <c r="DR13" s="77">
        <f>SUP_CONTROL!$C$11*(CAPA1_PILOTO!DR15-CAPA1_PILOTO!DR23)+SUP_CONTROL!$C$12*(CAPA2_FLAGSHIP!DR11-CAPA2_FLAGSHIP!DR18)+SUP_CONTROL!$C$14*(CAPA4_RETAIL!DR8-CAPA4_RETAIL!DR12)+(DR39-DR46)</f>
        <v>1719875.6660833345</v>
      </c>
      <c r="DS13" s="77">
        <f>SUP_CONTROL!$C$11*(CAPA1_PILOTO!DS15-CAPA1_PILOTO!DS23)+SUP_CONTROL!$C$12*(CAPA2_FLAGSHIP!DS11-CAPA2_FLAGSHIP!DS18)+SUP_CONTROL!$C$14*(CAPA4_RETAIL!DS8-CAPA4_RETAIL!DS12)+(DS39-DS46)</f>
        <v>1719875.6660833345</v>
      </c>
    </row>
    <row r="14" spans="1:123" ht="15" customHeight="1" x14ac:dyDescent="0.2">
      <c r="B14" s="103" t="s">
        <v>1007</v>
      </c>
      <c r="D14" s="77">
        <f>MAX(D13*SUP_CONTROL!$C$20/30,SUM($D$67:D67))</f>
        <v>183600</v>
      </c>
      <c r="E14" s="77">
        <f>MAX(E13*SUP_CONTROL!$C$20/30,SUM($D$67:E67))</f>
        <v>183600</v>
      </c>
      <c r="F14" s="77">
        <f>MAX(F13*SUP_CONTROL!$C$20/30,SUM($D$67:F67))</f>
        <v>183600</v>
      </c>
      <c r="G14" s="77">
        <f>MAX(G13*SUP_CONTROL!$C$20/30,SUM($D$67:G67))</f>
        <v>183600</v>
      </c>
      <c r="H14" s="77">
        <f>MAX(H13*SUP_CONTROL!$C$20/30,SUM($D$67:H67))</f>
        <v>183600</v>
      </c>
      <c r="I14" s="77">
        <f>MAX(I13*SUP_CONTROL!$C$20/30,SUM($D$67:I67))</f>
        <v>196253.11727089141</v>
      </c>
      <c r="J14" s="77">
        <f>MAX(J13*SUP_CONTROL!$C$20/30,SUM($D$67:J67))</f>
        <v>275636.26485911099</v>
      </c>
      <c r="K14" s="77">
        <f>MAX(K13*SUP_CONTROL!$C$20/30,SUM($D$67:K67))</f>
        <v>364611.31409212516</v>
      </c>
      <c r="L14" s="77">
        <f>MAX(L13*SUP_CONTROL!$C$20/30,SUM($D$67:L67))</f>
        <v>387733.26589182712</v>
      </c>
      <c r="M14" s="77">
        <f>MAX(M13*SUP_CONTROL!$C$20/30,SUM($D$67:M67))</f>
        <v>400002.05664268945</v>
      </c>
      <c r="N14" s="77">
        <f>MAX(N13*SUP_CONTROL!$C$20/30,SUM($D$67:N67))</f>
        <v>400002.05664268945</v>
      </c>
      <c r="O14" s="77">
        <f>MAX(O13*SUP_CONTROL!$C$20/30,SUM($D$67:O67))</f>
        <v>400002.05664268945</v>
      </c>
      <c r="P14" s="77">
        <f>MAX(P13*SUP_CONTROL!$C$20/30,SUM($D$67:P67))</f>
        <v>395239.13527150714</v>
      </c>
      <c r="Q14" s="77">
        <f>MAX(Q13*SUP_CONTROL!$C$20/30,SUM($D$67:Q67))</f>
        <v>395239.13527150714</v>
      </c>
      <c r="R14" s="77">
        <f>MAX(R13*SUP_CONTROL!$C$20/30,SUM($D$67:R67))</f>
        <v>395239.13527150714</v>
      </c>
      <c r="S14" s="77">
        <f>MAX(S13*SUP_CONTROL!$C$20/30,SUM($D$67:S67))</f>
        <v>395239.13527150714</v>
      </c>
      <c r="T14" s="77">
        <f>MAX(T13*SUP_CONTROL!$C$20/30,SUM($D$67:T67))</f>
        <v>419433.0924350603</v>
      </c>
      <c r="U14" s="77">
        <f>MAX(U13*SUP_CONTROL!$C$20/30,SUM($D$67:U67))</f>
        <v>424086.31331895723</v>
      </c>
      <c r="V14" s="77">
        <f>MAX(V13*SUP_CONTROL!$C$20/30,SUM($D$67:V67))</f>
        <v>451382.41773844161</v>
      </c>
      <c r="W14" s="77">
        <f>MAX(W13*SUP_CONTROL!$C$20/30,SUM($D$67:W67))</f>
        <v>483331.74304182304</v>
      </c>
      <c r="X14" s="77">
        <f>MAX(X13*SUP_CONTROL!$C$20/30,SUM($D$67:X67))</f>
        <v>491087.11118165113</v>
      </c>
      <c r="Y14" s="77">
        <f>MAX(Y13*SUP_CONTROL!$C$20/30,SUM($D$67:Y67))</f>
        <v>497291.40569351363</v>
      </c>
      <c r="Z14" s="77">
        <f>MAX(Z13*SUP_CONTROL!$C$20/30,SUM($D$67:Z67))</f>
        <v>500393.55294944491</v>
      </c>
      <c r="AA14" s="77">
        <f>MAX(AA13*SUP_CONTROL!$C$20/30,SUM($D$67:AA67))</f>
        <v>508823.42294944485</v>
      </c>
      <c r="AB14" s="77">
        <f>MAX(AB13*SUP_CONTROL!$C$20/30,SUM($D$67:AB67))</f>
        <v>502749.60578802892</v>
      </c>
      <c r="AC14" s="77">
        <f>MAX(AC13*SUP_CONTROL!$C$20/30,SUM($D$67:AC67))</f>
        <v>502749.60578802892</v>
      </c>
      <c r="AD14" s="77">
        <f>MAX(AD13*SUP_CONTROL!$C$20/30,SUM($D$67:AD67))</f>
        <v>500027.30313139776</v>
      </c>
      <c r="AE14" s="77">
        <f>MAX(AE13*SUP_CONTROL!$C$20/30,SUM($D$67:AE67))</f>
        <v>500027.30313139776</v>
      </c>
      <c r="AF14" s="77">
        <f>MAX(AF13*SUP_CONTROL!$C$20/30,SUM($D$67:AF67))</f>
        <v>530399.91838148329</v>
      </c>
      <c r="AG14" s="77">
        <f>MAX(AG13*SUP_CONTROL!$C$20/30,SUM($D$67:AG67))</f>
        <v>559222.53363156877</v>
      </c>
      <c r="AH14" s="77">
        <f>MAX(AH13*SUP_CONTROL!$C$20/30,SUM($D$67:AH67))</f>
        <v>567437.83809313562</v>
      </c>
      <c r="AI14" s="77">
        <f>MAX(AI13*SUP_CONTROL!$C$20/30,SUM($D$67:AI67))</f>
        <v>597287.36640091718</v>
      </c>
      <c r="AJ14" s="77">
        <f>MAX(AJ13*SUP_CONTROL!$C$20/30,SUM($D$67:AJ67))</f>
        <v>627723.70217023895</v>
      </c>
      <c r="AK14" s="77">
        <f>MAX(AK13*SUP_CONTROL!$C$20/30,SUM($D$67:AK67))</f>
        <v>635058.79543949501</v>
      </c>
      <c r="AL14" s="77">
        <f>MAX(AL13*SUP_CONTROL!$C$20/30,SUM($D$67:AL67))</f>
        <v>635482.26474163763</v>
      </c>
      <c r="AM14" s="77">
        <f>MAX(AM13*SUP_CONTROL!$C$20/30,SUM($D$67:AM67))</f>
        <v>668074.31285205996</v>
      </c>
      <c r="AN14" s="77">
        <f>MAX(AN13*SUP_CONTROL!$C$20/30,SUM($D$67:AN67))</f>
        <v>692020.35236564162</v>
      </c>
      <c r="AO14" s="77">
        <f>MAX(AO13*SUP_CONTROL!$C$20/30,SUM($D$67:AO67))</f>
        <v>722441.62434677011</v>
      </c>
      <c r="AP14" s="77">
        <f>MAX(AP13*SUP_CONTROL!$C$20/30,SUM($D$67:AP67))</f>
        <v>755700.66750866512</v>
      </c>
      <c r="AQ14" s="77">
        <f>MAX(AQ13*SUP_CONTROL!$C$20/30,SUM($D$67:AQ67))</f>
        <v>765632.86664134776</v>
      </c>
      <c r="AR14" s="77">
        <f>MAX(AR13*SUP_CONTROL!$C$20/30,SUM($D$67:AR67))</f>
        <v>800867.57548035786</v>
      </c>
      <c r="AS14" s="77">
        <f>MAX(AS13*SUP_CONTROL!$C$20/30,SUM($D$67:AS67))</f>
        <v>809239.00046361878</v>
      </c>
      <c r="AT14" s="77">
        <f>MAX(AT13*SUP_CONTROL!$C$20/30,SUM($D$67:AT67))</f>
        <v>835403.61567359767</v>
      </c>
      <c r="AU14" s="77">
        <f>MAX(AU13*SUP_CONTROL!$C$20/30,SUM($D$67:AU67))</f>
        <v>865824.88765472604</v>
      </c>
      <c r="AV14" s="77">
        <f>MAX(AV13*SUP_CONTROL!$C$20/30,SUM($D$67:AV67))</f>
        <v>872919.31560664217</v>
      </c>
      <c r="AW14" s="77">
        <f>MAX(AW13*SUP_CONTROL!$C$20/30,SUM($D$67:AW67))</f>
        <v>892729.85796817532</v>
      </c>
      <c r="AX14" s="77">
        <f>MAX(AX13*SUP_CONTROL!$C$20/30,SUM($D$67:AX67))</f>
        <v>895567.62914894172</v>
      </c>
      <c r="AY14" s="77">
        <f>MAX(AY13*SUP_CONTROL!$C$20/30,SUM($D$67:AY67))</f>
        <v>895567.62914894172</v>
      </c>
      <c r="AZ14" s="77">
        <f>MAX(AZ13*SUP_CONTROL!$C$20/30,SUM($D$67:AZ67))</f>
        <v>890109.82376761979</v>
      </c>
      <c r="BA14" s="77">
        <f>MAX(BA13*SUP_CONTROL!$C$20/30,SUM($D$67:BA67))</f>
        <v>879005.28511051729</v>
      </c>
      <c r="BB14" s="77">
        <f>MAX(BB13*SUP_CONTROL!$C$20/30,SUM($D$67:BB67))</f>
        <v>879005.28511051729</v>
      </c>
      <c r="BC14" s="77">
        <f>MAX(BC13*SUP_CONTROL!$C$20/30,SUM($D$67:BC67))</f>
        <v>879005.28511051729</v>
      </c>
      <c r="BD14" s="77">
        <f>MAX(BD13*SUP_CONTROL!$C$20/30,SUM($D$67:BD67))</f>
        <v>932919.05218137533</v>
      </c>
      <c r="BE14" s="77">
        <f>MAX(BE13*SUP_CONTROL!$C$20/30,SUM($D$67:BE67))</f>
        <v>963003.72811777191</v>
      </c>
      <c r="BF14" s="77">
        <f>MAX(BF13*SUP_CONTROL!$C$20/30,SUM($D$67:BF67))</f>
        <v>990420.16990657081</v>
      </c>
      <c r="BG14" s="77">
        <f>MAX(BG13*SUP_CONTROL!$C$20/30,SUM($D$67:BG67))</f>
        <v>1025170.2426210518</v>
      </c>
      <c r="BH14" s="77">
        <f>MAX(BH13*SUP_CONTROL!$C$20/30,SUM($D$67:BH67))</f>
        <v>1056834.8931851701</v>
      </c>
      <c r="BI14" s="77">
        <f>MAX(BI13*SUP_CONTROL!$C$20/30,SUM($D$67:BI67))</f>
        <v>1088499.5437492887</v>
      </c>
      <c r="BJ14" s="77">
        <f>MAX(BJ13*SUP_CONTROL!$C$20/30,SUM($D$67:BJ67))</f>
        <v>1126141.1043552319</v>
      </c>
      <c r="BK14" s="77">
        <f>MAX(BK13*SUP_CONTROL!$C$20/30,SUM($D$67:BK67))</f>
        <v>1144024.2026477298</v>
      </c>
      <c r="BL14" s="77">
        <f>MAX(BL13*SUP_CONTROL!$C$20/30,SUM($D$67:BL67))</f>
        <v>1167921.2789317265</v>
      </c>
      <c r="BM14" s="77">
        <f>MAX(BM13*SUP_CONTROL!$C$20/30,SUM($D$67:BM67))</f>
        <v>1198773.7934925978</v>
      </c>
      <c r="BN14" s="77">
        <f>MAX(BN13*SUP_CONTROL!$C$20/30,SUM($D$67:BN67))</f>
        <v>1235473.1186384626</v>
      </c>
      <c r="BO14" s="77">
        <f>MAX(BO13*SUP_CONTROL!$C$20/30,SUM($D$67:BO67))</f>
        <v>1266716.2523434241</v>
      </c>
      <c r="BP14" s="77">
        <f>MAX(BP13*SUP_CONTROL!$C$20/30,SUM($D$67:BP67))</f>
        <v>1284642.8243180327</v>
      </c>
      <c r="BQ14" s="77">
        <f>MAX(BQ13*SUP_CONTROL!$C$20/30,SUM($D$67:BQ67))</f>
        <v>1315038.1369261618</v>
      </c>
      <c r="BR14" s="77">
        <f>MAX(BR13*SUP_CONTROL!$C$20/30,SUM($D$67:BR67))</f>
        <v>1351207.0190297675</v>
      </c>
      <c r="BS14" s="77">
        <f>MAX(BS13*SUP_CONTROL!$C$20/30,SUM($D$67:BS67))</f>
        <v>1412854.5965742129</v>
      </c>
      <c r="BT14" s="77">
        <f>MAX(BT13*SUP_CONTROL!$C$20/30,SUM($D$67:BT67))</f>
        <v>1447089.5178145936</v>
      </c>
      <c r="BU14" s="77">
        <f>MAX(BU13*SUP_CONTROL!$C$20/30,SUM($D$67:BU67))</f>
        <v>1464353.2209386239</v>
      </c>
      <c r="BV14" s="77">
        <f>MAX(BV13*SUP_CONTROL!$C$20/30,SUM($D$67:BV67))</f>
        <v>1496052.0769783573</v>
      </c>
      <c r="BW14" s="77">
        <f>MAX(BW13*SUP_CONTROL!$C$20/30,SUM($D$67:BW67))</f>
        <v>1531690.5160397044</v>
      </c>
      <c r="BX14" s="77">
        <f>MAX(BX13*SUP_CONTROL!$C$20/30,SUM($D$67:BX67))</f>
        <v>1552439.3395242733</v>
      </c>
      <c r="BY14" s="77">
        <f>MAX(BY13*SUP_CONTROL!$C$20/30,SUM($D$67:BY67))</f>
        <v>1582186.1686356016</v>
      </c>
      <c r="BZ14" s="77">
        <f>MAX(BZ13*SUP_CONTROL!$C$20/30,SUM($D$67:BZ67))</f>
        <v>1616001.2796794481</v>
      </c>
      <c r="CA14" s="77">
        <f>MAX(CA13*SUP_CONTROL!$C$20/30,SUM($D$67:CA67))</f>
        <v>1654767.8856531533</v>
      </c>
      <c r="CB14" s="77">
        <f>MAX(CB13*SUP_CONTROL!$C$20/30,SUM($D$67:CB67))</f>
        <v>1695859.6803296534</v>
      </c>
      <c r="CC14" s="77">
        <f>MAX(CC13*SUP_CONTROL!$C$20/30,SUM($D$67:CC67))</f>
        <v>1711733.2274429458</v>
      </c>
      <c r="CD14" s="77">
        <f>MAX(CD13*SUP_CONTROL!$C$20/30,SUM($D$67:CD67))</f>
        <v>1717408.2604347318</v>
      </c>
      <c r="CE14" s="77">
        <f>MAX(CE13*SUP_CONTROL!$C$20/30,SUM($D$67:CE67))</f>
        <v>1719875.6660833345</v>
      </c>
      <c r="CF14" s="77">
        <f>MAX(CF13*SUP_CONTROL!$C$20/30,SUM($D$67:CF67))</f>
        <v>1719875.6660833345</v>
      </c>
      <c r="CG14" s="77">
        <f>MAX(CG13*SUP_CONTROL!$C$20/30,SUM($D$67:CG67))</f>
        <v>1719875.6660833345</v>
      </c>
      <c r="CH14" s="77">
        <f>MAX(CH13*SUP_CONTROL!$C$20/30,SUM($D$67:CH67))</f>
        <v>1719875.6660833345</v>
      </c>
      <c r="CI14" s="77">
        <f>MAX(CI13*SUP_CONTROL!$C$20/30,SUM($D$67:CI67))</f>
        <v>1719875.6660833345</v>
      </c>
      <c r="CJ14" s="77">
        <f>MAX(CJ13*SUP_CONTROL!$C$20/30,SUM($D$67:CJ67))</f>
        <v>1719875.6660833345</v>
      </c>
      <c r="CK14" s="77">
        <f>MAX(CK13*SUP_CONTROL!$C$20/30,SUM($D$67:CK67))</f>
        <v>1719875.6660833345</v>
      </c>
      <c r="CL14" s="77">
        <f>MAX(CL13*SUP_CONTROL!$C$20/30,SUM($D$67:CL67))</f>
        <v>1719875.6660833345</v>
      </c>
      <c r="CM14" s="77">
        <f>MAX(CM13*SUP_CONTROL!$C$20/30,SUM($D$67:CM67))</f>
        <v>1719875.6660833345</v>
      </c>
      <c r="CN14" s="77">
        <f>MAX(CN13*SUP_CONTROL!$C$20/30,SUM($D$67:CN67))</f>
        <v>1719875.6660833345</v>
      </c>
      <c r="CO14" s="77">
        <f>MAX(CO13*SUP_CONTROL!$C$20/30,SUM($D$67:CO67))</f>
        <v>1719875.6660833345</v>
      </c>
      <c r="CP14" s="77">
        <f>MAX(CP13*SUP_CONTROL!$C$20/30,SUM($D$67:CP67))</f>
        <v>1719875.6660833345</v>
      </c>
      <c r="CQ14" s="77">
        <f>MAX(CQ13*SUP_CONTROL!$C$20/30,SUM($D$67:CQ67))</f>
        <v>1719875.6660833345</v>
      </c>
      <c r="CR14" s="77">
        <f>MAX(CR13*SUP_CONTROL!$C$20/30,SUM($D$67:CR67))</f>
        <v>1719875.6660833345</v>
      </c>
      <c r="CS14" s="77">
        <f>MAX(CS13*SUP_CONTROL!$C$20/30,SUM($D$67:CS67))</f>
        <v>1719875.6660833345</v>
      </c>
      <c r="CT14" s="77">
        <f>MAX(CT13*SUP_CONTROL!$C$20/30,SUM($D$67:CT67))</f>
        <v>1719875.6660833345</v>
      </c>
      <c r="CU14" s="77">
        <f>MAX(CU13*SUP_CONTROL!$C$20/30,SUM($D$67:CU67))</f>
        <v>1719875.6660833345</v>
      </c>
      <c r="CV14" s="77">
        <f>MAX(CV13*SUP_CONTROL!$C$20/30,SUM($D$67:CV67))</f>
        <v>1719875.6660833345</v>
      </c>
      <c r="CW14" s="77">
        <f>MAX(CW13*SUP_CONTROL!$C$20/30,SUM($D$67:CW67))</f>
        <v>1719875.6660833345</v>
      </c>
      <c r="CX14" s="77">
        <f>MAX(CX13*SUP_CONTROL!$C$20/30,SUM($D$67:CX67))</f>
        <v>1719875.6660833345</v>
      </c>
      <c r="CY14" s="77">
        <f>MAX(CY13*SUP_CONTROL!$C$20/30,SUM($D$67:CY67))</f>
        <v>1719875.6660833345</v>
      </c>
      <c r="CZ14" s="77">
        <f>MAX(CZ13*SUP_CONTROL!$C$20/30,SUM($D$67:CZ67))</f>
        <v>1719875.6660833345</v>
      </c>
      <c r="DA14" s="77">
        <f>MAX(DA13*SUP_CONTROL!$C$20/30,SUM($D$67:DA67))</f>
        <v>1719875.6660833345</v>
      </c>
      <c r="DB14" s="77">
        <f>MAX(DB13*SUP_CONTROL!$C$20/30,SUM($D$67:DB67))</f>
        <v>1719875.6660833345</v>
      </c>
      <c r="DC14" s="77">
        <f>MAX(DC13*SUP_CONTROL!$C$20/30,SUM($D$67:DC67))</f>
        <v>1719875.6660833345</v>
      </c>
      <c r="DD14" s="77">
        <f>MAX(DD13*SUP_CONTROL!$C$20/30,SUM($D$67:DD67))</f>
        <v>1719875.6660833345</v>
      </c>
      <c r="DE14" s="77">
        <f>MAX(DE13*SUP_CONTROL!$C$20/30,SUM($D$67:DE67))</f>
        <v>1719875.6660833345</v>
      </c>
      <c r="DF14" s="77">
        <f>MAX(DF13*SUP_CONTROL!$C$20/30,SUM($D$67:DF67))</f>
        <v>1719875.6660833345</v>
      </c>
      <c r="DG14" s="77">
        <f>MAX(DG13*SUP_CONTROL!$C$20/30,SUM($D$67:DG67))</f>
        <v>1719875.6660833345</v>
      </c>
      <c r="DH14" s="77">
        <f>MAX(DH13*SUP_CONTROL!$C$20/30,SUM($D$67:DH67))</f>
        <v>1719875.6660833345</v>
      </c>
      <c r="DI14" s="77">
        <f>MAX(DI13*SUP_CONTROL!$C$20/30,SUM($D$67:DI67))</f>
        <v>1719875.6660833345</v>
      </c>
      <c r="DJ14" s="77">
        <f>MAX(DJ13*SUP_CONTROL!$C$20/30,SUM($D$67:DJ67))</f>
        <v>1719875.6660833345</v>
      </c>
      <c r="DK14" s="77">
        <f>MAX(DK13*SUP_CONTROL!$C$20/30,SUM($D$67:DK67))</f>
        <v>1719875.6660833345</v>
      </c>
      <c r="DL14" s="77">
        <f>MAX(DL13*SUP_CONTROL!$C$20/30,SUM($D$67:DL67))</f>
        <v>1719875.6660833345</v>
      </c>
      <c r="DM14" s="77">
        <f>MAX(DM13*SUP_CONTROL!$C$20/30,SUM($D$67:DM67))</f>
        <v>1719875.6660833345</v>
      </c>
      <c r="DN14" s="77">
        <f>MAX(DN13*SUP_CONTROL!$C$20/30,SUM($D$67:DN67))</f>
        <v>1719875.6660833345</v>
      </c>
      <c r="DO14" s="77">
        <f>MAX(DO13*SUP_CONTROL!$C$20/30,SUM($D$67:DO67))</f>
        <v>1719875.6660833345</v>
      </c>
      <c r="DP14" s="77">
        <f>MAX(DP13*SUP_CONTROL!$C$20/30,SUM($D$67:DP67))</f>
        <v>1719875.6660833345</v>
      </c>
      <c r="DQ14" s="77">
        <f>MAX(DQ13*SUP_CONTROL!$C$20/30,SUM($D$67:DQ67))</f>
        <v>1719875.6660833345</v>
      </c>
      <c r="DR14" s="77">
        <f>MAX(DR13*SUP_CONTROL!$C$20/30,SUM($D$67:DR67))</f>
        <v>1719875.6660833345</v>
      </c>
      <c r="DS14" s="77">
        <f>MAX(DS13*SUP_CONTROL!$C$20/30,SUM($D$67:DS67))</f>
        <v>1719875.6660833345</v>
      </c>
    </row>
    <row r="16" spans="1:123" ht="15" customHeight="1" x14ac:dyDescent="0.2">
      <c r="B16" s="37" t="s">
        <v>1008</v>
      </c>
      <c r="D16" s="77">
        <f>0</f>
        <v>0</v>
      </c>
      <c r="E16" s="77">
        <f>D53+IF(E$4=SUP_CONTROL!$E$24,SUP_CONTROL!$C$24,0)</f>
        <v>183600</v>
      </c>
      <c r="F16" s="77">
        <f>E53+IF(F$4=SUP_CONTROL!$E$24,SUP_CONTROL!$C$24,0)</f>
        <v>167885</v>
      </c>
      <c r="G16" s="77">
        <f>F53+IF(G$4=SUP_CONTROL!$E$24,SUP_CONTROL!$C$24,0)</f>
        <v>152170</v>
      </c>
      <c r="H16" s="77">
        <f>G53+IF(H$4=SUP_CONTROL!$E$24,SUP_CONTROL!$C$24,0)</f>
        <v>139247.25050096362</v>
      </c>
      <c r="I16" s="77">
        <f>H53+IF(I$4=SUP_CONTROL!$E$24,SUP_CONTROL!$C$24,0)</f>
        <v>144781.97906559735</v>
      </c>
      <c r="J16" s="77">
        <f>I53+IF(J$4=SUP_CONTROL!$E$24,SUP_CONTROL!$C$24,0)</f>
        <v>167168.89298965177</v>
      </c>
      <c r="K16" s="77">
        <f>J53+IF(K$4=SUP_CONTROL!$E$24,SUP_CONTROL!$C$24,0)</f>
        <v>200898.68282664227</v>
      </c>
      <c r="L16" s="77">
        <f>K53+IF(L$4=SUP_CONTROL!$E$24,SUP_CONTROL!$C$24,0)</f>
        <v>246994.8188742153</v>
      </c>
      <c r="M16" s="77">
        <f>L53+IF(M$4=SUP_CONTROL!$E$24,SUP_CONTROL!$C$24,0)</f>
        <v>299027.65166206344</v>
      </c>
      <c r="N16" s="77">
        <f>M53+IF(N$4=SUP_CONTROL!$E$24,SUP_CONTROL!$C$24,0)</f>
        <v>354210.5684345474</v>
      </c>
      <c r="O16" s="77">
        <f>N53+IF(O$4=SUP_CONTROL!$E$24,SUP_CONTROL!$C$24,0)</f>
        <v>409393.48520703136</v>
      </c>
      <c r="P16" s="77">
        <f>O53+IF(P$4=SUP_CONTROL!$E$24,SUP_CONTROL!$C$24,0)</f>
        <v>464576.40197951533</v>
      </c>
      <c r="Q16" s="77">
        <f>P53+IF(Q$4=SUP_CONTROL!$E$24,SUP_CONTROL!$C$24,0)</f>
        <v>522902.8468569796</v>
      </c>
      <c r="R16" s="77">
        <f>Q53+IF(R$4=SUP_CONTROL!$E$24,SUP_CONTROL!$C$24,0)</f>
        <v>484527.35473444388</v>
      </c>
      <c r="S16" s="77">
        <f>R53+IF(S$4=SUP_CONTROL!$E$24,SUP_CONTROL!$C$24,0)</f>
        <v>542853.79961190815</v>
      </c>
      <c r="T16" s="77">
        <f>S53+IF(T$4=SUP_CONTROL!$E$24,SUP_CONTROL!$C$24,0)</f>
        <v>504478.3074893725</v>
      </c>
      <c r="U16" s="77">
        <f>T53+IF(U$4=SUP_CONTROL!$E$24,SUP_CONTROL!$C$24,0)</f>
        <v>459667.34740373323</v>
      </c>
      <c r="V16" s="77">
        <f>U53+IF(V$4=SUP_CONTROL!$E$24,SUP_CONTROL!$C$24,0)</f>
        <v>524813.154642493</v>
      </c>
      <c r="W16" s="77">
        <f>V53+IF(W$4=SUP_CONTROL!$E$24,SUP_CONTROL!$C$24,0)</f>
        <v>583573.31350324862</v>
      </c>
      <c r="X16" s="77">
        <f>W53+IF(X$4=SUP_CONTROL!$E$24,SUP_CONTROL!$C$24,0)</f>
        <v>647202.6543103992</v>
      </c>
      <c r="Y16" s="77">
        <f>X53+IF(Y$4=SUP_CONTROL!$E$24,SUP_CONTROL!$C$24,0)</f>
        <v>724923.37899154844</v>
      </c>
      <c r="Z16" s="77">
        <f>Y53+IF(Z$4=SUP_CONTROL!$E$24,SUP_CONTROL!$C$24,0)</f>
        <v>802317.21077189653</v>
      </c>
      <c r="AA16" s="77">
        <f>Z53+IF(AA$4=SUP_CONTROL!$E$24,SUP_CONTROL!$C$24,0)</f>
        <v>878547.5961018441</v>
      </c>
      <c r="AB16" s="77">
        <f>AA53+IF(AB$4=SUP_CONTROL!$E$24,SUP_CONTROL!$C$24,0)</f>
        <v>607433.98822112498</v>
      </c>
      <c r="AC16" s="77">
        <f>AB53+IF(AC$4=SUP_CONTROL!$E$24,SUP_CONTROL!$C$24,0)</f>
        <v>683080.50766694045</v>
      </c>
      <c r="AD16" s="77">
        <f>AC53+IF(AD$4=SUP_CONTROL!$E$24,SUP_CONTROL!$C$24,0)</f>
        <v>614494.58609246416</v>
      </c>
      <c r="AE16" s="77">
        <f>AD53+IF(AE$4=SUP_CONTROL!$E$24,SUP_CONTROL!$C$24,0)</f>
        <v>593296.14051153511</v>
      </c>
      <c r="AF16" s="77">
        <f>AE53+IF(AF$4=SUP_CONTROL!$E$24,SUP_CONTROL!$C$24,0)</f>
        <v>668799.63193060609</v>
      </c>
      <c r="AG16" s="77">
        <f>AF53+IF(AG$4=SUP_CONTROL!$E$24,SUP_CONTROL!$C$24,0)</f>
        <v>635455.9710976847</v>
      </c>
      <c r="AH16" s="77">
        <f>AG53+IF(AH$4=SUP_CONTROL!$E$24,SUP_CONTROL!$C$24,0)</f>
        <v>616190.09501277073</v>
      </c>
      <c r="AI16" s="77">
        <f>AH53+IF(AI$4=SUP_CONTROL!$E$24,SUP_CONTROL!$C$24,0)</f>
        <v>708036.9195090268</v>
      </c>
      <c r="AJ16" s="77">
        <f>AI53+IF(AJ$4=SUP_CONTROL!$E$24,SUP_CONTROL!$C$24,0)</f>
        <v>791600.6295461033</v>
      </c>
      <c r="AK16" s="77">
        <f>AJ53+IF(AK$4=SUP_CONTROL!$E$24,SUP_CONTROL!$C$24,0)</f>
        <v>736020.98150236357</v>
      </c>
      <c r="AL16" s="77">
        <f>AK53+IF(AL$4=SUP_CONTROL!$E$24,SUP_CONTROL!$C$24,0)</f>
        <v>742780.13084664475</v>
      </c>
      <c r="AM16" s="77">
        <f>AL53+IF(AM$4=SUP_CONTROL!$E$24,SUP_CONTROL!$C$24,0)</f>
        <v>747925.79100973718</v>
      </c>
      <c r="AN16" s="77">
        <f>AM53+IF(AN$4=SUP_CONTROL!$E$24,SUP_CONTROL!$C$24,0)</f>
        <v>739577.52376239956</v>
      </c>
      <c r="AO16" s="77">
        <f>AN53+IF(AO$4=SUP_CONTROL!$E$24,SUP_CONTROL!$C$24,0)</f>
        <v>844356.0347758173</v>
      </c>
      <c r="AP16" s="77">
        <f>AO53+IF(AP$4=SUP_CONTROL!$E$24,SUP_CONTROL!$C$24,0)</f>
        <v>812169.84209682955</v>
      </c>
      <c r="AQ16" s="77">
        <f>AP53+IF(AQ$4=SUP_CONTROL!$E$24,SUP_CONTROL!$C$24,0)</f>
        <v>929529.83236431784</v>
      </c>
      <c r="AR16" s="77">
        <f>AQ53+IF(AR$4=SUP_CONTROL!$E$24,SUP_CONTROL!$C$24,0)</f>
        <v>963433.61207670416</v>
      </c>
      <c r="AS16" s="77">
        <f>AR53+IF(AS$4=SUP_CONTROL!$E$24,SUP_CONTROL!$C$24,0)</f>
        <v>984824.66064568842</v>
      </c>
      <c r="AT16" s="77">
        <f>AS53+IF(AT$4=SUP_CONTROL!$E$24,SUP_CONTROL!$C$24,0)</f>
        <v>1122632.295152013</v>
      </c>
      <c r="AU16" s="77">
        <f>AT53+IF(AU$4=SUP_CONTROL!$E$24,SUP_CONTROL!$C$24,0)</f>
        <v>1254429.0319333388</v>
      </c>
      <c r="AV16" s="77">
        <f>AU53+IF(AV$4=SUP_CONTROL!$E$24,SUP_CONTROL!$C$24,0)</f>
        <v>1390293.5060425508</v>
      </c>
      <c r="AW16" s="77">
        <f>AV53+IF(AW$4=SUP_CONTROL!$E$24,SUP_CONTROL!$C$24,0)</f>
        <v>1540289.0385732376</v>
      </c>
      <c r="AX16" s="77">
        <f>AW53+IF(AX$4=SUP_CONTROL!$E$24,SUP_CONTROL!$C$24,0)</f>
        <v>1057716.4445464376</v>
      </c>
      <c r="AY16" s="77">
        <f>AX53+IF(AY$4=SUP_CONTROL!$E$24,SUP_CONTROL!$C$24,0)</f>
        <v>1198710.1698882275</v>
      </c>
      <c r="AZ16" s="77">
        <f>AY53+IF(AZ$4=SUP_CONTROL!$E$24,SUP_CONTROL!$C$24,0)</f>
        <v>1339703.8952300174</v>
      </c>
      <c r="BA16" s="77">
        <f>AZ53+IF(BA$4=SUP_CONTROL!$E$24,SUP_CONTROL!$C$24,0)</f>
        <v>1484299.7721234798</v>
      </c>
      <c r="BB16" s="77">
        <f>BA53+IF(BB$4=SUP_CONTROL!$E$24,SUP_CONTROL!$C$24,0)</f>
        <v>1122584.3799717897</v>
      </c>
      <c r="BC16" s="77">
        <f>BB53+IF(BC$4=SUP_CONTROL!$E$24,SUP_CONTROL!$C$24,0)</f>
        <v>1168702.716224933</v>
      </c>
      <c r="BD16" s="77">
        <f>BC53+IF(BD$4=SUP_CONTROL!$E$24,SUP_CONTROL!$C$24,0)</f>
        <v>1167290.5484577848</v>
      </c>
      <c r="BE16" s="77">
        <f>BD53+IF(BE$4=SUP_CONTROL!$E$24,SUP_CONTROL!$C$24,0)</f>
        <v>1162973.9143613321</v>
      </c>
      <c r="BF16" s="77">
        <f>BE53+IF(BF$4=SUP_CONTROL!$E$24,SUP_CONTROL!$C$24,0)</f>
        <v>1214269.5430563039</v>
      </c>
      <c r="BG16" s="77">
        <f>BF53+IF(BG$4=SUP_CONTROL!$E$24,SUP_CONTROL!$C$24,0)</f>
        <v>1264857.6504851172</v>
      </c>
      <c r="BH16" s="77">
        <f>BG53+IF(BH$4=SUP_CONTROL!$E$24,SUP_CONTROL!$C$24,0)</f>
        <v>1273899.5243624689</v>
      </c>
      <c r="BI16" s="77">
        <f>BH53+IF(BI$4=SUP_CONTROL!$E$24,SUP_CONTROL!$C$24,0)</f>
        <v>1336963.4675183613</v>
      </c>
      <c r="BJ16" s="77">
        <f>BI53+IF(BJ$4=SUP_CONTROL!$E$24,SUP_CONTROL!$C$24,0)</f>
        <v>1404925.3947027945</v>
      </c>
      <c r="BK16" s="77">
        <f>BJ53+IF(BK$4=SUP_CONTROL!$E$24,SUP_CONTROL!$C$24,0)</f>
        <v>1473323.2418348573</v>
      </c>
      <c r="BL16" s="77">
        <f>BK53+IF(BL$4=SUP_CONTROL!$E$24,SUP_CONTROL!$C$24,0)</f>
        <v>1502989.5520954544</v>
      </c>
      <c r="BM16" s="77">
        <f>BL53+IF(BM$4=SUP_CONTROL!$E$24,SUP_CONTROL!$C$24,0)</f>
        <v>1591210.4326873389</v>
      </c>
      <c r="BN16" s="77">
        <f>BM53+IF(BN$4=SUP_CONTROL!$E$24,SUP_CONTROL!$C$24,0)</f>
        <v>1684271.2090977733</v>
      </c>
      <c r="BO16" s="77">
        <f>BN53+IF(BO$4=SUP_CONTROL!$E$24,SUP_CONTROL!$C$24,0)</f>
        <v>1777700.5118529841</v>
      </c>
      <c r="BP16" s="77">
        <f>BO53+IF(BP$4=SUP_CONTROL!$E$24,SUP_CONTROL!$C$24,0)</f>
        <v>1836699.8372540041</v>
      </c>
      <c r="BQ16" s="77">
        <f>BP53+IF(BQ$4=SUP_CONTROL!$E$24,SUP_CONTROL!$C$24,0)</f>
        <v>1539139.3004319696</v>
      </c>
      <c r="BR16" s="77">
        <f>BQ53+IF(BR$4=SUP_CONTROL!$E$24,SUP_CONTROL!$C$24,0)</f>
        <v>1653846.3229881944</v>
      </c>
      <c r="BS16" s="77">
        <f>BR53+IF(BS$4=SUP_CONTROL!$E$24,SUP_CONTROL!$C$24,0)</f>
        <v>1768755.0125422082</v>
      </c>
      <c r="BT16" s="77">
        <f>BS53+IF(BT$4=SUP_CONTROL!$E$24,SUP_CONTROL!$C$24,0)</f>
        <v>1852722.60354713</v>
      </c>
      <c r="BU16" s="77">
        <f>BT53+IF(BU$4=SUP_CONTROL!$E$24,SUP_CONTROL!$C$24,0)</f>
        <v>1944001.3318411221</v>
      </c>
      <c r="BV16" s="77">
        <f>BU53+IF(BV$4=SUP_CONTROL!$E$24,SUP_CONTROL!$C$24,0)</f>
        <v>2083769.4631207222</v>
      </c>
      <c r="BW16" s="77">
        <f>BV53+IF(BW$4=SUP_CONTROL!$E$24,SUP_CONTROL!$C$24,0)</f>
        <v>2221843.7204740378</v>
      </c>
      <c r="BX16" s="77">
        <f>BW53+IF(BX$4=SUP_CONTROL!$E$24,SUP_CONTROL!$C$24,0)</f>
        <v>2359952.7854781547</v>
      </c>
      <c r="BY16" s="77">
        <f>BX53+IF(BY$4=SUP_CONTROL!$E$24,SUP_CONTROL!$C$24,0)</f>
        <v>2469653.9930470153</v>
      </c>
      <c r="BZ16" s="77">
        <f>BY53+IF(BZ$4=SUP_CONTROL!$E$24,SUP_CONTROL!$C$24,0)</f>
        <v>2633157.7871229229</v>
      </c>
      <c r="CA16" s="77">
        <f>BZ53+IF(CA$4=SUP_CONTROL!$E$24,SUP_CONTROL!$C$24,0)</f>
        <v>2802649.3158532586</v>
      </c>
      <c r="CB16" s="77">
        <f>CA53+IF(CB$4=SUP_CONTROL!$E$24,SUP_CONTROL!$C$24,0)</f>
        <v>3069839.9230446806</v>
      </c>
      <c r="CC16" s="77">
        <f>CB53+IF(CC$4=SUP_CONTROL!$E$24,SUP_CONTROL!$C$24,0)</f>
        <v>2772759.6030179746</v>
      </c>
      <c r="CD16" s="77">
        <f>CC53+IF(CD$4=SUP_CONTROL!$E$24,SUP_CONTROL!$C$24,0)</f>
        <v>3050544.8079141839</v>
      </c>
      <c r="CE16" s="77">
        <f>CD53+IF(CE$4=SUP_CONTROL!$E$24,SUP_CONTROL!$C$24,0)</f>
        <v>3338956.3225026233</v>
      </c>
      <c r="CF16" s="77">
        <f>CE53+IF(CF$4=SUP_CONTROL!$E$24,SUP_CONTROL!$C$24,0)</f>
        <v>3626161.8847833369</v>
      </c>
      <c r="CG16" s="77">
        <f>CF53+IF(CG$4=SUP_CONTROL!$E$24,SUP_CONTROL!$C$24,0)</f>
        <v>3911367.4470640505</v>
      </c>
      <c r="CH16" s="77">
        <f>CG53+IF(CH$4=SUP_CONTROL!$E$24,SUP_CONTROL!$C$24,0)</f>
        <v>4196573.0093447641</v>
      </c>
      <c r="CI16" s="77">
        <f>CH53+IF(CI$4=SUP_CONTROL!$E$24,SUP_CONTROL!$C$24,0)</f>
        <v>4481778.5716254776</v>
      </c>
      <c r="CJ16" s="77">
        <f>CI53+IF(CJ$4=SUP_CONTROL!$E$24,SUP_CONTROL!$C$24,0)</f>
        <v>4766984.1339061912</v>
      </c>
      <c r="CK16" s="77">
        <f>CJ53+IF(CK$4=SUP_CONTROL!$E$24,SUP_CONTROL!$C$24,0)</f>
        <v>5052189.6961869048</v>
      </c>
      <c r="CL16" s="77">
        <f>CK53+IF(CL$4=SUP_CONTROL!$E$24,SUP_CONTROL!$C$24,0)</f>
        <v>5337395.2584676184</v>
      </c>
      <c r="CM16" s="77">
        <f>CL53+IF(CM$4=SUP_CONTROL!$E$24,SUP_CONTROL!$C$24,0)</f>
        <v>5622600.820748332</v>
      </c>
      <c r="CN16" s="77">
        <f>CM53+IF(CN$4=SUP_CONTROL!$E$24,SUP_CONTROL!$C$24,0)</f>
        <v>5907806.3830290455</v>
      </c>
      <c r="CO16" s="77">
        <f>CN53+IF(CO$4=SUP_CONTROL!$E$24,SUP_CONTROL!$C$24,0)</f>
        <v>6193011.9453097591</v>
      </c>
      <c r="CP16" s="77">
        <f>CO53+IF(CP$4=SUP_CONTROL!$E$24,SUP_CONTROL!$C$24,0)</f>
        <v>6478217.5075904727</v>
      </c>
      <c r="CQ16" s="77">
        <f>CP53+IF(CQ$4=SUP_CONTROL!$E$24,SUP_CONTROL!$C$24,0)</f>
        <v>6763423.0698711863</v>
      </c>
      <c r="CR16" s="77">
        <f>CQ53+IF(CR$4=SUP_CONTROL!$E$24,SUP_CONTROL!$C$24,0)</f>
        <v>7048628.6321518999</v>
      </c>
      <c r="CS16" s="77">
        <f>CR53+IF(CS$4=SUP_CONTROL!$E$24,SUP_CONTROL!$C$24,0)</f>
        <v>7333834.1944326134</v>
      </c>
      <c r="CT16" s="77">
        <f>CS53+IF(CT$4=SUP_CONTROL!$E$24,SUP_CONTROL!$C$24,0)</f>
        <v>7619039.756713327</v>
      </c>
      <c r="CU16" s="77">
        <f>CT53+IF(CU$4=SUP_CONTROL!$E$24,SUP_CONTROL!$C$24,0)</f>
        <v>7904245.3189940406</v>
      </c>
      <c r="CV16" s="77">
        <f>CU53+IF(CV$4=SUP_CONTROL!$E$24,SUP_CONTROL!$C$24,0)</f>
        <v>8189450.8812747542</v>
      </c>
      <c r="CW16" s="77">
        <f>CV53+IF(CW$4=SUP_CONTROL!$E$24,SUP_CONTROL!$C$24,0)</f>
        <v>8474656.4435554687</v>
      </c>
      <c r="CX16" s="77">
        <f>CW53+IF(CX$4=SUP_CONTROL!$E$24,SUP_CONTROL!$C$24,0)</f>
        <v>8759862.0058361832</v>
      </c>
      <c r="CY16" s="77">
        <f>CX53+IF(CY$4=SUP_CONTROL!$E$24,SUP_CONTROL!$C$24,0)</f>
        <v>9045067.5681168977</v>
      </c>
      <c r="CZ16" s="77">
        <f>CY53+IF(CZ$4=SUP_CONTROL!$E$24,SUP_CONTROL!$C$24,0)</f>
        <v>9330273.1303976122</v>
      </c>
      <c r="DA16" s="77">
        <f>CZ53+IF(DA$4=SUP_CONTROL!$E$24,SUP_CONTROL!$C$24,0)</f>
        <v>9615478.6926783267</v>
      </c>
      <c r="DB16" s="77">
        <f>DA53+IF(DB$4=SUP_CONTROL!$E$24,SUP_CONTROL!$C$24,0)</f>
        <v>9900684.2549590413</v>
      </c>
      <c r="DC16" s="77">
        <f>DB53+IF(DC$4=SUP_CONTROL!$E$24,SUP_CONTROL!$C$24,0)</f>
        <v>10185889.817239756</v>
      </c>
      <c r="DD16" s="77">
        <f>DC53+IF(DD$4=SUP_CONTROL!$E$24,SUP_CONTROL!$C$24,0)</f>
        <v>10471095.37952047</v>
      </c>
      <c r="DE16" s="77">
        <f>DD53+IF(DE$4=SUP_CONTROL!$E$24,SUP_CONTROL!$C$24,0)</f>
        <v>10756300.941801185</v>
      </c>
      <c r="DF16" s="77">
        <f>DE53+IF(DF$4=SUP_CONTROL!$E$24,SUP_CONTROL!$C$24,0)</f>
        <v>11041506.504081899</v>
      </c>
      <c r="DG16" s="77">
        <f>DF53+IF(DG$4=SUP_CONTROL!$E$24,SUP_CONTROL!$C$24,0)</f>
        <v>11326712.066362614</v>
      </c>
      <c r="DH16" s="77">
        <f>DG53+IF(DH$4=SUP_CONTROL!$E$24,SUP_CONTROL!$C$24,0)</f>
        <v>11611917.628643328</v>
      </c>
      <c r="DI16" s="77">
        <f>DH53+IF(DI$4=SUP_CONTROL!$E$24,SUP_CONTROL!$C$24,0)</f>
        <v>11897123.190924043</v>
      </c>
      <c r="DJ16" s="77">
        <f>DI53+IF(DJ$4=SUP_CONTROL!$E$24,SUP_CONTROL!$C$24,0)</f>
        <v>12182328.753204757</v>
      </c>
      <c r="DK16" s="77">
        <f>DJ53+IF(DK$4=SUP_CONTROL!$E$24,SUP_CONTROL!$C$24,0)</f>
        <v>12467534.315485472</v>
      </c>
      <c r="DL16" s="77">
        <f>DK53+IF(DL$4=SUP_CONTROL!$E$24,SUP_CONTROL!$C$24,0)</f>
        <v>12752739.877766186</v>
      </c>
      <c r="DM16" s="77">
        <f>DL53+IF(DM$4=SUP_CONTROL!$E$24,SUP_CONTROL!$C$24,0)</f>
        <v>13037945.440046901</v>
      </c>
      <c r="DN16" s="77">
        <f>DM53+IF(DN$4=SUP_CONTROL!$E$24,SUP_CONTROL!$C$24,0)</f>
        <v>13323151.002327615</v>
      </c>
      <c r="DO16" s="77">
        <f>DN53+IF(DO$4=SUP_CONTROL!$E$24,SUP_CONTROL!$C$24,0)</f>
        <v>13608356.56460833</v>
      </c>
      <c r="DP16" s="77">
        <f>DO53+IF(DP$4=SUP_CONTROL!$E$24,SUP_CONTROL!$C$24,0)</f>
        <v>13893562.126889044</v>
      </c>
      <c r="DQ16" s="77">
        <f>DP53+IF(DQ$4=SUP_CONTROL!$E$24,SUP_CONTROL!$C$24,0)</f>
        <v>14178767.689169759</v>
      </c>
      <c r="DR16" s="77">
        <f>DQ53+IF(DR$4=SUP_CONTROL!$E$24,SUP_CONTROL!$C$24,0)</f>
        <v>14463973.251450473</v>
      </c>
      <c r="DS16" s="77">
        <f>DR53+IF(DS$4=SUP_CONTROL!$E$24,SUP_CONTROL!$C$24,0)</f>
        <v>14749178.813731188</v>
      </c>
    </row>
    <row r="17" spans="1:123" ht="15" customHeight="1" x14ac:dyDescent="0.2">
      <c r="B17" s="20" t="s">
        <v>1009</v>
      </c>
      <c r="D17" s="72">
        <f>0</f>
        <v>0</v>
      </c>
      <c r="E17" s="72">
        <f t="shared" ref="E17:AJ17" si="8">MAX(0,E16-D14)</f>
        <v>0</v>
      </c>
      <c r="F17" s="72">
        <f t="shared" si="8"/>
        <v>0</v>
      </c>
      <c r="G17" s="72">
        <f t="shared" si="8"/>
        <v>0</v>
      </c>
      <c r="H17" s="72">
        <f t="shared" si="8"/>
        <v>0</v>
      </c>
      <c r="I17" s="72">
        <f t="shared" si="8"/>
        <v>0</v>
      </c>
      <c r="J17" s="72">
        <f t="shared" si="8"/>
        <v>0</v>
      </c>
      <c r="K17" s="72">
        <f t="shared" si="8"/>
        <v>0</v>
      </c>
      <c r="L17" s="72">
        <f t="shared" si="8"/>
        <v>0</v>
      </c>
      <c r="M17" s="72">
        <f t="shared" si="8"/>
        <v>0</v>
      </c>
      <c r="N17" s="72">
        <f t="shared" si="8"/>
        <v>0</v>
      </c>
      <c r="O17" s="72">
        <f t="shared" si="8"/>
        <v>9391.4285643419134</v>
      </c>
      <c r="P17" s="72">
        <f t="shared" si="8"/>
        <v>64574.345336825878</v>
      </c>
      <c r="Q17" s="72">
        <f t="shared" si="8"/>
        <v>127663.71158547245</v>
      </c>
      <c r="R17" s="72">
        <f t="shared" si="8"/>
        <v>89288.219462936744</v>
      </c>
      <c r="S17" s="72">
        <f t="shared" si="8"/>
        <v>147614.66434040101</v>
      </c>
      <c r="T17" s="72">
        <f t="shared" si="8"/>
        <v>109239.17221786536</v>
      </c>
      <c r="U17" s="72">
        <f t="shared" si="8"/>
        <v>40234.254968672933</v>
      </c>
      <c r="V17" s="72">
        <f t="shared" si="8"/>
        <v>100726.84132353577</v>
      </c>
      <c r="W17" s="72">
        <f t="shared" si="8"/>
        <v>132190.89576480701</v>
      </c>
      <c r="X17" s="72">
        <f t="shared" si="8"/>
        <v>163870.91126857616</v>
      </c>
      <c r="Y17" s="72">
        <f t="shared" si="8"/>
        <v>233836.26780989731</v>
      </c>
      <c r="Z17" s="72">
        <f t="shared" si="8"/>
        <v>305025.80507838289</v>
      </c>
      <c r="AA17" s="72">
        <f t="shared" si="8"/>
        <v>378154.04315239919</v>
      </c>
      <c r="AB17" s="72">
        <f t="shared" si="8"/>
        <v>98610.565271680127</v>
      </c>
      <c r="AC17" s="72">
        <f t="shared" si="8"/>
        <v>180330.90187891154</v>
      </c>
      <c r="AD17" s="72">
        <f t="shared" si="8"/>
        <v>111744.98030443524</v>
      </c>
      <c r="AE17" s="72">
        <f t="shared" si="8"/>
        <v>93268.837380137353</v>
      </c>
      <c r="AF17" s="72">
        <f t="shared" si="8"/>
        <v>168772.32879920834</v>
      </c>
      <c r="AG17" s="72">
        <f t="shared" si="8"/>
        <v>105056.0527162014</v>
      </c>
      <c r="AH17" s="72">
        <f t="shared" si="8"/>
        <v>56967.561381201958</v>
      </c>
      <c r="AI17" s="72">
        <f t="shared" si="8"/>
        <v>140599.08141589118</v>
      </c>
      <c r="AJ17" s="72">
        <f t="shared" si="8"/>
        <v>194313.26314518612</v>
      </c>
      <c r="AK17" s="72">
        <f t="shared" ref="AK17:BP17" si="9">MAX(0,AK16-AJ14)</f>
        <v>108297.27933212463</v>
      </c>
      <c r="AL17" s="72">
        <f t="shared" si="9"/>
        <v>107721.33540714975</v>
      </c>
      <c r="AM17" s="72">
        <f t="shared" si="9"/>
        <v>112443.52626809955</v>
      </c>
      <c r="AN17" s="72">
        <f t="shared" si="9"/>
        <v>71503.210910339607</v>
      </c>
      <c r="AO17" s="72">
        <f t="shared" si="9"/>
        <v>152335.68241017568</v>
      </c>
      <c r="AP17" s="72">
        <f t="shared" si="9"/>
        <v>89728.217750059441</v>
      </c>
      <c r="AQ17" s="72">
        <f t="shared" si="9"/>
        <v>173829.16485565272</v>
      </c>
      <c r="AR17" s="72">
        <f t="shared" si="9"/>
        <v>197800.7454353564</v>
      </c>
      <c r="AS17" s="72">
        <f t="shared" si="9"/>
        <v>183957.08516533056</v>
      </c>
      <c r="AT17" s="72">
        <f t="shared" si="9"/>
        <v>313393.29468839418</v>
      </c>
      <c r="AU17" s="72">
        <f t="shared" si="9"/>
        <v>419025.41625974118</v>
      </c>
      <c r="AV17" s="72">
        <f t="shared" si="9"/>
        <v>524468.61838782474</v>
      </c>
      <c r="AW17" s="72">
        <f t="shared" si="9"/>
        <v>667369.72296659544</v>
      </c>
      <c r="AX17" s="72">
        <f t="shared" si="9"/>
        <v>164986.58657826227</v>
      </c>
      <c r="AY17" s="72">
        <f t="shared" si="9"/>
        <v>303142.54073928576</v>
      </c>
      <c r="AZ17" s="72">
        <f t="shared" si="9"/>
        <v>444136.26608107565</v>
      </c>
      <c r="BA17" s="72">
        <f t="shared" si="9"/>
        <v>594189.94835585996</v>
      </c>
      <c r="BB17" s="72">
        <f t="shared" si="9"/>
        <v>243579.09486127237</v>
      </c>
      <c r="BC17" s="72">
        <f t="shared" si="9"/>
        <v>289697.43111441575</v>
      </c>
      <c r="BD17" s="72">
        <f t="shared" si="9"/>
        <v>288285.26334726752</v>
      </c>
      <c r="BE17" s="72">
        <f t="shared" si="9"/>
        <v>230054.86217995675</v>
      </c>
      <c r="BF17" s="72">
        <f t="shared" si="9"/>
        <v>251265.81493853196</v>
      </c>
      <c r="BG17" s="72">
        <f t="shared" si="9"/>
        <v>274437.48057854641</v>
      </c>
      <c r="BH17" s="72">
        <f t="shared" si="9"/>
        <v>248729.28174141701</v>
      </c>
      <c r="BI17" s="72">
        <f t="shared" si="9"/>
        <v>280128.57433319115</v>
      </c>
      <c r="BJ17" s="72">
        <f t="shared" si="9"/>
        <v>316425.85095350584</v>
      </c>
      <c r="BK17" s="72">
        <f t="shared" si="9"/>
        <v>347182.13747962541</v>
      </c>
      <c r="BL17" s="72">
        <f t="shared" si="9"/>
        <v>358965.34944772464</v>
      </c>
      <c r="BM17" s="72">
        <f t="shared" si="9"/>
        <v>423289.15375561244</v>
      </c>
      <c r="BN17" s="72">
        <f t="shared" si="9"/>
        <v>485497.41560517554</v>
      </c>
      <c r="BO17" s="72">
        <f t="shared" si="9"/>
        <v>542227.39321452146</v>
      </c>
      <c r="BP17" s="72">
        <f t="shared" si="9"/>
        <v>569983.58491057996</v>
      </c>
      <c r="BQ17" s="72">
        <f t="shared" ref="BQ17:CV17" si="10">MAX(0,BQ16-BP14)</f>
        <v>254496.47611393686</v>
      </c>
      <c r="BR17" s="72">
        <f t="shared" si="10"/>
        <v>338808.18606203259</v>
      </c>
      <c r="BS17" s="72">
        <f t="shared" si="10"/>
        <v>417547.99351244071</v>
      </c>
      <c r="BT17" s="72">
        <f t="shared" si="10"/>
        <v>439868.00697291712</v>
      </c>
      <c r="BU17" s="72">
        <f t="shared" si="10"/>
        <v>496911.8140265285</v>
      </c>
      <c r="BV17" s="72">
        <f t="shared" si="10"/>
        <v>619416.24218209833</v>
      </c>
      <c r="BW17" s="72">
        <f t="shared" si="10"/>
        <v>725791.64349568053</v>
      </c>
      <c r="BX17" s="72">
        <f t="shared" si="10"/>
        <v>828262.26943845022</v>
      </c>
      <c r="BY17" s="72">
        <f t="shared" si="10"/>
        <v>917214.65352274198</v>
      </c>
      <c r="BZ17" s="72">
        <f t="shared" si="10"/>
        <v>1050971.6184873213</v>
      </c>
      <c r="CA17" s="72">
        <f t="shared" si="10"/>
        <v>1186648.0361738105</v>
      </c>
      <c r="CB17" s="72">
        <f t="shared" si="10"/>
        <v>1415072.0373915273</v>
      </c>
      <c r="CC17" s="72">
        <f t="shared" si="10"/>
        <v>1076899.9226883212</v>
      </c>
      <c r="CD17" s="72">
        <f t="shared" si="10"/>
        <v>1338811.5804712381</v>
      </c>
      <c r="CE17" s="72">
        <f t="shared" si="10"/>
        <v>1621548.0620678915</v>
      </c>
      <c r="CF17" s="72">
        <f t="shared" si="10"/>
        <v>1906286.2187000024</v>
      </c>
      <c r="CG17" s="72">
        <f t="shared" si="10"/>
        <v>2191491.780980716</v>
      </c>
      <c r="CH17" s="72">
        <f t="shared" si="10"/>
        <v>2476697.3432614296</v>
      </c>
      <c r="CI17" s="72">
        <f t="shared" si="10"/>
        <v>2761902.9055421432</v>
      </c>
      <c r="CJ17" s="72">
        <f t="shared" si="10"/>
        <v>3047108.4678228567</v>
      </c>
      <c r="CK17" s="72">
        <f t="shared" si="10"/>
        <v>3332314.0301035703</v>
      </c>
      <c r="CL17" s="72">
        <f t="shared" si="10"/>
        <v>3617519.5923842839</v>
      </c>
      <c r="CM17" s="72">
        <f t="shared" si="10"/>
        <v>3902725.1546649975</v>
      </c>
      <c r="CN17" s="72">
        <f t="shared" si="10"/>
        <v>4187930.7169457111</v>
      </c>
      <c r="CO17" s="72">
        <f t="shared" si="10"/>
        <v>4473136.2792264242</v>
      </c>
      <c r="CP17" s="72">
        <f t="shared" si="10"/>
        <v>4758341.8415071387</v>
      </c>
      <c r="CQ17" s="72">
        <f t="shared" si="10"/>
        <v>5043547.4037878513</v>
      </c>
      <c r="CR17" s="72">
        <f t="shared" si="10"/>
        <v>5328752.9660685658</v>
      </c>
      <c r="CS17" s="72">
        <f t="shared" si="10"/>
        <v>5613958.5283492785</v>
      </c>
      <c r="CT17" s="72">
        <f t="shared" si="10"/>
        <v>5899164.090629993</v>
      </c>
      <c r="CU17" s="72">
        <f t="shared" si="10"/>
        <v>6184369.6529107057</v>
      </c>
      <c r="CV17" s="72">
        <f t="shared" si="10"/>
        <v>6469575.2151914202</v>
      </c>
      <c r="CW17" s="72">
        <f t="shared" ref="CW17:EB17" si="11">MAX(0,CW16-CV14)</f>
        <v>6754780.7774721347</v>
      </c>
      <c r="CX17" s="72">
        <f t="shared" si="11"/>
        <v>7039986.3397528492</v>
      </c>
      <c r="CY17" s="72">
        <f t="shared" si="11"/>
        <v>7325191.9020335637</v>
      </c>
      <c r="CZ17" s="72">
        <f t="shared" si="11"/>
        <v>7610397.4643142782</v>
      </c>
      <c r="DA17" s="72">
        <f t="shared" si="11"/>
        <v>7895603.0265949927</v>
      </c>
      <c r="DB17" s="72">
        <f t="shared" si="11"/>
        <v>8180808.5888757072</v>
      </c>
      <c r="DC17" s="72">
        <f t="shared" si="11"/>
        <v>8466014.1511564218</v>
      </c>
      <c r="DD17" s="72">
        <f t="shared" si="11"/>
        <v>8751219.7134371363</v>
      </c>
      <c r="DE17" s="72">
        <f t="shared" si="11"/>
        <v>9036425.2757178508</v>
      </c>
      <c r="DF17" s="72">
        <f t="shared" si="11"/>
        <v>9321630.8379985653</v>
      </c>
      <c r="DG17" s="72">
        <f t="shared" si="11"/>
        <v>9606836.4002792798</v>
      </c>
      <c r="DH17" s="72">
        <f t="shared" si="11"/>
        <v>9892041.9625599943</v>
      </c>
      <c r="DI17" s="72">
        <f t="shared" si="11"/>
        <v>10177247.524840709</v>
      </c>
      <c r="DJ17" s="72">
        <f t="shared" si="11"/>
        <v>10462453.087121423</v>
      </c>
      <c r="DK17" s="72">
        <f t="shared" si="11"/>
        <v>10747658.649402138</v>
      </c>
      <c r="DL17" s="72">
        <f t="shared" si="11"/>
        <v>11032864.211682852</v>
      </c>
      <c r="DM17" s="72">
        <f t="shared" si="11"/>
        <v>11318069.773963567</v>
      </c>
      <c r="DN17" s="72">
        <f t="shared" si="11"/>
        <v>11603275.336244281</v>
      </c>
      <c r="DO17" s="72">
        <f t="shared" si="11"/>
        <v>11888480.898524996</v>
      </c>
      <c r="DP17" s="72">
        <f t="shared" si="11"/>
        <v>12173686.46080571</v>
      </c>
      <c r="DQ17" s="72">
        <f t="shared" si="11"/>
        <v>12458892.023086425</v>
      </c>
      <c r="DR17" s="72">
        <f t="shared" si="11"/>
        <v>12744097.585367139</v>
      </c>
      <c r="DS17" s="72">
        <f t="shared" si="11"/>
        <v>13029303.147647854</v>
      </c>
    </row>
    <row r="18" spans="1:123" ht="15" customHeight="1" x14ac:dyDescent="0.2">
      <c r="A18" s="25" t="s">
        <v>1010</v>
      </c>
      <c r="B18" s="26"/>
      <c r="C18" s="26"/>
    </row>
    <row r="19" spans="1:123" ht="15" customHeight="1" x14ac:dyDescent="0.2">
      <c r="B19" s="37" t="s">
        <v>1011</v>
      </c>
      <c r="D19" s="88">
        <f>0</f>
        <v>0</v>
      </c>
      <c r="E19" s="88">
        <f>IF(AND(SUP_CONTROL!$C$13=1,SUM($C$19:D$19)=0,PROD_DEMANDA!D13&gt;=SUP_PRODUCCION!$C$67,E17&gt;=SUP_PRODUCCION!$C$91),1,0)</f>
        <v>0</v>
      </c>
      <c r="F19" s="88">
        <f>IF(AND(SUP_CONTROL!$C$13=1,SUM($C$19:E$19)=0,PROD_DEMANDA!E13&gt;=SUP_PRODUCCION!$C$67,F17&gt;=SUP_PRODUCCION!$C$91),1,0)</f>
        <v>0</v>
      </c>
      <c r="G19" s="88">
        <f>IF(AND(SUP_CONTROL!$C$13=1,SUM($C$19:F$19)=0,PROD_DEMANDA!F13&gt;=SUP_PRODUCCION!$C$67,G17&gt;=SUP_PRODUCCION!$C$91),1,0)</f>
        <v>0</v>
      </c>
      <c r="H19" s="88">
        <f>IF(AND(SUP_CONTROL!$C$13=1,SUM($C$19:G$19)=0,PROD_DEMANDA!G13&gt;=SUP_PRODUCCION!$C$67,H17&gt;=SUP_PRODUCCION!$C$91),1,0)</f>
        <v>0</v>
      </c>
      <c r="I19" s="88">
        <f>IF(AND(SUP_CONTROL!$C$13=1,SUM($C$19:H$19)=0,PROD_DEMANDA!H13&gt;=SUP_PRODUCCION!$C$67,I17&gt;=SUP_PRODUCCION!$C$91),1,0)</f>
        <v>0</v>
      </c>
      <c r="J19" s="88">
        <f>IF(AND(SUP_CONTROL!$C$13=1,SUM($C$19:I$19)=0,PROD_DEMANDA!I13&gt;=SUP_PRODUCCION!$C$67,J17&gt;=SUP_PRODUCCION!$C$91),1,0)</f>
        <v>0</v>
      </c>
      <c r="K19" s="88">
        <f>IF(AND(SUP_CONTROL!$C$13=1,SUM($C$19:J$19)=0,PROD_DEMANDA!J13&gt;=SUP_PRODUCCION!$C$67,K17&gt;=SUP_PRODUCCION!$C$91),1,0)</f>
        <v>0</v>
      </c>
      <c r="L19" s="88">
        <f>IF(AND(SUP_CONTROL!$C$13=1,SUM($C$19:K$19)=0,PROD_DEMANDA!K13&gt;=SUP_PRODUCCION!$C$67,L17&gt;=SUP_PRODUCCION!$C$91),1,0)</f>
        <v>0</v>
      </c>
      <c r="M19" s="88">
        <f>IF(AND(SUP_CONTROL!$C$13=1,SUM($C$19:L$19)=0,PROD_DEMANDA!L13&gt;=SUP_PRODUCCION!$C$67,M17&gt;=SUP_PRODUCCION!$C$91),1,0)</f>
        <v>0</v>
      </c>
      <c r="N19" s="88">
        <f>IF(AND(SUP_CONTROL!$C$13=1,SUM($C$19:M$19)=0,PROD_DEMANDA!M13&gt;=SUP_PRODUCCION!$C$67,N17&gt;=SUP_PRODUCCION!$C$91),1,0)</f>
        <v>0</v>
      </c>
      <c r="O19" s="88">
        <f>IF(AND(SUP_CONTROL!$C$13=1,SUM($C$19:N$19)=0,PROD_DEMANDA!N13&gt;=SUP_PRODUCCION!$C$67,O17&gt;=SUP_PRODUCCION!$C$91),1,0)</f>
        <v>0</v>
      </c>
      <c r="P19" s="88">
        <f>IF(AND(SUP_CONTROL!$C$13=1,SUM($C$19:O$19)=0,PROD_DEMANDA!O13&gt;=SUP_PRODUCCION!$C$67,P17&gt;=SUP_PRODUCCION!$C$91),1,0)</f>
        <v>0</v>
      </c>
      <c r="Q19" s="88">
        <f>IF(AND(SUP_CONTROL!$C$13=1,SUM($C$19:P$19)=0,PROD_DEMANDA!P13&gt;=SUP_PRODUCCION!$C$67,Q17&gt;=SUP_PRODUCCION!$C$91),1,0)</f>
        <v>0</v>
      </c>
      <c r="R19" s="88">
        <f>IF(AND(SUP_CONTROL!$C$13=1,SUM($C$19:Q$19)=0,PROD_DEMANDA!Q13&gt;=SUP_PRODUCCION!$C$67,R17&gt;=SUP_PRODUCCION!$C$91),1,0)</f>
        <v>0</v>
      </c>
      <c r="S19" s="88">
        <f>IF(AND(SUP_CONTROL!$C$13=1,SUM($C$19:R$19)=0,PROD_DEMANDA!R13&gt;=SUP_PRODUCCION!$C$67,S17&gt;=SUP_PRODUCCION!$C$91),1,0)</f>
        <v>0</v>
      </c>
      <c r="T19" s="88">
        <f>IF(AND(SUP_CONTROL!$C$13=1,SUM($C$19:S$19)=0,PROD_DEMANDA!S13&gt;=SUP_PRODUCCION!$C$67,T17&gt;=SUP_PRODUCCION!$C$91),1,0)</f>
        <v>0</v>
      </c>
      <c r="U19" s="88">
        <f>IF(AND(SUP_CONTROL!$C$13=1,SUM($C$19:T$19)=0,PROD_DEMANDA!T13&gt;=SUP_PRODUCCION!$C$67,U17&gt;=SUP_PRODUCCION!$C$91),1,0)</f>
        <v>0</v>
      </c>
      <c r="V19" s="88">
        <f>IF(AND(SUP_CONTROL!$C$13=1,SUM($C$19:U$19)=0,PROD_DEMANDA!U13&gt;=SUP_PRODUCCION!$C$67,V17&gt;=SUP_PRODUCCION!$C$91),1,0)</f>
        <v>0</v>
      </c>
      <c r="W19" s="88">
        <f>IF(AND(SUP_CONTROL!$C$13=1,SUM($C$19:V$19)=0,PROD_DEMANDA!V13&gt;=SUP_PRODUCCION!$C$67,W17&gt;=SUP_PRODUCCION!$C$91),1,0)</f>
        <v>0</v>
      </c>
      <c r="X19" s="88">
        <f>IF(AND(SUP_CONTROL!$C$13=1,SUM($C$19:W$19)=0,PROD_DEMANDA!W13&gt;=SUP_PRODUCCION!$C$67,X17&gt;=SUP_PRODUCCION!$C$91),1,0)</f>
        <v>0</v>
      </c>
      <c r="Y19" s="88">
        <f>IF(AND(SUP_CONTROL!$C$13=1,SUM($C$19:X$19)=0,PROD_DEMANDA!X13&gt;=SUP_PRODUCCION!$C$67,Y17&gt;=SUP_PRODUCCION!$C$91),1,0)</f>
        <v>0</v>
      </c>
      <c r="Z19" s="88">
        <f>IF(AND(SUP_CONTROL!$C$13=1,SUM($C$19:Y$19)=0,PROD_DEMANDA!Y13&gt;=SUP_PRODUCCION!$C$67,Z17&gt;=SUP_PRODUCCION!$C$91),1,0)</f>
        <v>0</v>
      </c>
      <c r="AA19" s="88">
        <f>IF(AND(SUP_CONTROL!$C$13=1,SUM($C$19:Z$19)=0,PROD_DEMANDA!Z13&gt;=SUP_PRODUCCION!$C$67,AA17&gt;=SUP_PRODUCCION!$C$91),1,0)</f>
        <v>1</v>
      </c>
      <c r="AB19" s="88">
        <f>IF(AND(SUP_CONTROL!$C$13=1,SUM($C$19:AA$19)=0,PROD_DEMANDA!AA13&gt;=SUP_PRODUCCION!$C$67,AB17&gt;=SUP_PRODUCCION!$C$91),1,0)</f>
        <v>0</v>
      </c>
      <c r="AC19" s="88">
        <f>IF(AND(SUP_CONTROL!$C$13=1,SUM($C$19:AB$19)=0,PROD_DEMANDA!AB13&gt;=SUP_PRODUCCION!$C$67,AC17&gt;=SUP_PRODUCCION!$C$91),1,0)</f>
        <v>0</v>
      </c>
      <c r="AD19" s="88">
        <f>IF(AND(SUP_CONTROL!$C$13=1,SUM($C$19:AC$19)=0,PROD_DEMANDA!AC13&gt;=SUP_PRODUCCION!$C$67,AD17&gt;=SUP_PRODUCCION!$C$91),1,0)</f>
        <v>0</v>
      </c>
      <c r="AE19" s="88">
        <f>IF(AND(SUP_CONTROL!$C$13=1,SUM($C$19:AD$19)=0,PROD_DEMANDA!AD13&gt;=SUP_PRODUCCION!$C$67,AE17&gt;=SUP_PRODUCCION!$C$91),1,0)</f>
        <v>0</v>
      </c>
      <c r="AF19" s="88">
        <f>IF(AND(SUP_CONTROL!$C$13=1,SUM($C$19:AE$19)=0,PROD_DEMANDA!AE13&gt;=SUP_PRODUCCION!$C$67,AF17&gt;=SUP_PRODUCCION!$C$91),1,0)</f>
        <v>0</v>
      </c>
      <c r="AG19" s="88">
        <f>IF(AND(SUP_CONTROL!$C$13=1,SUM($C$19:AF$19)=0,PROD_DEMANDA!AF13&gt;=SUP_PRODUCCION!$C$67,AG17&gt;=SUP_PRODUCCION!$C$91),1,0)</f>
        <v>0</v>
      </c>
      <c r="AH19" s="88">
        <f>IF(AND(SUP_CONTROL!$C$13=1,SUM($C$19:AG$19)=0,PROD_DEMANDA!AG13&gt;=SUP_PRODUCCION!$C$67,AH17&gt;=SUP_PRODUCCION!$C$91),1,0)</f>
        <v>0</v>
      </c>
      <c r="AI19" s="88">
        <f>IF(AND(SUP_CONTROL!$C$13=1,SUM($C$19:AH$19)=0,PROD_DEMANDA!AH13&gt;=SUP_PRODUCCION!$C$67,AI17&gt;=SUP_PRODUCCION!$C$91),1,0)</f>
        <v>0</v>
      </c>
      <c r="AJ19" s="88">
        <f>IF(AND(SUP_CONTROL!$C$13=1,SUM($C$19:AI$19)=0,PROD_DEMANDA!AI13&gt;=SUP_PRODUCCION!$C$67,AJ17&gt;=SUP_PRODUCCION!$C$91),1,0)</f>
        <v>0</v>
      </c>
      <c r="AK19" s="88">
        <f>IF(AND(SUP_CONTROL!$C$13=1,SUM($C$19:AJ$19)=0,PROD_DEMANDA!AJ13&gt;=SUP_PRODUCCION!$C$67,AK17&gt;=SUP_PRODUCCION!$C$91),1,0)</f>
        <v>0</v>
      </c>
      <c r="AL19" s="88">
        <f>IF(AND(SUP_CONTROL!$C$13=1,SUM($C$19:AK$19)=0,PROD_DEMANDA!AK13&gt;=SUP_PRODUCCION!$C$67,AL17&gt;=SUP_PRODUCCION!$C$91),1,0)</f>
        <v>0</v>
      </c>
      <c r="AM19" s="88">
        <f>IF(AND(SUP_CONTROL!$C$13=1,SUM($C$19:AL$19)=0,PROD_DEMANDA!AL13&gt;=SUP_PRODUCCION!$C$67,AM17&gt;=SUP_PRODUCCION!$C$91),1,0)</f>
        <v>0</v>
      </c>
      <c r="AN19" s="88">
        <f>IF(AND(SUP_CONTROL!$C$13=1,SUM($C$19:AM$19)=0,PROD_DEMANDA!AM13&gt;=SUP_PRODUCCION!$C$67,AN17&gt;=SUP_PRODUCCION!$C$91),1,0)</f>
        <v>0</v>
      </c>
      <c r="AO19" s="88">
        <f>IF(AND(SUP_CONTROL!$C$13=1,SUM($C$19:AN$19)=0,PROD_DEMANDA!AN13&gt;=SUP_PRODUCCION!$C$67,AO17&gt;=SUP_PRODUCCION!$C$91),1,0)</f>
        <v>0</v>
      </c>
      <c r="AP19" s="88">
        <f>IF(AND(SUP_CONTROL!$C$13=1,SUM($C$19:AO$19)=0,PROD_DEMANDA!AO13&gt;=SUP_PRODUCCION!$C$67,AP17&gt;=SUP_PRODUCCION!$C$91),1,0)</f>
        <v>0</v>
      </c>
      <c r="AQ19" s="88">
        <f>IF(AND(SUP_CONTROL!$C$13=1,SUM($C$19:AP$19)=0,PROD_DEMANDA!AP13&gt;=SUP_PRODUCCION!$C$67,AQ17&gt;=SUP_PRODUCCION!$C$91),1,0)</f>
        <v>0</v>
      </c>
      <c r="AR19" s="88">
        <f>IF(AND(SUP_CONTROL!$C$13=1,SUM($C$19:AQ$19)=0,PROD_DEMANDA!AQ13&gt;=SUP_PRODUCCION!$C$67,AR17&gt;=SUP_PRODUCCION!$C$91),1,0)</f>
        <v>0</v>
      </c>
      <c r="AS19" s="88">
        <f>IF(AND(SUP_CONTROL!$C$13=1,SUM($C$19:AR$19)=0,PROD_DEMANDA!AR13&gt;=SUP_PRODUCCION!$C$67,AS17&gt;=SUP_PRODUCCION!$C$91),1,0)</f>
        <v>0</v>
      </c>
      <c r="AT19" s="88">
        <f>IF(AND(SUP_CONTROL!$C$13=1,SUM($C$19:AS$19)=0,PROD_DEMANDA!AS13&gt;=SUP_PRODUCCION!$C$67,AT17&gt;=SUP_PRODUCCION!$C$91),1,0)</f>
        <v>0</v>
      </c>
      <c r="AU19" s="88">
        <f>IF(AND(SUP_CONTROL!$C$13=1,SUM($C$19:AT$19)=0,PROD_DEMANDA!AT13&gt;=SUP_PRODUCCION!$C$67,AU17&gt;=SUP_PRODUCCION!$C$91),1,0)</f>
        <v>0</v>
      </c>
      <c r="AV19" s="88">
        <f>IF(AND(SUP_CONTROL!$C$13=1,SUM($C$19:AU$19)=0,PROD_DEMANDA!AU13&gt;=SUP_PRODUCCION!$C$67,AV17&gt;=SUP_PRODUCCION!$C$91),1,0)</f>
        <v>0</v>
      </c>
      <c r="AW19" s="88">
        <f>IF(AND(SUP_CONTROL!$C$13=1,SUM($C$19:AV$19)=0,PROD_DEMANDA!AV13&gt;=SUP_PRODUCCION!$C$67,AW17&gt;=SUP_PRODUCCION!$C$91),1,0)</f>
        <v>0</v>
      </c>
      <c r="AX19" s="88">
        <f>IF(AND(SUP_CONTROL!$C$13=1,SUM($C$19:AW$19)=0,PROD_DEMANDA!AW13&gt;=SUP_PRODUCCION!$C$67,AX17&gt;=SUP_PRODUCCION!$C$91),1,0)</f>
        <v>0</v>
      </c>
      <c r="AY19" s="88">
        <f>IF(AND(SUP_CONTROL!$C$13=1,SUM($C$19:AX$19)=0,PROD_DEMANDA!AX13&gt;=SUP_PRODUCCION!$C$67,AY17&gt;=SUP_PRODUCCION!$C$91),1,0)</f>
        <v>0</v>
      </c>
      <c r="AZ19" s="88">
        <f>IF(AND(SUP_CONTROL!$C$13=1,SUM($C$19:AY$19)=0,PROD_DEMANDA!AY13&gt;=SUP_PRODUCCION!$C$67,AZ17&gt;=SUP_PRODUCCION!$C$91),1,0)</f>
        <v>0</v>
      </c>
      <c r="BA19" s="88">
        <f>IF(AND(SUP_CONTROL!$C$13=1,SUM($C$19:AZ$19)=0,PROD_DEMANDA!AZ13&gt;=SUP_PRODUCCION!$C$67,BA17&gt;=SUP_PRODUCCION!$C$91),1,0)</f>
        <v>0</v>
      </c>
      <c r="BB19" s="88">
        <f>IF(AND(SUP_CONTROL!$C$13=1,SUM($C$19:BA$19)=0,PROD_DEMANDA!BA13&gt;=SUP_PRODUCCION!$C$67,BB17&gt;=SUP_PRODUCCION!$C$91),1,0)</f>
        <v>0</v>
      </c>
      <c r="BC19" s="88">
        <f>IF(AND(SUP_CONTROL!$C$13=1,SUM($C$19:BB$19)=0,PROD_DEMANDA!BB13&gt;=SUP_PRODUCCION!$C$67,BC17&gt;=SUP_PRODUCCION!$C$91),1,0)</f>
        <v>0</v>
      </c>
      <c r="BD19" s="88">
        <f>IF(AND(SUP_CONTROL!$C$13=1,SUM($C$19:BC$19)=0,PROD_DEMANDA!BC13&gt;=SUP_PRODUCCION!$C$67,BD17&gt;=SUP_PRODUCCION!$C$91),1,0)</f>
        <v>0</v>
      </c>
      <c r="BE19" s="88">
        <f>IF(AND(SUP_CONTROL!$C$13=1,SUM($C$19:BD$19)=0,PROD_DEMANDA!BD13&gt;=SUP_PRODUCCION!$C$67,BE17&gt;=SUP_PRODUCCION!$C$91),1,0)</f>
        <v>0</v>
      </c>
      <c r="BF19" s="88">
        <f>IF(AND(SUP_CONTROL!$C$13=1,SUM($C$19:BE$19)=0,PROD_DEMANDA!BE13&gt;=SUP_PRODUCCION!$C$67,BF17&gt;=SUP_PRODUCCION!$C$91),1,0)</f>
        <v>0</v>
      </c>
      <c r="BG19" s="88">
        <f>IF(AND(SUP_CONTROL!$C$13=1,SUM($C$19:BF$19)=0,PROD_DEMANDA!BF13&gt;=SUP_PRODUCCION!$C$67,BG17&gt;=SUP_PRODUCCION!$C$91),1,0)</f>
        <v>0</v>
      </c>
      <c r="BH19" s="88">
        <f>IF(AND(SUP_CONTROL!$C$13=1,SUM($C$19:BG$19)=0,PROD_DEMANDA!BG13&gt;=SUP_PRODUCCION!$C$67,BH17&gt;=SUP_PRODUCCION!$C$91),1,0)</f>
        <v>0</v>
      </c>
      <c r="BI19" s="88">
        <f>IF(AND(SUP_CONTROL!$C$13=1,SUM($C$19:BH$19)=0,PROD_DEMANDA!BH13&gt;=SUP_PRODUCCION!$C$67,BI17&gt;=SUP_PRODUCCION!$C$91),1,0)</f>
        <v>0</v>
      </c>
      <c r="BJ19" s="88">
        <f>IF(AND(SUP_CONTROL!$C$13=1,SUM($C$19:BI$19)=0,PROD_DEMANDA!BI13&gt;=SUP_PRODUCCION!$C$67,BJ17&gt;=SUP_PRODUCCION!$C$91),1,0)</f>
        <v>0</v>
      </c>
      <c r="BK19" s="88">
        <f>IF(AND(SUP_CONTROL!$C$13=1,SUM($C$19:BJ$19)=0,PROD_DEMANDA!BJ13&gt;=SUP_PRODUCCION!$C$67,BK17&gt;=SUP_PRODUCCION!$C$91),1,0)</f>
        <v>0</v>
      </c>
      <c r="BL19" s="88">
        <f>IF(AND(SUP_CONTROL!$C$13=1,SUM($C$19:BK$19)=0,PROD_DEMANDA!BK13&gt;=SUP_PRODUCCION!$C$67,BL17&gt;=SUP_PRODUCCION!$C$91),1,0)</f>
        <v>0</v>
      </c>
      <c r="BM19" s="88">
        <f>IF(AND(SUP_CONTROL!$C$13=1,SUM($C$19:BL$19)=0,PROD_DEMANDA!BL13&gt;=SUP_PRODUCCION!$C$67,BM17&gt;=SUP_PRODUCCION!$C$91),1,0)</f>
        <v>0</v>
      </c>
      <c r="BN19" s="88">
        <f>IF(AND(SUP_CONTROL!$C$13=1,SUM($C$19:BM$19)=0,PROD_DEMANDA!BM13&gt;=SUP_PRODUCCION!$C$67,BN17&gt;=SUP_PRODUCCION!$C$91),1,0)</f>
        <v>0</v>
      </c>
      <c r="BO19" s="88">
        <f>IF(AND(SUP_CONTROL!$C$13=1,SUM($C$19:BN$19)=0,PROD_DEMANDA!BN13&gt;=SUP_PRODUCCION!$C$67,BO17&gt;=SUP_PRODUCCION!$C$91),1,0)</f>
        <v>0</v>
      </c>
      <c r="BP19" s="88">
        <f>IF(AND(SUP_CONTROL!$C$13=1,SUM($C$19:BO$19)=0,PROD_DEMANDA!BO13&gt;=SUP_PRODUCCION!$C$67,BP17&gt;=SUP_PRODUCCION!$C$91),1,0)</f>
        <v>0</v>
      </c>
      <c r="BQ19" s="88">
        <f>IF(AND(SUP_CONTROL!$C$13=1,SUM($C$19:BP$19)=0,PROD_DEMANDA!BP13&gt;=SUP_PRODUCCION!$C$67,BQ17&gt;=SUP_PRODUCCION!$C$91),1,0)</f>
        <v>0</v>
      </c>
      <c r="BR19" s="88">
        <f>IF(AND(SUP_CONTROL!$C$13=1,SUM($C$19:BQ$19)=0,PROD_DEMANDA!BQ13&gt;=SUP_PRODUCCION!$C$67,BR17&gt;=SUP_PRODUCCION!$C$91),1,0)</f>
        <v>0</v>
      </c>
      <c r="BS19" s="88">
        <f>IF(AND(SUP_CONTROL!$C$13=1,SUM($C$19:BR$19)=0,PROD_DEMANDA!BR13&gt;=SUP_PRODUCCION!$C$67,BS17&gt;=SUP_PRODUCCION!$C$91),1,0)</f>
        <v>0</v>
      </c>
      <c r="BT19" s="88">
        <f>IF(AND(SUP_CONTROL!$C$13=1,SUM($C$19:BS$19)=0,PROD_DEMANDA!BS13&gt;=SUP_PRODUCCION!$C$67,BT17&gt;=SUP_PRODUCCION!$C$91),1,0)</f>
        <v>0</v>
      </c>
      <c r="BU19" s="88">
        <f>IF(AND(SUP_CONTROL!$C$13=1,SUM($C$19:BT$19)=0,PROD_DEMANDA!BT13&gt;=SUP_PRODUCCION!$C$67,BU17&gt;=SUP_PRODUCCION!$C$91),1,0)</f>
        <v>0</v>
      </c>
      <c r="BV19" s="88">
        <f>IF(AND(SUP_CONTROL!$C$13=1,SUM($C$19:BU$19)=0,PROD_DEMANDA!BU13&gt;=SUP_PRODUCCION!$C$67,BV17&gt;=SUP_PRODUCCION!$C$91),1,0)</f>
        <v>0</v>
      </c>
      <c r="BW19" s="88">
        <f>IF(AND(SUP_CONTROL!$C$13=1,SUM($C$19:BV$19)=0,PROD_DEMANDA!BV13&gt;=SUP_PRODUCCION!$C$67,BW17&gt;=SUP_PRODUCCION!$C$91),1,0)</f>
        <v>0</v>
      </c>
      <c r="BX19" s="88">
        <f>IF(AND(SUP_CONTROL!$C$13=1,SUM($C$19:BW$19)=0,PROD_DEMANDA!BW13&gt;=SUP_PRODUCCION!$C$67,BX17&gt;=SUP_PRODUCCION!$C$91),1,0)</f>
        <v>0</v>
      </c>
      <c r="BY19" s="88">
        <f>IF(AND(SUP_CONTROL!$C$13=1,SUM($C$19:BX$19)=0,PROD_DEMANDA!BX13&gt;=SUP_PRODUCCION!$C$67,BY17&gt;=SUP_PRODUCCION!$C$91),1,0)</f>
        <v>0</v>
      </c>
      <c r="BZ19" s="88">
        <f>IF(AND(SUP_CONTROL!$C$13=1,SUM($C$19:BY$19)=0,PROD_DEMANDA!BY13&gt;=SUP_PRODUCCION!$C$67,BZ17&gt;=SUP_PRODUCCION!$C$91),1,0)</f>
        <v>0</v>
      </c>
      <c r="CA19" s="88">
        <f>IF(AND(SUP_CONTROL!$C$13=1,SUM($C$19:BZ$19)=0,PROD_DEMANDA!BZ13&gt;=SUP_PRODUCCION!$C$67,CA17&gt;=SUP_PRODUCCION!$C$91),1,0)</f>
        <v>0</v>
      </c>
      <c r="CB19" s="88">
        <f>IF(AND(SUP_CONTROL!$C$13=1,SUM($C$19:CA$19)=0,PROD_DEMANDA!CA13&gt;=SUP_PRODUCCION!$C$67,CB17&gt;=SUP_PRODUCCION!$C$91),1,0)</f>
        <v>0</v>
      </c>
      <c r="CC19" s="88">
        <f>IF(AND(SUP_CONTROL!$C$13=1,SUM($C$19:CB$19)=0,PROD_DEMANDA!CB13&gt;=SUP_PRODUCCION!$C$67,CC17&gt;=SUP_PRODUCCION!$C$91),1,0)</f>
        <v>0</v>
      </c>
      <c r="CD19" s="88">
        <f>IF(AND(SUP_CONTROL!$C$13=1,SUM($C$19:CC$19)=0,PROD_DEMANDA!CC13&gt;=SUP_PRODUCCION!$C$67,CD17&gt;=SUP_PRODUCCION!$C$91),1,0)</f>
        <v>0</v>
      </c>
      <c r="CE19" s="88">
        <f>IF(AND(SUP_CONTROL!$C$13=1,SUM($C$19:CD$19)=0,PROD_DEMANDA!CD13&gt;=SUP_PRODUCCION!$C$67,CE17&gt;=SUP_PRODUCCION!$C$91),1,0)</f>
        <v>0</v>
      </c>
      <c r="CF19" s="88">
        <f>IF(AND(SUP_CONTROL!$C$13=1,SUM($C$19:CE$19)=0,PROD_DEMANDA!CE13&gt;=SUP_PRODUCCION!$C$67,CF17&gt;=SUP_PRODUCCION!$C$91),1,0)</f>
        <v>0</v>
      </c>
      <c r="CG19" s="88">
        <f>IF(AND(SUP_CONTROL!$C$13=1,SUM($C$19:CF$19)=0,PROD_DEMANDA!CF13&gt;=SUP_PRODUCCION!$C$67,CG17&gt;=SUP_PRODUCCION!$C$91),1,0)</f>
        <v>0</v>
      </c>
      <c r="CH19" s="88">
        <f>IF(AND(SUP_CONTROL!$C$13=1,SUM($C$19:CG$19)=0,PROD_DEMANDA!CG13&gt;=SUP_PRODUCCION!$C$67,CH17&gt;=SUP_PRODUCCION!$C$91),1,0)</f>
        <v>0</v>
      </c>
      <c r="CI19" s="88">
        <f>IF(AND(SUP_CONTROL!$C$13=1,SUM($C$19:CH$19)=0,PROD_DEMANDA!CH13&gt;=SUP_PRODUCCION!$C$67,CI17&gt;=SUP_PRODUCCION!$C$91),1,0)</f>
        <v>0</v>
      </c>
      <c r="CJ19" s="88">
        <f>IF(AND(SUP_CONTROL!$C$13=1,SUM($C$19:CI$19)=0,PROD_DEMANDA!CI13&gt;=SUP_PRODUCCION!$C$67,CJ17&gt;=SUP_PRODUCCION!$C$91),1,0)</f>
        <v>0</v>
      </c>
      <c r="CK19" s="88">
        <f>IF(AND(SUP_CONTROL!$C$13=1,SUM($C$19:CJ$19)=0,PROD_DEMANDA!CJ13&gt;=SUP_PRODUCCION!$C$67,CK17&gt;=SUP_PRODUCCION!$C$91),1,0)</f>
        <v>0</v>
      </c>
      <c r="CL19" s="88">
        <f>IF(AND(SUP_CONTROL!$C$13=1,SUM($C$19:CK$19)=0,PROD_DEMANDA!CK13&gt;=SUP_PRODUCCION!$C$67,CL17&gt;=SUP_PRODUCCION!$C$91),1,0)</f>
        <v>0</v>
      </c>
      <c r="CM19" s="88">
        <f>IF(AND(SUP_CONTROL!$C$13=1,SUM($C$19:CL$19)=0,PROD_DEMANDA!CL13&gt;=SUP_PRODUCCION!$C$67,CM17&gt;=SUP_PRODUCCION!$C$91),1,0)</f>
        <v>0</v>
      </c>
      <c r="CN19" s="88">
        <f>IF(AND(SUP_CONTROL!$C$13=1,SUM($C$19:CM$19)=0,PROD_DEMANDA!CM13&gt;=SUP_PRODUCCION!$C$67,CN17&gt;=SUP_PRODUCCION!$C$91),1,0)</f>
        <v>0</v>
      </c>
      <c r="CO19" s="88">
        <f>IF(AND(SUP_CONTROL!$C$13=1,SUM($C$19:CN$19)=0,PROD_DEMANDA!CN13&gt;=SUP_PRODUCCION!$C$67,CO17&gt;=SUP_PRODUCCION!$C$91),1,0)</f>
        <v>0</v>
      </c>
      <c r="CP19" s="88">
        <f>IF(AND(SUP_CONTROL!$C$13=1,SUM($C$19:CO$19)=0,PROD_DEMANDA!CO13&gt;=SUP_PRODUCCION!$C$67,CP17&gt;=SUP_PRODUCCION!$C$91),1,0)</f>
        <v>0</v>
      </c>
      <c r="CQ19" s="88">
        <f>IF(AND(SUP_CONTROL!$C$13=1,SUM($C$19:CP$19)=0,PROD_DEMANDA!CP13&gt;=SUP_PRODUCCION!$C$67,CQ17&gt;=SUP_PRODUCCION!$C$91),1,0)</f>
        <v>0</v>
      </c>
      <c r="CR19" s="88">
        <f>IF(AND(SUP_CONTROL!$C$13=1,SUM($C$19:CQ$19)=0,PROD_DEMANDA!CQ13&gt;=SUP_PRODUCCION!$C$67,CR17&gt;=SUP_PRODUCCION!$C$91),1,0)</f>
        <v>0</v>
      </c>
      <c r="CS19" s="88">
        <f>IF(AND(SUP_CONTROL!$C$13=1,SUM($C$19:CR$19)=0,PROD_DEMANDA!CR13&gt;=SUP_PRODUCCION!$C$67,CS17&gt;=SUP_PRODUCCION!$C$91),1,0)</f>
        <v>0</v>
      </c>
      <c r="CT19" s="88">
        <f>IF(AND(SUP_CONTROL!$C$13=1,SUM($C$19:CS$19)=0,PROD_DEMANDA!CS13&gt;=SUP_PRODUCCION!$C$67,CT17&gt;=SUP_PRODUCCION!$C$91),1,0)</f>
        <v>0</v>
      </c>
      <c r="CU19" s="88">
        <f>IF(AND(SUP_CONTROL!$C$13=1,SUM($C$19:CT$19)=0,PROD_DEMANDA!CT13&gt;=SUP_PRODUCCION!$C$67,CU17&gt;=SUP_PRODUCCION!$C$91),1,0)</f>
        <v>0</v>
      </c>
      <c r="CV19" s="88">
        <f>IF(AND(SUP_CONTROL!$C$13=1,SUM($C$19:CU$19)=0,PROD_DEMANDA!CU13&gt;=SUP_PRODUCCION!$C$67,CV17&gt;=SUP_PRODUCCION!$C$91),1,0)</f>
        <v>0</v>
      </c>
      <c r="CW19" s="88">
        <f>IF(AND(SUP_CONTROL!$C$13=1,SUM($C$19:CV$19)=0,PROD_DEMANDA!CV13&gt;=SUP_PRODUCCION!$C$67,CW17&gt;=SUP_PRODUCCION!$C$91),1,0)</f>
        <v>0</v>
      </c>
      <c r="CX19" s="88">
        <f>IF(AND(SUP_CONTROL!$C$13=1,SUM($C$19:CW$19)=0,PROD_DEMANDA!CW13&gt;=SUP_PRODUCCION!$C$67,CX17&gt;=SUP_PRODUCCION!$C$91),1,0)</f>
        <v>0</v>
      </c>
      <c r="CY19" s="88">
        <f>IF(AND(SUP_CONTROL!$C$13=1,SUM($C$19:CX$19)=0,PROD_DEMANDA!CX13&gt;=SUP_PRODUCCION!$C$67,CY17&gt;=SUP_PRODUCCION!$C$91),1,0)</f>
        <v>0</v>
      </c>
      <c r="CZ19" s="88">
        <f>IF(AND(SUP_CONTROL!$C$13=1,SUM($C$19:CY$19)=0,PROD_DEMANDA!CY13&gt;=SUP_PRODUCCION!$C$67,CZ17&gt;=SUP_PRODUCCION!$C$91),1,0)</f>
        <v>0</v>
      </c>
      <c r="DA19" s="88">
        <f>IF(AND(SUP_CONTROL!$C$13=1,SUM($C$19:CZ$19)=0,PROD_DEMANDA!CZ13&gt;=SUP_PRODUCCION!$C$67,DA17&gt;=SUP_PRODUCCION!$C$91),1,0)</f>
        <v>0</v>
      </c>
      <c r="DB19" s="88">
        <f>IF(AND(SUP_CONTROL!$C$13=1,SUM($C$19:DA$19)=0,PROD_DEMANDA!DA13&gt;=SUP_PRODUCCION!$C$67,DB17&gt;=SUP_PRODUCCION!$C$91),1,0)</f>
        <v>0</v>
      </c>
      <c r="DC19" s="88">
        <f>IF(AND(SUP_CONTROL!$C$13=1,SUM($C$19:DB$19)=0,PROD_DEMANDA!DB13&gt;=SUP_PRODUCCION!$C$67,DC17&gt;=SUP_PRODUCCION!$C$91),1,0)</f>
        <v>0</v>
      </c>
      <c r="DD19" s="88">
        <f>IF(AND(SUP_CONTROL!$C$13=1,SUM($C$19:DC$19)=0,PROD_DEMANDA!DC13&gt;=SUP_PRODUCCION!$C$67,DD17&gt;=SUP_PRODUCCION!$C$91),1,0)</f>
        <v>0</v>
      </c>
      <c r="DE19" s="88">
        <f>IF(AND(SUP_CONTROL!$C$13=1,SUM($C$19:DD$19)=0,PROD_DEMANDA!DD13&gt;=SUP_PRODUCCION!$C$67,DE17&gt;=SUP_PRODUCCION!$C$91),1,0)</f>
        <v>0</v>
      </c>
      <c r="DF19" s="88">
        <f>IF(AND(SUP_CONTROL!$C$13=1,SUM($C$19:DE$19)=0,PROD_DEMANDA!DE13&gt;=SUP_PRODUCCION!$C$67,DF17&gt;=SUP_PRODUCCION!$C$91),1,0)</f>
        <v>0</v>
      </c>
      <c r="DG19" s="88">
        <f>IF(AND(SUP_CONTROL!$C$13=1,SUM($C$19:DF$19)=0,PROD_DEMANDA!DF13&gt;=SUP_PRODUCCION!$C$67,DG17&gt;=SUP_PRODUCCION!$C$91),1,0)</f>
        <v>0</v>
      </c>
      <c r="DH19" s="88">
        <f>IF(AND(SUP_CONTROL!$C$13=1,SUM($C$19:DG$19)=0,PROD_DEMANDA!DG13&gt;=SUP_PRODUCCION!$C$67,DH17&gt;=SUP_PRODUCCION!$C$91),1,0)</f>
        <v>0</v>
      </c>
      <c r="DI19" s="88">
        <f>IF(AND(SUP_CONTROL!$C$13=1,SUM($C$19:DH$19)=0,PROD_DEMANDA!DH13&gt;=SUP_PRODUCCION!$C$67,DI17&gt;=SUP_PRODUCCION!$C$91),1,0)</f>
        <v>0</v>
      </c>
      <c r="DJ19" s="88">
        <f>IF(AND(SUP_CONTROL!$C$13=1,SUM($C$19:DI$19)=0,PROD_DEMANDA!DI13&gt;=SUP_PRODUCCION!$C$67,DJ17&gt;=SUP_PRODUCCION!$C$91),1,0)</f>
        <v>0</v>
      </c>
      <c r="DK19" s="88">
        <f>IF(AND(SUP_CONTROL!$C$13=1,SUM($C$19:DJ$19)=0,PROD_DEMANDA!DJ13&gt;=SUP_PRODUCCION!$C$67,DK17&gt;=SUP_PRODUCCION!$C$91),1,0)</f>
        <v>0</v>
      </c>
      <c r="DL19" s="88">
        <f>IF(AND(SUP_CONTROL!$C$13=1,SUM($C$19:DK$19)=0,PROD_DEMANDA!DK13&gt;=SUP_PRODUCCION!$C$67,DL17&gt;=SUP_PRODUCCION!$C$91),1,0)</f>
        <v>0</v>
      </c>
      <c r="DM19" s="88">
        <f>IF(AND(SUP_CONTROL!$C$13=1,SUM($C$19:DL$19)=0,PROD_DEMANDA!DL13&gt;=SUP_PRODUCCION!$C$67,DM17&gt;=SUP_PRODUCCION!$C$91),1,0)</f>
        <v>0</v>
      </c>
      <c r="DN19" s="88">
        <f>IF(AND(SUP_CONTROL!$C$13=1,SUM($C$19:DM$19)=0,PROD_DEMANDA!DM13&gt;=SUP_PRODUCCION!$C$67,DN17&gt;=SUP_PRODUCCION!$C$91),1,0)</f>
        <v>0</v>
      </c>
      <c r="DO19" s="88">
        <f>IF(AND(SUP_CONTROL!$C$13=1,SUM($C$19:DN$19)=0,PROD_DEMANDA!DN13&gt;=SUP_PRODUCCION!$C$67,DO17&gt;=SUP_PRODUCCION!$C$91),1,0)</f>
        <v>0</v>
      </c>
      <c r="DP19" s="88">
        <f>IF(AND(SUP_CONTROL!$C$13=1,SUM($C$19:DO$19)=0,PROD_DEMANDA!DO13&gt;=SUP_PRODUCCION!$C$67,DP17&gt;=SUP_PRODUCCION!$C$91),1,0)</f>
        <v>0</v>
      </c>
      <c r="DQ19" s="88">
        <f>IF(AND(SUP_CONTROL!$C$13=1,SUM($C$19:DP$19)=0,PROD_DEMANDA!DP13&gt;=SUP_PRODUCCION!$C$67,DQ17&gt;=SUP_PRODUCCION!$C$91),1,0)</f>
        <v>0</v>
      </c>
      <c r="DR19" s="88">
        <f>IF(AND(SUP_CONTROL!$C$13=1,SUM($C$19:DQ$19)=0,PROD_DEMANDA!DQ13&gt;=SUP_PRODUCCION!$C$67,DR17&gt;=SUP_PRODUCCION!$C$91),1,0)</f>
        <v>0</v>
      </c>
      <c r="DS19" s="88">
        <f>IF(AND(SUP_CONTROL!$C$13=1,SUM($C$19:DR$19)=0,PROD_DEMANDA!DR13&gt;=SUP_PRODUCCION!$C$67,DS17&gt;=SUP_PRODUCCION!$C$91),1,0)</f>
        <v>0</v>
      </c>
    </row>
    <row r="20" spans="1:123" ht="15" customHeight="1" x14ac:dyDescent="0.2">
      <c r="B20" s="37" t="s">
        <v>1012</v>
      </c>
      <c r="D20" s="88">
        <f>0</f>
        <v>0</v>
      </c>
      <c r="E20" s="88">
        <f>IF(AND(SUP_CONTROL!$C$13=1,SUM($C$20:D$20)=0,SUM($C$19:D$19)=1,PROD_DEMANDA!D13&gt;=SUP_PRODUCCION!$C$67,E17&gt;=SUP_PRODUCCION!$C$92),1,0)</f>
        <v>0</v>
      </c>
      <c r="F20" s="88">
        <f>IF(AND(SUP_CONTROL!$C$13=1,SUM($C$20:E$20)=0,SUM($C$19:E$19)=1,PROD_DEMANDA!E13&gt;=SUP_PRODUCCION!$C$67,F17&gt;=SUP_PRODUCCION!$C$92),1,0)</f>
        <v>0</v>
      </c>
      <c r="G20" s="88">
        <f>IF(AND(SUP_CONTROL!$C$13=1,SUM($C$20:F$20)=0,SUM($C$19:F$19)=1,PROD_DEMANDA!F13&gt;=SUP_PRODUCCION!$C$67,G17&gt;=SUP_PRODUCCION!$C$92),1,0)</f>
        <v>0</v>
      </c>
      <c r="H20" s="88">
        <f>IF(AND(SUP_CONTROL!$C$13=1,SUM($C$20:G$20)=0,SUM($C$19:G$19)=1,PROD_DEMANDA!G13&gt;=SUP_PRODUCCION!$C$67,H17&gt;=SUP_PRODUCCION!$C$92),1,0)</f>
        <v>0</v>
      </c>
      <c r="I20" s="88">
        <f>IF(AND(SUP_CONTROL!$C$13=1,SUM($C$20:H$20)=0,SUM($C$19:H$19)=1,PROD_DEMANDA!H13&gt;=SUP_PRODUCCION!$C$67,I17&gt;=SUP_PRODUCCION!$C$92),1,0)</f>
        <v>0</v>
      </c>
      <c r="J20" s="88">
        <f>IF(AND(SUP_CONTROL!$C$13=1,SUM($C$20:I$20)=0,SUM($C$19:I$19)=1,PROD_DEMANDA!I13&gt;=SUP_PRODUCCION!$C$67,J17&gt;=SUP_PRODUCCION!$C$92),1,0)</f>
        <v>0</v>
      </c>
      <c r="K20" s="88">
        <f>IF(AND(SUP_CONTROL!$C$13=1,SUM($C$20:J$20)=0,SUM($C$19:J$19)=1,PROD_DEMANDA!J13&gt;=SUP_PRODUCCION!$C$67,K17&gt;=SUP_PRODUCCION!$C$92),1,0)</f>
        <v>0</v>
      </c>
      <c r="L20" s="88">
        <f>IF(AND(SUP_CONTROL!$C$13=1,SUM($C$20:K$20)=0,SUM($C$19:K$19)=1,PROD_DEMANDA!K13&gt;=SUP_PRODUCCION!$C$67,L17&gt;=SUP_PRODUCCION!$C$92),1,0)</f>
        <v>0</v>
      </c>
      <c r="M20" s="88">
        <f>IF(AND(SUP_CONTROL!$C$13=1,SUM($C$20:L$20)=0,SUM($C$19:L$19)=1,PROD_DEMANDA!L13&gt;=SUP_PRODUCCION!$C$67,M17&gt;=SUP_PRODUCCION!$C$92),1,0)</f>
        <v>0</v>
      </c>
      <c r="N20" s="88">
        <f>IF(AND(SUP_CONTROL!$C$13=1,SUM($C$20:M$20)=0,SUM($C$19:M$19)=1,PROD_DEMANDA!M13&gt;=SUP_PRODUCCION!$C$67,N17&gt;=SUP_PRODUCCION!$C$92),1,0)</f>
        <v>0</v>
      </c>
      <c r="O20" s="88">
        <f>IF(AND(SUP_CONTROL!$C$13=1,SUM($C$20:N$20)=0,SUM($C$19:N$19)=1,PROD_DEMANDA!N13&gt;=SUP_PRODUCCION!$C$67,O17&gt;=SUP_PRODUCCION!$C$92),1,0)</f>
        <v>0</v>
      </c>
      <c r="P20" s="88">
        <f>IF(AND(SUP_CONTROL!$C$13=1,SUM($C$20:O$20)=0,SUM($C$19:O$19)=1,PROD_DEMANDA!O13&gt;=SUP_PRODUCCION!$C$67,P17&gt;=SUP_PRODUCCION!$C$92),1,0)</f>
        <v>0</v>
      </c>
      <c r="Q20" s="88">
        <f>IF(AND(SUP_CONTROL!$C$13=1,SUM($C$20:P$20)=0,SUM($C$19:P$19)=1,PROD_DEMANDA!P13&gt;=SUP_PRODUCCION!$C$67,Q17&gt;=SUP_PRODUCCION!$C$92),1,0)</f>
        <v>0</v>
      </c>
      <c r="R20" s="88">
        <f>IF(AND(SUP_CONTROL!$C$13=1,SUM($C$20:Q$20)=0,SUM($C$19:Q$19)=1,PROD_DEMANDA!Q13&gt;=SUP_PRODUCCION!$C$67,R17&gt;=SUP_PRODUCCION!$C$92),1,0)</f>
        <v>0</v>
      </c>
      <c r="S20" s="88">
        <f>IF(AND(SUP_CONTROL!$C$13=1,SUM($C$20:R$20)=0,SUM($C$19:R$19)=1,PROD_DEMANDA!R13&gt;=SUP_PRODUCCION!$C$67,S17&gt;=SUP_PRODUCCION!$C$92),1,0)</f>
        <v>0</v>
      </c>
      <c r="T20" s="88">
        <f>IF(AND(SUP_CONTROL!$C$13=1,SUM($C$20:S$20)=0,SUM($C$19:S$19)=1,PROD_DEMANDA!S13&gt;=SUP_PRODUCCION!$C$67,T17&gt;=SUP_PRODUCCION!$C$92),1,0)</f>
        <v>0</v>
      </c>
      <c r="U20" s="88">
        <f>IF(AND(SUP_CONTROL!$C$13=1,SUM($C$20:T$20)=0,SUM($C$19:T$19)=1,PROD_DEMANDA!T13&gt;=SUP_PRODUCCION!$C$67,U17&gt;=SUP_PRODUCCION!$C$92),1,0)</f>
        <v>0</v>
      </c>
      <c r="V20" s="88">
        <f>IF(AND(SUP_CONTROL!$C$13=1,SUM($C$20:U$20)=0,SUM($C$19:U$19)=1,PROD_DEMANDA!U13&gt;=SUP_PRODUCCION!$C$67,V17&gt;=SUP_PRODUCCION!$C$92),1,0)</f>
        <v>0</v>
      </c>
      <c r="W20" s="88">
        <f>IF(AND(SUP_CONTROL!$C$13=1,SUM($C$20:V$20)=0,SUM($C$19:V$19)=1,PROD_DEMANDA!V13&gt;=SUP_PRODUCCION!$C$67,W17&gt;=SUP_PRODUCCION!$C$92),1,0)</f>
        <v>0</v>
      </c>
      <c r="X20" s="88">
        <f>IF(AND(SUP_CONTROL!$C$13=1,SUM($C$20:W$20)=0,SUM($C$19:W$19)=1,PROD_DEMANDA!W13&gt;=SUP_PRODUCCION!$C$67,X17&gt;=SUP_PRODUCCION!$C$92),1,0)</f>
        <v>0</v>
      </c>
      <c r="Y20" s="88">
        <f>IF(AND(SUP_CONTROL!$C$13=1,SUM($C$20:X$20)=0,SUM($C$19:X$19)=1,PROD_DEMANDA!X13&gt;=SUP_PRODUCCION!$C$67,Y17&gt;=SUP_PRODUCCION!$C$92),1,0)</f>
        <v>0</v>
      </c>
      <c r="Z20" s="88">
        <f>IF(AND(SUP_CONTROL!$C$13=1,SUM($C$20:Y$20)=0,SUM($C$19:Y$19)=1,PROD_DEMANDA!Y13&gt;=SUP_PRODUCCION!$C$67,Z17&gt;=SUP_PRODUCCION!$C$92),1,0)</f>
        <v>0</v>
      </c>
      <c r="AA20" s="88">
        <f>IF(AND(SUP_CONTROL!$C$13=1,SUM($C$20:Z$20)=0,SUM($C$19:Z$19)=1,PROD_DEMANDA!Z13&gt;=SUP_PRODUCCION!$C$67,AA17&gt;=SUP_PRODUCCION!$C$92),1,0)</f>
        <v>0</v>
      </c>
      <c r="AB20" s="88">
        <f>IF(AND(SUP_CONTROL!$C$13=1,SUM($C$20:AA$20)=0,SUM($C$19:AA$19)=1,PROD_DEMANDA!AA13&gt;=SUP_PRODUCCION!$C$67,AB17&gt;=SUP_PRODUCCION!$C$92),1,0)</f>
        <v>0</v>
      </c>
      <c r="AC20" s="88">
        <f>IF(AND(SUP_CONTROL!$C$13=1,SUM($C$20:AB$20)=0,SUM($C$19:AB$19)=1,PROD_DEMANDA!AB13&gt;=SUP_PRODUCCION!$C$67,AC17&gt;=SUP_PRODUCCION!$C$92),1,0)</f>
        <v>0</v>
      </c>
      <c r="AD20" s="88">
        <f>IF(AND(SUP_CONTROL!$C$13=1,SUM($C$20:AC$20)=0,SUM($C$19:AC$19)=1,PROD_DEMANDA!AC13&gt;=SUP_PRODUCCION!$C$67,AD17&gt;=SUP_PRODUCCION!$C$92),1,0)</f>
        <v>0</v>
      </c>
      <c r="AE20" s="88">
        <f>IF(AND(SUP_CONTROL!$C$13=1,SUM($C$20:AD$20)=0,SUM($C$19:AD$19)=1,PROD_DEMANDA!AD13&gt;=SUP_PRODUCCION!$C$67,AE17&gt;=SUP_PRODUCCION!$C$92),1,0)</f>
        <v>0</v>
      </c>
      <c r="AF20" s="88">
        <f>IF(AND(SUP_CONTROL!$C$13=1,SUM($C$20:AE$20)=0,SUM($C$19:AE$19)=1,PROD_DEMANDA!AE13&gt;=SUP_PRODUCCION!$C$67,AF17&gt;=SUP_PRODUCCION!$C$92),1,0)</f>
        <v>0</v>
      </c>
      <c r="AG20" s="88">
        <f>IF(AND(SUP_CONTROL!$C$13=1,SUM($C$20:AF$20)=0,SUM($C$19:AF$19)=1,PROD_DEMANDA!AF13&gt;=SUP_PRODUCCION!$C$67,AG17&gt;=SUP_PRODUCCION!$C$92),1,0)</f>
        <v>0</v>
      </c>
      <c r="AH20" s="88">
        <f>IF(AND(SUP_CONTROL!$C$13=1,SUM($C$20:AG$20)=0,SUM($C$19:AG$19)=1,PROD_DEMANDA!AG13&gt;=SUP_PRODUCCION!$C$67,AH17&gt;=SUP_PRODUCCION!$C$92),1,0)</f>
        <v>0</v>
      </c>
      <c r="AI20" s="88">
        <f>IF(AND(SUP_CONTROL!$C$13=1,SUM($C$20:AH$20)=0,SUM($C$19:AH$19)=1,PROD_DEMANDA!AH13&gt;=SUP_PRODUCCION!$C$67,AI17&gt;=SUP_PRODUCCION!$C$92),1,0)</f>
        <v>0</v>
      </c>
      <c r="AJ20" s="88">
        <f>IF(AND(SUP_CONTROL!$C$13=1,SUM($C$20:AI$20)=0,SUM($C$19:AI$19)=1,PROD_DEMANDA!AI13&gt;=SUP_PRODUCCION!$C$67,AJ17&gt;=SUP_PRODUCCION!$C$92),1,0)</f>
        <v>0</v>
      </c>
      <c r="AK20" s="88">
        <f>IF(AND(SUP_CONTROL!$C$13=1,SUM($C$20:AJ$20)=0,SUM($C$19:AJ$19)=1,PROD_DEMANDA!AJ13&gt;=SUP_PRODUCCION!$C$67,AK17&gt;=SUP_PRODUCCION!$C$92),1,0)</f>
        <v>0</v>
      </c>
      <c r="AL20" s="88">
        <f>IF(AND(SUP_CONTROL!$C$13=1,SUM($C$20:AK$20)=0,SUM($C$19:AK$19)=1,PROD_DEMANDA!AK13&gt;=SUP_PRODUCCION!$C$67,AL17&gt;=SUP_PRODUCCION!$C$92),1,0)</f>
        <v>0</v>
      </c>
      <c r="AM20" s="88">
        <f>IF(AND(SUP_CONTROL!$C$13=1,SUM($C$20:AL$20)=0,SUM($C$19:AL$19)=1,PROD_DEMANDA!AL13&gt;=SUP_PRODUCCION!$C$67,AM17&gt;=SUP_PRODUCCION!$C$92),1,0)</f>
        <v>0</v>
      </c>
      <c r="AN20" s="88">
        <f>IF(AND(SUP_CONTROL!$C$13=1,SUM($C$20:AM$20)=0,SUM($C$19:AM$19)=1,PROD_DEMANDA!AM13&gt;=SUP_PRODUCCION!$C$67,AN17&gt;=SUP_PRODUCCION!$C$92),1,0)</f>
        <v>0</v>
      </c>
      <c r="AO20" s="88">
        <f>IF(AND(SUP_CONTROL!$C$13=1,SUM($C$20:AN$20)=0,SUM($C$19:AN$19)=1,PROD_DEMANDA!AN13&gt;=SUP_PRODUCCION!$C$67,AO17&gt;=SUP_PRODUCCION!$C$92),1,0)</f>
        <v>0</v>
      </c>
      <c r="AP20" s="88">
        <f>IF(AND(SUP_CONTROL!$C$13=1,SUM($C$20:AO$20)=0,SUM($C$19:AO$19)=1,PROD_DEMANDA!AO13&gt;=SUP_PRODUCCION!$C$67,AP17&gt;=SUP_PRODUCCION!$C$92),1,0)</f>
        <v>0</v>
      </c>
      <c r="AQ20" s="88">
        <f>IF(AND(SUP_CONTROL!$C$13=1,SUM($C$20:AP$20)=0,SUM($C$19:AP$19)=1,PROD_DEMANDA!AP13&gt;=SUP_PRODUCCION!$C$67,AQ17&gt;=SUP_PRODUCCION!$C$92),1,0)</f>
        <v>0</v>
      </c>
      <c r="AR20" s="88">
        <f>IF(AND(SUP_CONTROL!$C$13=1,SUM($C$20:AQ$20)=0,SUM($C$19:AQ$19)=1,PROD_DEMANDA!AQ13&gt;=SUP_PRODUCCION!$C$67,AR17&gt;=SUP_PRODUCCION!$C$92),1,0)</f>
        <v>0</v>
      </c>
      <c r="AS20" s="88">
        <f>IF(AND(SUP_CONTROL!$C$13=1,SUM($C$20:AR$20)=0,SUM($C$19:AR$19)=1,PROD_DEMANDA!AR13&gt;=SUP_PRODUCCION!$C$67,AS17&gt;=SUP_PRODUCCION!$C$92),1,0)</f>
        <v>0</v>
      </c>
      <c r="AT20" s="88">
        <f>IF(AND(SUP_CONTROL!$C$13=1,SUM($C$20:AS$20)=0,SUM($C$19:AS$19)=1,PROD_DEMANDA!AS13&gt;=SUP_PRODUCCION!$C$67,AT17&gt;=SUP_PRODUCCION!$C$92),1,0)</f>
        <v>0</v>
      </c>
      <c r="AU20" s="88">
        <f>IF(AND(SUP_CONTROL!$C$13=1,SUM($C$20:AT$20)=0,SUM($C$19:AT$19)=1,PROD_DEMANDA!AT13&gt;=SUP_PRODUCCION!$C$67,AU17&gt;=SUP_PRODUCCION!$C$92),1,0)</f>
        <v>0</v>
      </c>
      <c r="AV20" s="88">
        <f>IF(AND(SUP_CONTROL!$C$13=1,SUM($C$20:AU$20)=0,SUM($C$19:AU$19)=1,PROD_DEMANDA!AU13&gt;=SUP_PRODUCCION!$C$67,AV17&gt;=SUP_PRODUCCION!$C$92),1,0)</f>
        <v>0</v>
      </c>
      <c r="AW20" s="88">
        <f>IF(AND(SUP_CONTROL!$C$13=1,SUM($C$20:AV$20)=0,SUM($C$19:AV$19)=1,PROD_DEMANDA!AV13&gt;=SUP_PRODUCCION!$C$67,AW17&gt;=SUP_PRODUCCION!$C$92),1,0)</f>
        <v>1</v>
      </c>
      <c r="AX20" s="88">
        <f>IF(AND(SUP_CONTROL!$C$13=1,SUM($C$20:AW$20)=0,SUM($C$19:AW$19)=1,PROD_DEMANDA!AW13&gt;=SUP_PRODUCCION!$C$67,AX17&gt;=SUP_PRODUCCION!$C$92),1,0)</f>
        <v>0</v>
      </c>
      <c r="AY20" s="88">
        <f>IF(AND(SUP_CONTROL!$C$13=1,SUM($C$20:AX$20)=0,SUM($C$19:AX$19)=1,PROD_DEMANDA!AX13&gt;=SUP_PRODUCCION!$C$67,AY17&gt;=SUP_PRODUCCION!$C$92),1,0)</f>
        <v>0</v>
      </c>
      <c r="AZ20" s="88">
        <f>IF(AND(SUP_CONTROL!$C$13=1,SUM($C$20:AY$20)=0,SUM($C$19:AY$19)=1,PROD_DEMANDA!AY13&gt;=SUP_PRODUCCION!$C$67,AZ17&gt;=SUP_PRODUCCION!$C$92),1,0)</f>
        <v>0</v>
      </c>
      <c r="BA20" s="88">
        <f>IF(AND(SUP_CONTROL!$C$13=1,SUM($C$20:AZ$20)=0,SUM($C$19:AZ$19)=1,PROD_DEMANDA!AZ13&gt;=SUP_PRODUCCION!$C$67,BA17&gt;=SUP_PRODUCCION!$C$92),1,0)</f>
        <v>0</v>
      </c>
      <c r="BB20" s="88">
        <f>IF(AND(SUP_CONTROL!$C$13=1,SUM($C$20:BA$20)=0,SUM($C$19:BA$19)=1,PROD_DEMANDA!BA13&gt;=SUP_PRODUCCION!$C$67,BB17&gt;=SUP_PRODUCCION!$C$92),1,0)</f>
        <v>0</v>
      </c>
      <c r="BC20" s="88">
        <f>IF(AND(SUP_CONTROL!$C$13=1,SUM($C$20:BB$20)=0,SUM($C$19:BB$19)=1,PROD_DEMANDA!BB13&gt;=SUP_PRODUCCION!$C$67,BC17&gt;=SUP_PRODUCCION!$C$92),1,0)</f>
        <v>0</v>
      </c>
      <c r="BD20" s="88">
        <f>IF(AND(SUP_CONTROL!$C$13=1,SUM($C$20:BC$20)=0,SUM($C$19:BC$19)=1,PROD_DEMANDA!BC13&gt;=SUP_PRODUCCION!$C$67,BD17&gt;=SUP_PRODUCCION!$C$92),1,0)</f>
        <v>0</v>
      </c>
      <c r="BE20" s="88">
        <f>IF(AND(SUP_CONTROL!$C$13=1,SUM($C$20:BD$20)=0,SUM($C$19:BD$19)=1,PROD_DEMANDA!BD13&gt;=SUP_PRODUCCION!$C$67,BE17&gt;=SUP_PRODUCCION!$C$92),1,0)</f>
        <v>0</v>
      </c>
      <c r="BF20" s="88">
        <f>IF(AND(SUP_CONTROL!$C$13=1,SUM($C$20:BE$20)=0,SUM($C$19:BE$19)=1,PROD_DEMANDA!BE13&gt;=SUP_PRODUCCION!$C$67,BF17&gt;=SUP_PRODUCCION!$C$92),1,0)</f>
        <v>0</v>
      </c>
      <c r="BG20" s="88">
        <f>IF(AND(SUP_CONTROL!$C$13=1,SUM($C$20:BF$20)=0,SUM($C$19:BF$19)=1,PROD_DEMANDA!BF13&gt;=SUP_PRODUCCION!$C$67,BG17&gt;=SUP_PRODUCCION!$C$92),1,0)</f>
        <v>0</v>
      </c>
      <c r="BH20" s="88">
        <f>IF(AND(SUP_CONTROL!$C$13=1,SUM($C$20:BG$20)=0,SUM($C$19:BG$19)=1,PROD_DEMANDA!BG13&gt;=SUP_PRODUCCION!$C$67,BH17&gt;=SUP_PRODUCCION!$C$92),1,0)</f>
        <v>0</v>
      </c>
      <c r="BI20" s="88">
        <f>IF(AND(SUP_CONTROL!$C$13=1,SUM($C$20:BH$20)=0,SUM($C$19:BH$19)=1,PROD_DEMANDA!BH13&gt;=SUP_PRODUCCION!$C$67,BI17&gt;=SUP_PRODUCCION!$C$92),1,0)</f>
        <v>0</v>
      </c>
      <c r="BJ20" s="88">
        <f>IF(AND(SUP_CONTROL!$C$13=1,SUM($C$20:BI$20)=0,SUM($C$19:BI$19)=1,PROD_DEMANDA!BI13&gt;=SUP_PRODUCCION!$C$67,BJ17&gt;=SUP_PRODUCCION!$C$92),1,0)</f>
        <v>0</v>
      </c>
      <c r="BK20" s="88">
        <f>IF(AND(SUP_CONTROL!$C$13=1,SUM($C$20:BJ$20)=0,SUM($C$19:BJ$19)=1,PROD_DEMANDA!BJ13&gt;=SUP_PRODUCCION!$C$67,BK17&gt;=SUP_PRODUCCION!$C$92),1,0)</f>
        <v>0</v>
      </c>
      <c r="BL20" s="88">
        <f>IF(AND(SUP_CONTROL!$C$13=1,SUM($C$20:BK$20)=0,SUM($C$19:BK$19)=1,PROD_DEMANDA!BK13&gt;=SUP_PRODUCCION!$C$67,BL17&gt;=SUP_PRODUCCION!$C$92),1,0)</f>
        <v>0</v>
      </c>
      <c r="BM20" s="88">
        <f>IF(AND(SUP_CONTROL!$C$13=1,SUM($C$20:BL$20)=0,SUM($C$19:BL$19)=1,PROD_DEMANDA!BL13&gt;=SUP_PRODUCCION!$C$67,BM17&gt;=SUP_PRODUCCION!$C$92),1,0)</f>
        <v>0</v>
      </c>
      <c r="BN20" s="88">
        <f>IF(AND(SUP_CONTROL!$C$13=1,SUM($C$20:BM$20)=0,SUM($C$19:BM$19)=1,PROD_DEMANDA!BM13&gt;=SUP_PRODUCCION!$C$67,BN17&gt;=SUP_PRODUCCION!$C$92),1,0)</f>
        <v>0</v>
      </c>
      <c r="BO20" s="88">
        <f>IF(AND(SUP_CONTROL!$C$13=1,SUM($C$20:BN$20)=0,SUM($C$19:BN$19)=1,PROD_DEMANDA!BN13&gt;=SUP_PRODUCCION!$C$67,BO17&gt;=SUP_PRODUCCION!$C$92),1,0)</f>
        <v>0</v>
      </c>
      <c r="BP20" s="88">
        <f>IF(AND(SUP_CONTROL!$C$13=1,SUM($C$20:BO$20)=0,SUM($C$19:BO$19)=1,PROD_DEMANDA!BO13&gt;=SUP_PRODUCCION!$C$67,BP17&gt;=SUP_PRODUCCION!$C$92),1,0)</f>
        <v>0</v>
      </c>
      <c r="BQ20" s="88">
        <f>IF(AND(SUP_CONTROL!$C$13=1,SUM($C$20:BP$20)=0,SUM($C$19:BP$19)=1,PROD_DEMANDA!BP13&gt;=SUP_PRODUCCION!$C$67,BQ17&gt;=SUP_PRODUCCION!$C$92),1,0)</f>
        <v>0</v>
      </c>
      <c r="BR20" s="88">
        <f>IF(AND(SUP_CONTROL!$C$13=1,SUM($C$20:BQ$20)=0,SUM($C$19:BQ$19)=1,PROD_DEMANDA!BQ13&gt;=SUP_PRODUCCION!$C$67,BR17&gt;=SUP_PRODUCCION!$C$92),1,0)</f>
        <v>0</v>
      </c>
      <c r="BS20" s="88">
        <f>IF(AND(SUP_CONTROL!$C$13=1,SUM($C$20:BR$20)=0,SUM($C$19:BR$19)=1,PROD_DEMANDA!BR13&gt;=SUP_PRODUCCION!$C$67,BS17&gt;=SUP_PRODUCCION!$C$92),1,0)</f>
        <v>0</v>
      </c>
      <c r="BT20" s="88">
        <f>IF(AND(SUP_CONTROL!$C$13=1,SUM($C$20:BS$20)=0,SUM($C$19:BS$19)=1,PROD_DEMANDA!BS13&gt;=SUP_PRODUCCION!$C$67,BT17&gt;=SUP_PRODUCCION!$C$92),1,0)</f>
        <v>0</v>
      </c>
      <c r="BU20" s="88">
        <f>IF(AND(SUP_CONTROL!$C$13=1,SUM($C$20:BT$20)=0,SUM($C$19:BT$19)=1,PROD_DEMANDA!BT13&gt;=SUP_PRODUCCION!$C$67,BU17&gt;=SUP_PRODUCCION!$C$92),1,0)</f>
        <v>0</v>
      </c>
      <c r="BV20" s="88">
        <f>IF(AND(SUP_CONTROL!$C$13=1,SUM($C$20:BU$20)=0,SUM($C$19:BU$19)=1,PROD_DEMANDA!BU13&gt;=SUP_PRODUCCION!$C$67,BV17&gt;=SUP_PRODUCCION!$C$92),1,0)</f>
        <v>0</v>
      </c>
      <c r="BW20" s="88">
        <f>IF(AND(SUP_CONTROL!$C$13=1,SUM($C$20:BV$20)=0,SUM($C$19:BV$19)=1,PROD_DEMANDA!BV13&gt;=SUP_PRODUCCION!$C$67,BW17&gt;=SUP_PRODUCCION!$C$92),1,0)</f>
        <v>0</v>
      </c>
      <c r="BX20" s="88">
        <f>IF(AND(SUP_CONTROL!$C$13=1,SUM($C$20:BW$20)=0,SUM($C$19:BW$19)=1,PROD_DEMANDA!BW13&gt;=SUP_PRODUCCION!$C$67,BX17&gt;=SUP_PRODUCCION!$C$92),1,0)</f>
        <v>0</v>
      </c>
      <c r="BY20" s="88">
        <f>IF(AND(SUP_CONTROL!$C$13=1,SUM($C$20:BX$20)=0,SUM($C$19:BX$19)=1,PROD_DEMANDA!BX13&gt;=SUP_PRODUCCION!$C$67,BY17&gt;=SUP_PRODUCCION!$C$92),1,0)</f>
        <v>0</v>
      </c>
      <c r="BZ20" s="88">
        <f>IF(AND(SUP_CONTROL!$C$13=1,SUM($C$20:BY$20)=0,SUM($C$19:BY$19)=1,PROD_DEMANDA!BY13&gt;=SUP_PRODUCCION!$C$67,BZ17&gt;=SUP_PRODUCCION!$C$92),1,0)</f>
        <v>0</v>
      </c>
      <c r="CA20" s="88">
        <f>IF(AND(SUP_CONTROL!$C$13=1,SUM($C$20:BZ$20)=0,SUM($C$19:BZ$19)=1,PROD_DEMANDA!BZ13&gt;=SUP_PRODUCCION!$C$67,CA17&gt;=SUP_PRODUCCION!$C$92),1,0)</f>
        <v>0</v>
      </c>
      <c r="CB20" s="88">
        <f>IF(AND(SUP_CONTROL!$C$13=1,SUM($C$20:CA$20)=0,SUM($C$19:CA$19)=1,PROD_DEMANDA!CA13&gt;=SUP_PRODUCCION!$C$67,CB17&gt;=SUP_PRODUCCION!$C$92),1,0)</f>
        <v>0</v>
      </c>
      <c r="CC20" s="88">
        <f>IF(AND(SUP_CONTROL!$C$13=1,SUM($C$20:CB$20)=0,SUM($C$19:CB$19)=1,PROD_DEMANDA!CB13&gt;=SUP_PRODUCCION!$C$67,CC17&gt;=SUP_PRODUCCION!$C$92),1,0)</f>
        <v>0</v>
      </c>
      <c r="CD20" s="88">
        <f>IF(AND(SUP_CONTROL!$C$13=1,SUM($C$20:CC$20)=0,SUM($C$19:CC$19)=1,PROD_DEMANDA!CC13&gt;=SUP_PRODUCCION!$C$67,CD17&gt;=SUP_PRODUCCION!$C$92),1,0)</f>
        <v>0</v>
      </c>
      <c r="CE20" s="88">
        <f>IF(AND(SUP_CONTROL!$C$13=1,SUM($C$20:CD$20)=0,SUM($C$19:CD$19)=1,PROD_DEMANDA!CD13&gt;=SUP_PRODUCCION!$C$67,CE17&gt;=SUP_PRODUCCION!$C$92),1,0)</f>
        <v>0</v>
      </c>
      <c r="CF20" s="88">
        <f>IF(AND(SUP_CONTROL!$C$13=1,SUM($C$20:CE$20)=0,SUM($C$19:CE$19)=1,PROD_DEMANDA!CE13&gt;=SUP_PRODUCCION!$C$67,CF17&gt;=SUP_PRODUCCION!$C$92),1,0)</f>
        <v>0</v>
      </c>
      <c r="CG20" s="88">
        <f>IF(AND(SUP_CONTROL!$C$13=1,SUM($C$20:CF$20)=0,SUM($C$19:CF$19)=1,PROD_DEMANDA!CF13&gt;=SUP_PRODUCCION!$C$67,CG17&gt;=SUP_PRODUCCION!$C$92),1,0)</f>
        <v>0</v>
      </c>
      <c r="CH20" s="88">
        <f>IF(AND(SUP_CONTROL!$C$13=1,SUM($C$20:CG$20)=0,SUM($C$19:CG$19)=1,PROD_DEMANDA!CG13&gt;=SUP_PRODUCCION!$C$67,CH17&gt;=SUP_PRODUCCION!$C$92),1,0)</f>
        <v>0</v>
      </c>
      <c r="CI20" s="88">
        <f>IF(AND(SUP_CONTROL!$C$13=1,SUM($C$20:CH$20)=0,SUM($C$19:CH$19)=1,PROD_DEMANDA!CH13&gt;=SUP_PRODUCCION!$C$67,CI17&gt;=SUP_PRODUCCION!$C$92),1,0)</f>
        <v>0</v>
      </c>
      <c r="CJ20" s="88">
        <f>IF(AND(SUP_CONTROL!$C$13=1,SUM($C$20:CI$20)=0,SUM($C$19:CI$19)=1,PROD_DEMANDA!CI13&gt;=SUP_PRODUCCION!$C$67,CJ17&gt;=SUP_PRODUCCION!$C$92),1,0)</f>
        <v>0</v>
      </c>
      <c r="CK20" s="88">
        <f>IF(AND(SUP_CONTROL!$C$13=1,SUM($C$20:CJ$20)=0,SUM($C$19:CJ$19)=1,PROD_DEMANDA!CJ13&gt;=SUP_PRODUCCION!$C$67,CK17&gt;=SUP_PRODUCCION!$C$92),1,0)</f>
        <v>0</v>
      </c>
      <c r="CL20" s="88">
        <f>IF(AND(SUP_CONTROL!$C$13=1,SUM($C$20:CK$20)=0,SUM($C$19:CK$19)=1,PROD_DEMANDA!CK13&gt;=SUP_PRODUCCION!$C$67,CL17&gt;=SUP_PRODUCCION!$C$92),1,0)</f>
        <v>0</v>
      </c>
      <c r="CM20" s="88">
        <f>IF(AND(SUP_CONTROL!$C$13=1,SUM($C$20:CL$20)=0,SUM($C$19:CL$19)=1,PROD_DEMANDA!CL13&gt;=SUP_PRODUCCION!$C$67,CM17&gt;=SUP_PRODUCCION!$C$92),1,0)</f>
        <v>0</v>
      </c>
      <c r="CN20" s="88">
        <f>IF(AND(SUP_CONTROL!$C$13=1,SUM($C$20:CM$20)=0,SUM($C$19:CM$19)=1,PROD_DEMANDA!CM13&gt;=SUP_PRODUCCION!$C$67,CN17&gt;=SUP_PRODUCCION!$C$92),1,0)</f>
        <v>0</v>
      </c>
      <c r="CO20" s="88">
        <f>IF(AND(SUP_CONTROL!$C$13=1,SUM($C$20:CN$20)=0,SUM($C$19:CN$19)=1,PROD_DEMANDA!CN13&gt;=SUP_PRODUCCION!$C$67,CO17&gt;=SUP_PRODUCCION!$C$92),1,0)</f>
        <v>0</v>
      </c>
      <c r="CP20" s="88">
        <f>IF(AND(SUP_CONTROL!$C$13=1,SUM($C$20:CO$20)=0,SUM($C$19:CO$19)=1,PROD_DEMANDA!CO13&gt;=SUP_PRODUCCION!$C$67,CP17&gt;=SUP_PRODUCCION!$C$92),1,0)</f>
        <v>0</v>
      </c>
      <c r="CQ20" s="88">
        <f>IF(AND(SUP_CONTROL!$C$13=1,SUM($C$20:CP$20)=0,SUM($C$19:CP$19)=1,PROD_DEMANDA!CP13&gt;=SUP_PRODUCCION!$C$67,CQ17&gt;=SUP_PRODUCCION!$C$92),1,0)</f>
        <v>0</v>
      </c>
      <c r="CR20" s="88">
        <f>IF(AND(SUP_CONTROL!$C$13=1,SUM($C$20:CQ$20)=0,SUM($C$19:CQ$19)=1,PROD_DEMANDA!CQ13&gt;=SUP_PRODUCCION!$C$67,CR17&gt;=SUP_PRODUCCION!$C$92),1,0)</f>
        <v>0</v>
      </c>
      <c r="CS20" s="88">
        <f>IF(AND(SUP_CONTROL!$C$13=1,SUM($C$20:CR$20)=0,SUM($C$19:CR$19)=1,PROD_DEMANDA!CR13&gt;=SUP_PRODUCCION!$C$67,CS17&gt;=SUP_PRODUCCION!$C$92),1,0)</f>
        <v>0</v>
      </c>
      <c r="CT20" s="88">
        <f>IF(AND(SUP_CONTROL!$C$13=1,SUM($C$20:CS$20)=0,SUM($C$19:CS$19)=1,PROD_DEMANDA!CS13&gt;=SUP_PRODUCCION!$C$67,CT17&gt;=SUP_PRODUCCION!$C$92),1,0)</f>
        <v>0</v>
      </c>
      <c r="CU20" s="88">
        <f>IF(AND(SUP_CONTROL!$C$13=1,SUM($C$20:CT$20)=0,SUM($C$19:CT$19)=1,PROD_DEMANDA!CT13&gt;=SUP_PRODUCCION!$C$67,CU17&gt;=SUP_PRODUCCION!$C$92),1,0)</f>
        <v>0</v>
      </c>
      <c r="CV20" s="88">
        <f>IF(AND(SUP_CONTROL!$C$13=1,SUM($C$20:CU$20)=0,SUM($C$19:CU$19)=1,PROD_DEMANDA!CU13&gt;=SUP_PRODUCCION!$C$67,CV17&gt;=SUP_PRODUCCION!$C$92),1,0)</f>
        <v>0</v>
      </c>
      <c r="CW20" s="88">
        <f>IF(AND(SUP_CONTROL!$C$13=1,SUM($C$20:CV$20)=0,SUM($C$19:CV$19)=1,PROD_DEMANDA!CV13&gt;=SUP_PRODUCCION!$C$67,CW17&gt;=SUP_PRODUCCION!$C$92),1,0)</f>
        <v>0</v>
      </c>
      <c r="CX20" s="88">
        <f>IF(AND(SUP_CONTROL!$C$13=1,SUM($C$20:CW$20)=0,SUM($C$19:CW$19)=1,PROD_DEMANDA!CW13&gt;=SUP_PRODUCCION!$C$67,CX17&gt;=SUP_PRODUCCION!$C$92),1,0)</f>
        <v>0</v>
      </c>
      <c r="CY20" s="88">
        <f>IF(AND(SUP_CONTROL!$C$13=1,SUM($C$20:CX$20)=0,SUM($C$19:CX$19)=1,PROD_DEMANDA!CX13&gt;=SUP_PRODUCCION!$C$67,CY17&gt;=SUP_PRODUCCION!$C$92),1,0)</f>
        <v>0</v>
      </c>
      <c r="CZ20" s="88">
        <f>IF(AND(SUP_CONTROL!$C$13=1,SUM($C$20:CY$20)=0,SUM($C$19:CY$19)=1,PROD_DEMANDA!CY13&gt;=SUP_PRODUCCION!$C$67,CZ17&gt;=SUP_PRODUCCION!$C$92),1,0)</f>
        <v>0</v>
      </c>
      <c r="DA20" s="88">
        <f>IF(AND(SUP_CONTROL!$C$13=1,SUM($C$20:CZ$20)=0,SUM($C$19:CZ$19)=1,PROD_DEMANDA!CZ13&gt;=SUP_PRODUCCION!$C$67,DA17&gt;=SUP_PRODUCCION!$C$92),1,0)</f>
        <v>0</v>
      </c>
      <c r="DB20" s="88">
        <f>IF(AND(SUP_CONTROL!$C$13=1,SUM($C$20:DA$20)=0,SUM($C$19:DA$19)=1,PROD_DEMANDA!DA13&gt;=SUP_PRODUCCION!$C$67,DB17&gt;=SUP_PRODUCCION!$C$92),1,0)</f>
        <v>0</v>
      </c>
      <c r="DC20" s="88">
        <f>IF(AND(SUP_CONTROL!$C$13=1,SUM($C$20:DB$20)=0,SUM($C$19:DB$19)=1,PROD_DEMANDA!DB13&gt;=SUP_PRODUCCION!$C$67,DC17&gt;=SUP_PRODUCCION!$C$92),1,0)</f>
        <v>0</v>
      </c>
      <c r="DD20" s="88">
        <f>IF(AND(SUP_CONTROL!$C$13=1,SUM($C$20:DC$20)=0,SUM($C$19:DC$19)=1,PROD_DEMANDA!DC13&gt;=SUP_PRODUCCION!$C$67,DD17&gt;=SUP_PRODUCCION!$C$92),1,0)</f>
        <v>0</v>
      </c>
      <c r="DE20" s="88">
        <f>IF(AND(SUP_CONTROL!$C$13=1,SUM($C$20:DD$20)=0,SUM($C$19:DD$19)=1,PROD_DEMANDA!DD13&gt;=SUP_PRODUCCION!$C$67,DE17&gt;=SUP_PRODUCCION!$C$92),1,0)</f>
        <v>0</v>
      </c>
      <c r="DF20" s="88">
        <f>IF(AND(SUP_CONTROL!$C$13=1,SUM($C$20:DE$20)=0,SUM($C$19:DE$19)=1,PROD_DEMANDA!DE13&gt;=SUP_PRODUCCION!$C$67,DF17&gt;=SUP_PRODUCCION!$C$92),1,0)</f>
        <v>0</v>
      </c>
      <c r="DG20" s="88">
        <f>IF(AND(SUP_CONTROL!$C$13=1,SUM($C$20:DF$20)=0,SUM($C$19:DF$19)=1,PROD_DEMANDA!DF13&gt;=SUP_PRODUCCION!$C$67,DG17&gt;=SUP_PRODUCCION!$C$92),1,0)</f>
        <v>0</v>
      </c>
      <c r="DH20" s="88">
        <f>IF(AND(SUP_CONTROL!$C$13=1,SUM($C$20:DG$20)=0,SUM($C$19:DG$19)=1,PROD_DEMANDA!DG13&gt;=SUP_PRODUCCION!$C$67,DH17&gt;=SUP_PRODUCCION!$C$92),1,0)</f>
        <v>0</v>
      </c>
      <c r="DI20" s="88">
        <f>IF(AND(SUP_CONTROL!$C$13=1,SUM($C$20:DH$20)=0,SUM($C$19:DH$19)=1,PROD_DEMANDA!DH13&gt;=SUP_PRODUCCION!$C$67,DI17&gt;=SUP_PRODUCCION!$C$92),1,0)</f>
        <v>0</v>
      </c>
      <c r="DJ20" s="88">
        <f>IF(AND(SUP_CONTROL!$C$13=1,SUM($C$20:DI$20)=0,SUM($C$19:DI$19)=1,PROD_DEMANDA!DI13&gt;=SUP_PRODUCCION!$C$67,DJ17&gt;=SUP_PRODUCCION!$C$92),1,0)</f>
        <v>0</v>
      </c>
      <c r="DK20" s="88">
        <f>IF(AND(SUP_CONTROL!$C$13=1,SUM($C$20:DJ$20)=0,SUM($C$19:DJ$19)=1,PROD_DEMANDA!DJ13&gt;=SUP_PRODUCCION!$C$67,DK17&gt;=SUP_PRODUCCION!$C$92),1,0)</f>
        <v>0</v>
      </c>
      <c r="DL20" s="88">
        <f>IF(AND(SUP_CONTROL!$C$13=1,SUM($C$20:DK$20)=0,SUM($C$19:DK$19)=1,PROD_DEMANDA!DK13&gt;=SUP_PRODUCCION!$C$67,DL17&gt;=SUP_PRODUCCION!$C$92),1,0)</f>
        <v>0</v>
      </c>
      <c r="DM20" s="88">
        <f>IF(AND(SUP_CONTROL!$C$13=1,SUM($C$20:DL$20)=0,SUM($C$19:DL$19)=1,PROD_DEMANDA!DL13&gt;=SUP_PRODUCCION!$C$67,DM17&gt;=SUP_PRODUCCION!$C$92),1,0)</f>
        <v>0</v>
      </c>
      <c r="DN20" s="88">
        <f>IF(AND(SUP_CONTROL!$C$13=1,SUM($C$20:DM$20)=0,SUM($C$19:DM$19)=1,PROD_DEMANDA!DM13&gt;=SUP_PRODUCCION!$C$67,DN17&gt;=SUP_PRODUCCION!$C$92),1,0)</f>
        <v>0</v>
      </c>
      <c r="DO20" s="88">
        <f>IF(AND(SUP_CONTROL!$C$13=1,SUM($C$20:DN$20)=0,SUM($C$19:DN$19)=1,PROD_DEMANDA!DN13&gt;=SUP_PRODUCCION!$C$67,DO17&gt;=SUP_PRODUCCION!$C$92),1,0)</f>
        <v>0</v>
      </c>
      <c r="DP20" s="88">
        <f>IF(AND(SUP_CONTROL!$C$13=1,SUM($C$20:DO$20)=0,SUM($C$19:DO$19)=1,PROD_DEMANDA!DO13&gt;=SUP_PRODUCCION!$C$67,DP17&gt;=SUP_PRODUCCION!$C$92),1,0)</f>
        <v>0</v>
      </c>
      <c r="DQ20" s="88">
        <f>IF(AND(SUP_CONTROL!$C$13=1,SUM($C$20:DP$20)=0,SUM($C$19:DP$19)=1,PROD_DEMANDA!DP13&gt;=SUP_PRODUCCION!$C$67,DQ17&gt;=SUP_PRODUCCION!$C$92),1,0)</f>
        <v>0</v>
      </c>
      <c r="DR20" s="88">
        <f>IF(AND(SUP_CONTROL!$C$13=1,SUM($C$20:DQ$20)=0,SUM($C$19:DQ$19)=1,PROD_DEMANDA!DQ13&gt;=SUP_PRODUCCION!$C$67,DR17&gt;=SUP_PRODUCCION!$C$92),1,0)</f>
        <v>0</v>
      </c>
      <c r="DS20" s="88">
        <f>IF(AND(SUP_CONTROL!$C$13=1,SUM($C$20:DR$20)=0,SUM($C$19:DR$19)=1,PROD_DEMANDA!DR13&gt;=SUP_PRODUCCION!$C$67,DS17&gt;=SUP_PRODUCCION!$C$92),1,0)</f>
        <v>0</v>
      </c>
    </row>
    <row r="21" spans="1:123" ht="15" customHeight="1" x14ac:dyDescent="0.2">
      <c r="B21" s="37" t="s">
        <v>1745</v>
      </c>
      <c r="D21" s="88">
        <f>0</f>
        <v>0</v>
      </c>
      <c r="E21" s="88">
        <f>IF(AND(SUP_CONTROL!$C$13=1,SUM($C$21:D$21)=0,SUM($C$20:D$20)=1,PROD_DEMANDA!D13&gt;=SUP_PRODUCCION!$C$67,E17&gt;=SUP_PRODUCCION!$C$93),1,0)</f>
        <v>0</v>
      </c>
      <c r="F21" s="88">
        <f>IF(AND(SUP_CONTROL!$C$13=1,SUM($C$21:E$21)=0,SUM($C$20:E$20)=1,PROD_DEMANDA!E13&gt;=SUP_PRODUCCION!$C$67,F17&gt;=SUP_PRODUCCION!$C$93),1,0)</f>
        <v>0</v>
      </c>
      <c r="G21" s="88">
        <f>IF(AND(SUP_CONTROL!$C$13=1,SUM($C$21:F$21)=0,SUM($C$20:F$20)=1,PROD_DEMANDA!F13&gt;=SUP_PRODUCCION!$C$67,G17&gt;=SUP_PRODUCCION!$C$93),1,0)</f>
        <v>0</v>
      </c>
      <c r="H21" s="88">
        <f>IF(AND(SUP_CONTROL!$C$13=1,SUM($C$21:G$21)=0,SUM($C$20:G$20)=1,PROD_DEMANDA!G13&gt;=SUP_PRODUCCION!$C$67,H17&gt;=SUP_PRODUCCION!$C$93),1,0)</f>
        <v>0</v>
      </c>
      <c r="I21" s="88">
        <f>IF(AND(SUP_CONTROL!$C$13=1,SUM($C$21:H$21)=0,SUM($C$20:H$20)=1,PROD_DEMANDA!H13&gt;=SUP_PRODUCCION!$C$67,I17&gt;=SUP_PRODUCCION!$C$93),1,0)</f>
        <v>0</v>
      </c>
      <c r="J21" s="88">
        <f>IF(AND(SUP_CONTROL!$C$13=1,SUM($C$21:I$21)=0,SUM($C$20:I$20)=1,PROD_DEMANDA!I13&gt;=SUP_PRODUCCION!$C$67,J17&gt;=SUP_PRODUCCION!$C$93),1,0)</f>
        <v>0</v>
      </c>
      <c r="K21" s="88">
        <f>IF(AND(SUP_CONTROL!$C$13=1,SUM($C$21:J$21)=0,SUM($C$20:J$20)=1,PROD_DEMANDA!J13&gt;=SUP_PRODUCCION!$C$67,K17&gt;=SUP_PRODUCCION!$C$93),1,0)</f>
        <v>0</v>
      </c>
      <c r="L21" s="88">
        <f>IF(AND(SUP_CONTROL!$C$13=1,SUM($C$21:K$21)=0,SUM($C$20:K$20)=1,PROD_DEMANDA!K13&gt;=SUP_PRODUCCION!$C$67,L17&gt;=SUP_PRODUCCION!$C$93),1,0)</f>
        <v>0</v>
      </c>
      <c r="M21" s="88">
        <f>IF(AND(SUP_CONTROL!$C$13=1,SUM($C$21:L$21)=0,SUM($C$20:L$20)=1,PROD_DEMANDA!L13&gt;=SUP_PRODUCCION!$C$67,M17&gt;=SUP_PRODUCCION!$C$93),1,0)</f>
        <v>0</v>
      </c>
      <c r="N21" s="88">
        <f>IF(AND(SUP_CONTROL!$C$13=1,SUM($C$21:M$21)=0,SUM($C$20:M$20)=1,PROD_DEMANDA!M13&gt;=SUP_PRODUCCION!$C$67,N17&gt;=SUP_PRODUCCION!$C$93),1,0)</f>
        <v>0</v>
      </c>
      <c r="O21" s="88">
        <f>IF(AND(SUP_CONTROL!$C$13=1,SUM($C$21:N$21)=0,SUM($C$20:N$20)=1,PROD_DEMANDA!N13&gt;=SUP_PRODUCCION!$C$67,O17&gt;=SUP_PRODUCCION!$C$93),1,0)</f>
        <v>0</v>
      </c>
      <c r="P21" s="88">
        <f>IF(AND(SUP_CONTROL!$C$13=1,SUM($C$21:O$21)=0,SUM($C$20:O$20)=1,PROD_DEMANDA!O13&gt;=SUP_PRODUCCION!$C$67,P17&gt;=SUP_PRODUCCION!$C$93),1,0)</f>
        <v>0</v>
      </c>
      <c r="Q21" s="88">
        <f>IF(AND(SUP_CONTROL!$C$13=1,SUM($C$21:P$21)=0,SUM($C$20:P$20)=1,PROD_DEMANDA!P13&gt;=SUP_PRODUCCION!$C$67,Q17&gt;=SUP_PRODUCCION!$C$93),1,0)</f>
        <v>0</v>
      </c>
      <c r="R21" s="88">
        <f>IF(AND(SUP_CONTROL!$C$13=1,SUM($C$21:Q$21)=0,SUM($C$20:Q$20)=1,PROD_DEMANDA!Q13&gt;=SUP_PRODUCCION!$C$67,R17&gt;=SUP_PRODUCCION!$C$93),1,0)</f>
        <v>0</v>
      </c>
      <c r="S21" s="88">
        <f>IF(AND(SUP_CONTROL!$C$13=1,SUM($C$21:R$21)=0,SUM($C$20:R$20)=1,PROD_DEMANDA!R13&gt;=SUP_PRODUCCION!$C$67,S17&gt;=SUP_PRODUCCION!$C$93),1,0)</f>
        <v>0</v>
      </c>
      <c r="T21" s="88">
        <f>IF(AND(SUP_CONTROL!$C$13=1,SUM($C$21:S$21)=0,SUM($C$20:S$20)=1,PROD_DEMANDA!S13&gt;=SUP_PRODUCCION!$C$67,T17&gt;=SUP_PRODUCCION!$C$93),1,0)</f>
        <v>0</v>
      </c>
      <c r="U21" s="88">
        <f>IF(AND(SUP_CONTROL!$C$13=1,SUM($C$21:T$21)=0,SUM($C$20:T$20)=1,PROD_DEMANDA!T13&gt;=SUP_PRODUCCION!$C$67,U17&gt;=SUP_PRODUCCION!$C$93),1,0)</f>
        <v>0</v>
      </c>
      <c r="V21" s="88">
        <f>IF(AND(SUP_CONTROL!$C$13=1,SUM($C$21:U$21)=0,SUM($C$20:U$20)=1,PROD_DEMANDA!U13&gt;=SUP_PRODUCCION!$C$67,V17&gt;=SUP_PRODUCCION!$C$93),1,0)</f>
        <v>0</v>
      </c>
      <c r="W21" s="88">
        <f>IF(AND(SUP_CONTROL!$C$13=1,SUM($C$21:V$21)=0,SUM($C$20:V$20)=1,PROD_DEMANDA!V13&gt;=SUP_PRODUCCION!$C$67,W17&gt;=SUP_PRODUCCION!$C$93),1,0)</f>
        <v>0</v>
      </c>
      <c r="X21" s="88">
        <f>IF(AND(SUP_CONTROL!$C$13=1,SUM($C$21:W$21)=0,SUM($C$20:W$20)=1,PROD_DEMANDA!W13&gt;=SUP_PRODUCCION!$C$67,X17&gt;=SUP_PRODUCCION!$C$93),1,0)</f>
        <v>0</v>
      </c>
      <c r="Y21" s="88">
        <f>IF(AND(SUP_CONTROL!$C$13=1,SUM($C$21:X$21)=0,SUM($C$20:X$20)=1,PROD_DEMANDA!X13&gt;=SUP_PRODUCCION!$C$67,Y17&gt;=SUP_PRODUCCION!$C$93),1,0)</f>
        <v>0</v>
      </c>
      <c r="Z21" s="88">
        <f>IF(AND(SUP_CONTROL!$C$13=1,SUM($C$21:Y$21)=0,SUM($C$20:Y$20)=1,PROD_DEMANDA!Y13&gt;=SUP_PRODUCCION!$C$67,Z17&gt;=SUP_PRODUCCION!$C$93),1,0)</f>
        <v>0</v>
      </c>
      <c r="AA21" s="88">
        <f>IF(AND(SUP_CONTROL!$C$13=1,SUM($C$21:Z$21)=0,SUM($C$20:Z$20)=1,PROD_DEMANDA!Z13&gt;=SUP_PRODUCCION!$C$67,AA17&gt;=SUP_PRODUCCION!$C$93),1,0)</f>
        <v>0</v>
      </c>
      <c r="AB21" s="88">
        <f>IF(AND(SUP_CONTROL!$C$13=1,SUM($C$21:AA$21)=0,SUM($C$20:AA$20)=1,PROD_DEMANDA!AA13&gt;=SUP_PRODUCCION!$C$67,AB17&gt;=SUP_PRODUCCION!$C$93),1,0)</f>
        <v>0</v>
      </c>
      <c r="AC21" s="88">
        <f>IF(AND(SUP_CONTROL!$C$13=1,SUM($C$21:AB$21)=0,SUM($C$20:AB$20)=1,PROD_DEMANDA!AB13&gt;=SUP_PRODUCCION!$C$67,AC17&gt;=SUP_PRODUCCION!$C$93),1,0)</f>
        <v>0</v>
      </c>
      <c r="AD21" s="88">
        <f>IF(AND(SUP_CONTROL!$C$13=1,SUM($C$21:AC$21)=0,SUM($C$20:AC$20)=1,PROD_DEMANDA!AC13&gt;=SUP_PRODUCCION!$C$67,AD17&gt;=SUP_PRODUCCION!$C$93),1,0)</f>
        <v>0</v>
      </c>
      <c r="AE21" s="88">
        <f>IF(AND(SUP_CONTROL!$C$13=1,SUM($C$21:AD$21)=0,SUM($C$20:AD$20)=1,PROD_DEMANDA!AD13&gt;=SUP_PRODUCCION!$C$67,AE17&gt;=SUP_PRODUCCION!$C$93),1,0)</f>
        <v>0</v>
      </c>
      <c r="AF21" s="88">
        <f>IF(AND(SUP_CONTROL!$C$13=1,SUM($C$21:AE$21)=0,SUM($C$20:AE$20)=1,PROD_DEMANDA!AE13&gt;=SUP_PRODUCCION!$C$67,AF17&gt;=SUP_PRODUCCION!$C$93),1,0)</f>
        <v>0</v>
      </c>
      <c r="AG21" s="88">
        <f>IF(AND(SUP_CONTROL!$C$13=1,SUM($C$21:AF$21)=0,SUM($C$20:AF$20)=1,PROD_DEMANDA!AF13&gt;=SUP_PRODUCCION!$C$67,AG17&gt;=SUP_PRODUCCION!$C$93),1,0)</f>
        <v>0</v>
      </c>
      <c r="AH21" s="88">
        <f>IF(AND(SUP_CONTROL!$C$13=1,SUM($C$21:AG$21)=0,SUM($C$20:AG$20)=1,PROD_DEMANDA!AG13&gt;=SUP_PRODUCCION!$C$67,AH17&gt;=SUP_PRODUCCION!$C$93),1,0)</f>
        <v>0</v>
      </c>
      <c r="AI21" s="88">
        <f>IF(AND(SUP_CONTROL!$C$13=1,SUM($C$21:AH$21)=0,SUM($C$20:AH$20)=1,PROD_DEMANDA!AH13&gt;=SUP_PRODUCCION!$C$67,AI17&gt;=SUP_PRODUCCION!$C$93),1,0)</f>
        <v>0</v>
      </c>
      <c r="AJ21" s="88">
        <f>IF(AND(SUP_CONTROL!$C$13=1,SUM($C$21:AI$21)=0,SUM($C$20:AI$20)=1,PROD_DEMANDA!AI13&gt;=SUP_PRODUCCION!$C$67,AJ17&gt;=SUP_PRODUCCION!$C$93),1,0)</f>
        <v>0</v>
      </c>
      <c r="AK21" s="88">
        <f>IF(AND(SUP_CONTROL!$C$13=1,SUM($C$21:AJ$21)=0,SUM($C$20:AJ$20)=1,PROD_DEMANDA!AJ13&gt;=SUP_PRODUCCION!$C$67,AK17&gt;=SUP_PRODUCCION!$C$93),1,0)</f>
        <v>0</v>
      </c>
      <c r="AL21" s="88">
        <f>IF(AND(SUP_CONTROL!$C$13=1,SUM($C$21:AK$21)=0,SUM($C$20:AK$20)=1,PROD_DEMANDA!AK13&gt;=SUP_PRODUCCION!$C$67,AL17&gt;=SUP_PRODUCCION!$C$93),1,0)</f>
        <v>0</v>
      </c>
      <c r="AM21" s="88">
        <f>IF(AND(SUP_CONTROL!$C$13=1,SUM($C$21:AL$21)=0,SUM($C$20:AL$20)=1,PROD_DEMANDA!AL13&gt;=SUP_PRODUCCION!$C$67,AM17&gt;=SUP_PRODUCCION!$C$93),1,0)</f>
        <v>0</v>
      </c>
      <c r="AN21" s="88">
        <f>IF(AND(SUP_CONTROL!$C$13=1,SUM($C$21:AM$21)=0,SUM($C$20:AM$20)=1,PROD_DEMANDA!AM13&gt;=SUP_PRODUCCION!$C$67,AN17&gt;=SUP_PRODUCCION!$C$93),1,0)</f>
        <v>0</v>
      </c>
      <c r="AO21" s="88">
        <f>IF(AND(SUP_CONTROL!$C$13=1,SUM($C$21:AN$21)=0,SUM($C$20:AN$20)=1,PROD_DEMANDA!AN13&gt;=SUP_PRODUCCION!$C$67,AO17&gt;=SUP_PRODUCCION!$C$93),1,0)</f>
        <v>0</v>
      </c>
      <c r="AP21" s="88">
        <f>IF(AND(SUP_CONTROL!$C$13=1,SUM($C$21:AO$21)=0,SUM($C$20:AO$20)=1,PROD_DEMANDA!AO13&gt;=SUP_PRODUCCION!$C$67,AP17&gt;=SUP_PRODUCCION!$C$93),1,0)</f>
        <v>0</v>
      </c>
      <c r="AQ21" s="88">
        <f>IF(AND(SUP_CONTROL!$C$13=1,SUM($C$21:AP$21)=0,SUM($C$20:AP$20)=1,PROD_DEMANDA!AP13&gt;=SUP_PRODUCCION!$C$67,AQ17&gt;=SUP_PRODUCCION!$C$93),1,0)</f>
        <v>0</v>
      </c>
      <c r="AR21" s="88">
        <f>IF(AND(SUP_CONTROL!$C$13=1,SUM($C$21:AQ$21)=0,SUM($C$20:AQ$20)=1,PROD_DEMANDA!AQ13&gt;=SUP_PRODUCCION!$C$67,AR17&gt;=SUP_PRODUCCION!$C$93),1,0)</f>
        <v>0</v>
      </c>
      <c r="AS21" s="88">
        <f>IF(AND(SUP_CONTROL!$C$13=1,SUM($C$21:AR$21)=0,SUM($C$20:AR$20)=1,PROD_DEMANDA!AR13&gt;=SUP_PRODUCCION!$C$67,AS17&gt;=SUP_PRODUCCION!$C$93),1,0)</f>
        <v>0</v>
      </c>
      <c r="AT21" s="88">
        <f>IF(AND(SUP_CONTROL!$C$13=1,SUM($C$21:AS$21)=0,SUM($C$20:AS$20)=1,PROD_DEMANDA!AS13&gt;=SUP_PRODUCCION!$C$67,AT17&gt;=SUP_PRODUCCION!$C$93),1,0)</f>
        <v>0</v>
      </c>
      <c r="AU21" s="88">
        <f>IF(AND(SUP_CONTROL!$C$13=1,SUM($C$21:AT$21)=0,SUM($C$20:AT$20)=1,PROD_DEMANDA!AT13&gt;=SUP_PRODUCCION!$C$67,AU17&gt;=SUP_PRODUCCION!$C$93),1,0)</f>
        <v>0</v>
      </c>
      <c r="AV21" s="88">
        <f>IF(AND(SUP_CONTROL!$C$13=1,SUM($C$21:AU$21)=0,SUM($C$20:AU$20)=1,PROD_DEMANDA!AU13&gt;=SUP_PRODUCCION!$C$67,AV17&gt;=SUP_PRODUCCION!$C$93),1,0)</f>
        <v>0</v>
      </c>
      <c r="AW21" s="88">
        <f>IF(AND(SUP_CONTROL!$C$13=1,SUM($C$21:AV$21)=0,SUM($C$20:AV$20)=1,PROD_DEMANDA!AV13&gt;=SUP_PRODUCCION!$C$67,AW17&gt;=SUP_PRODUCCION!$C$93),1,0)</f>
        <v>0</v>
      </c>
      <c r="AX21" s="88">
        <f>IF(AND(SUP_CONTROL!$C$13=1,SUM($C$21:AW$21)=0,SUM($C$20:AW$20)=1,PROD_DEMANDA!AW13&gt;=SUP_PRODUCCION!$C$67,AX17&gt;=SUP_PRODUCCION!$C$93),1,0)</f>
        <v>0</v>
      </c>
      <c r="AY21" s="88">
        <f>IF(AND(SUP_CONTROL!$C$13=1,SUM($C$21:AX$21)=0,SUM($C$20:AX$20)=1,PROD_DEMANDA!AX13&gt;=SUP_PRODUCCION!$C$67,AY17&gt;=SUP_PRODUCCION!$C$93),1,0)</f>
        <v>0</v>
      </c>
      <c r="AZ21" s="88">
        <f>IF(AND(SUP_CONTROL!$C$13=1,SUM($C$21:AY$21)=0,SUM($C$20:AY$20)=1,PROD_DEMANDA!AY13&gt;=SUP_PRODUCCION!$C$67,AZ17&gt;=SUP_PRODUCCION!$C$93),1,0)</f>
        <v>0</v>
      </c>
      <c r="BA21" s="88">
        <f>IF(AND(SUP_CONTROL!$C$13=1,SUM($C$21:AZ$21)=0,SUM($C$20:AZ$20)=1,PROD_DEMANDA!AZ13&gt;=SUP_PRODUCCION!$C$67,BA17&gt;=SUP_PRODUCCION!$C$93),1,0)</f>
        <v>0</v>
      </c>
      <c r="BB21" s="88">
        <f>IF(AND(SUP_CONTROL!$C$13=1,SUM($C$21:BA$21)=0,SUM($C$20:BA$20)=1,PROD_DEMANDA!BA13&gt;=SUP_PRODUCCION!$C$67,BB17&gt;=SUP_PRODUCCION!$C$93),1,0)</f>
        <v>0</v>
      </c>
      <c r="BC21" s="88">
        <f>IF(AND(SUP_CONTROL!$C$13=1,SUM($C$21:BB$21)=0,SUM($C$20:BB$20)=1,PROD_DEMANDA!BB13&gt;=SUP_PRODUCCION!$C$67,BC17&gt;=SUP_PRODUCCION!$C$93),1,0)</f>
        <v>0</v>
      </c>
      <c r="BD21" s="88">
        <f>IF(AND(SUP_CONTROL!$C$13=1,SUM($C$21:BC$21)=0,SUM($C$20:BC$20)=1,PROD_DEMANDA!BC13&gt;=SUP_PRODUCCION!$C$67,BD17&gt;=SUP_PRODUCCION!$C$93),1,0)</f>
        <v>0</v>
      </c>
      <c r="BE21" s="88">
        <f>IF(AND(SUP_CONTROL!$C$13=1,SUM($C$21:BD$21)=0,SUM($C$20:BD$20)=1,PROD_DEMANDA!BD13&gt;=SUP_PRODUCCION!$C$67,BE17&gt;=SUP_PRODUCCION!$C$93),1,0)</f>
        <v>0</v>
      </c>
      <c r="BF21" s="88">
        <f>IF(AND(SUP_CONTROL!$C$13=1,SUM($C$21:BE$21)=0,SUM($C$20:BE$20)=1,PROD_DEMANDA!BE13&gt;=SUP_PRODUCCION!$C$67,BF17&gt;=SUP_PRODUCCION!$C$93),1,0)</f>
        <v>0</v>
      </c>
      <c r="BG21" s="88">
        <f>IF(AND(SUP_CONTROL!$C$13=1,SUM($C$21:BF$21)=0,SUM($C$20:BF$20)=1,PROD_DEMANDA!BF13&gt;=SUP_PRODUCCION!$C$67,BG17&gt;=SUP_PRODUCCION!$C$93),1,0)</f>
        <v>0</v>
      </c>
      <c r="BH21" s="88">
        <f>IF(AND(SUP_CONTROL!$C$13=1,SUM($C$21:BG$21)=0,SUM($C$20:BG$20)=1,PROD_DEMANDA!BG13&gt;=SUP_PRODUCCION!$C$67,BH17&gt;=SUP_PRODUCCION!$C$93),1,0)</f>
        <v>0</v>
      </c>
      <c r="BI21" s="88">
        <f>IF(AND(SUP_CONTROL!$C$13=1,SUM($C$21:BH$21)=0,SUM($C$20:BH$20)=1,PROD_DEMANDA!BH13&gt;=SUP_PRODUCCION!$C$67,BI17&gt;=SUP_PRODUCCION!$C$93),1,0)</f>
        <v>0</v>
      </c>
      <c r="BJ21" s="88">
        <f>IF(AND(SUP_CONTROL!$C$13=1,SUM($C$21:BI$21)=0,SUM($C$20:BI$20)=1,PROD_DEMANDA!BI13&gt;=SUP_PRODUCCION!$C$67,BJ17&gt;=SUP_PRODUCCION!$C$93),1,0)</f>
        <v>0</v>
      </c>
      <c r="BK21" s="88">
        <f>IF(AND(SUP_CONTROL!$C$13=1,SUM($C$21:BJ$21)=0,SUM($C$20:BJ$20)=1,PROD_DEMANDA!BJ13&gt;=SUP_PRODUCCION!$C$67,BK17&gt;=SUP_PRODUCCION!$C$93),1,0)</f>
        <v>0</v>
      </c>
      <c r="BL21" s="88">
        <f>IF(AND(SUP_CONTROL!$C$13=1,SUM($C$21:BK$21)=0,SUM($C$20:BK$20)=1,PROD_DEMANDA!BK13&gt;=SUP_PRODUCCION!$C$67,BL17&gt;=SUP_PRODUCCION!$C$93),1,0)</f>
        <v>0</v>
      </c>
      <c r="BM21" s="88">
        <f>IF(AND(SUP_CONTROL!$C$13=1,SUM($C$21:BL$21)=0,SUM($C$20:BL$20)=1,PROD_DEMANDA!BL13&gt;=SUP_PRODUCCION!$C$67,BM17&gt;=SUP_PRODUCCION!$C$93),1,0)</f>
        <v>0</v>
      </c>
      <c r="BN21" s="88">
        <f>IF(AND(SUP_CONTROL!$C$13=1,SUM($C$21:BM$21)=0,SUM($C$20:BM$20)=1,PROD_DEMANDA!BM13&gt;=SUP_PRODUCCION!$C$67,BN17&gt;=SUP_PRODUCCION!$C$93),1,0)</f>
        <v>0</v>
      </c>
      <c r="BO21" s="88">
        <f>IF(AND(SUP_CONTROL!$C$13=1,SUM($C$21:BN$21)=0,SUM($C$20:BN$20)=1,PROD_DEMANDA!BN13&gt;=SUP_PRODUCCION!$C$67,BO17&gt;=SUP_PRODUCCION!$C$93),1,0)</f>
        <v>0</v>
      </c>
      <c r="BP21" s="88">
        <f>IF(AND(SUP_CONTROL!$C$13=1,SUM($C$21:BO$21)=0,SUM($C$20:BO$20)=1,PROD_DEMANDA!BO13&gt;=SUP_PRODUCCION!$C$67,BP17&gt;=SUP_PRODUCCION!$C$93),1,0)</f>
        <v>0</v>
      </c>
      <c r="BQ21" s="88">
        <f>IF(AND(SUP_CONTROL!$C$13=1,SUM($C$21:BP$21)=0,SUM($C$20:BP$20)=1,PROD_DEMANDA!BP13&gt;=SUP_PRODUCCION!$C$67,BQ17&gt;=SUP_PRODUCCION!$C$93),1,0)</f>
        <v>0</v>
      </c>
      <c r="BR21" s="88">
        <f>IF(AND(SUP_CONTROL!$C$13=1,SUM($C$21:BQ$21)=0,SUM($C$20:BQ$20)=1,PROD_DEMANDA!BQ13&gt;=SUP_PRODUCCION!$C$67,BR17&gt;=SUP_PRODUCCION!$C$93),1,0)</f>
        <v>0</v>
      </c>
      <c r="BS21" s="88">
        <f>IF(AND(SUP_CONTROL!$C$13=1,SUM($C$21:BR$21)=0,SUM($C$20:BR$20)=1,PROD_DEMANDA!BR13&gt;=SUP_PRODUCCION!$C$67,BS17&gt;=SUP_PRODUCCION!$C$93),1,0)</f>
        <v>0</v>
      </c>
      <c r="BT21" s="88">
        <f>IF(AND(SUP_CONTROL!$C$13=1,SUM($C$21:BS$21)=0,SUM($C$20:BS$20)=1,PROD_DEMANDA!BS13&gt;=SUP_PRODUCCION!$C$67,BT17&gt;=SUP_PRODUCCION!$C$93),1,0)</f>
        <v>0</v>
      </c>
      <c r="BU21" s="88">
        <f>IF(AND(SUP_CONTROL!$C$13=1,SUM($C$21:BT$21)=0,SUM($C$20:BT$20)=1,PROD_DEMANDA!BT13&gt;=SUP_PRODUCCION!$C$67,BU17&gt;=SUP_PRODUCCION!$C$93),1,0)</f>
        <v>0</v>
      </c>
      <c r="BV21" s="88">
        <f>IF(AND(SUP_CONTROL!$C$13=1,SUM($C$21:BU$21)=0,SUM($C$20:BU$20)=1,PROD_DEMANDA!BU13&gt;=SUP_PRODUCCION!$C$67,BV17&gt;=SUP_PRODUCCION!$C$93),1,0)</f>
        <v>0</v>
      </c>
      <c r="BW21" s="88">
        <f>IF(AND(SUP_CONTROL!$C$13=1,SUM($C$21:BV$21)=0,SUM($C$20:BV$20)=1,PROD_DEMANDA!BV13&gt;=SUP_PRODUCCION!$C$67,BW17&gt;=SUP_PRODUCCION!$C$93),1,0)</f>
        <v>0</v>
      </c>
      <c r="BX21" s="88">
        <f>IF(AND(SUP_CONTROL!$C$13=1,SUM($C$21:BW$21)=0,SUM($C$20:BW$20)=1,PROD_DEMANDA!BW13&gt;=SUP_PRODUCCION!$C$67,BX17&gt;=SUP_PRODUCCION!$C$93),1,0)</f>
        <v>0</v>
      </c>
      <c r="BY21" s="88">
        <f>IF(AND(SUP_CONTROL!$C$13=1,SUM($C$21:BX$21)=0,SUM($C$20:BX$20)=1,PROD_DEMANDA!BX13&gt;=SUP_PRODUCCION!$C$67,BY17&gt;=SUP_PRODUCCION!$C$93),1,0)</f>
        <v>0</v>
      </c>
      <c r="BZ21" s="88">
        <f>IF(AND(SUP_CONTROL!$C$13=1,SUM($C$21:BY$21)=0,SUM($C$20:BY$20)=1,PROD_DEMANDA!BY13&gt;=SUP_PRODUCCION!$C$67,BZ17&gt;=SUP_PRODUCCION!$C$93),1,0)</f>
        <v>0</v>
      </c>
      <c r="CA21" s="88">
        <f>IF(AND(SUP_CONTROL!$C$13=1,SUM($C$21:BZ$21)=0,SUM($C$20:BZ$20)=1,PROD_DEMANDA!BZ13&gt;=SUP_PRODUCCION!$C$67,CA17&gt;=SUP_PRODUCCION!$C$93),1,0)</f>
        <v>0</v>
      </c>
      <c r="CB21" s="88">
        <f>IF(AND(SUP_CONTROL!$C$13=1,SUM($C$21:CA$21)=0,SUM($C$20:CA$20)=1,PROD_DEMANDA!CA13&gt;=SUP_PRODUCCION!$C$67,CB17&gt;=SUP_PRODUCCION!$C$93),1,0)</f>
        <v>1</v>
      </c>
      <c r="CC21" s="88">
        <f>IF(AND(SUP_CONTROL!$C$13=1,SUM($C$21:CB$21)=0,SUM($C$20:CB$20)=1,PROD_DEMANDA!CB13&gt;=SUP_PRODUCCION!$C$67,CC17&gt;=SUP_PRODUCCION!$C$93),1,0)</f>
        <v>0</v>
      </c>
      <c r="CD21" s="88">
        <f>IF(AND(SUP_CONTROL!$C$13=1,SUM($C$21:CC$21)=0,SUM($C$20:CC$20)=1,PROD_DEMANDA!CC13&gt;=SUP_PRODUCCION!$C$67,CD17&gt;=SUP_PRODUCCION!$C$93),1,0)</f>
        <v>0</v>
      </c>
      <c r="CE21" s="88">
        <f>IF(AND(SUP_CONTROL!$C$13=1,SUM($C$21:CD$21)=0,SUM($C$20:CD$20)=1,PROD_DEMANDA!CD13&gt;=SUP_PRODUCCION!$C$67,CE17&gt;=SUP_PRODUCCION!$C$93),1,0)</f>
        <v>0</v>
      </c>
      <c r="CF21" s="88">
        <f>IF(AND(SUP_CONTROL!$C$13=1,SUM($C$21:CE$21)=0,SUM($C$20:CE$20)=1,PROD_DEMANDA!CE13&gt;=SUP_PRODUCCION!$C$67,CF17&gt;=SUP_PRODUCCION!$C$93),1,0)</f>
        <v>0</v>
      </c>
      <c r="CG21" s="88">
        <f>IF(AND(SUP_CONTROL!$C$13=1,SUM($C$21:CF$21)=0,SUM($C$20:CF$20)=1,PROD_DEMANDA!CF13&gt;=SUP_PRODUCCION!$C$67,CG17&gt;=SUP_PRODUCCION!$C$93),1,0)</f>
        <v>0</v>
      </c>
      <c r="CH21" s="88">
        <f>IF(AND(SUP_CONTROL!$C$13=1,SUM($C$21:CG$21)=0,SUM($C$20:CG$20)=1,PROD_DEMANDA!CG13&gt;=SUP_PRODUCCION!$C$67,CH17&gt;=SUP_PRODUCCION!$C$93),1,0)</f>
        <v>0</v>
      </c>
      <c r="CI21" s="88">
        <f>IF(AND(SUP_CONTROL!$C$13=1,SUM($C$21:CH$21)=0,SUM($C$20:CH$20)=1,PROD_DEMANDA!CH13&gt;=SUP_PRODUCCION!$C$67,CI17&gt;=SUP_PRODUCCION!$C$93),1,0)</f>
        <v>0</v>
      </c>
      <c r="CJ21" s="88">
        <f>IF(AND(SUP_CONTROL!$C$13=1,SUM($C$21:CI$21)=0,SUM($C$20:CI$20)=1,PROD_DEMANDA!CI13&gt;=SUP_PRODUCCION!$C$67,CJ17&gt;=SUP_PRODUCCION!$C$93),1,0)</f>
        <v>0</v>
      </c>
      <c r="CK21" s="88">
        <f>IF(AND(SUP_CONTROL!$C$13=1,SUM($C$21:CJ$21)=0,SUM($C$20:CJ$20)=1,PROD_DEMANDA!CJ13&gt;=SUP_PRODUCCION!$C$67,CK17&gt;=SUP_PRODUCCION!$C$93),1,0)</f>
        <v>0</v>
      </c>
      <c r="CL21" s="88">
        <f>IF(AND(SUP_CONTROL!$C$13=1,SUM($C$21:CK$21)=0,SUM($C$20:CK$20)=1,PROD_DEMANDA!CK13&gt;=SUP_PRODUCCION!$C$67,CL17&gt;=SUP_PRODUCCION!$C$93),1,0)</f>
        <v>0</v>
      </c>
      <c r="CM21" s="88">
        <f>IF(AND(SUP_CONTROL!$C$13=1,SUM($C$21:CL$21)=0,SUM($C$20:CL$20)=1,PROD_DEMANDA!CL13&gt;=SUP_PRODUCCION!$C$67,CM17&gt;=SUP_PRODUCCION!$C$93),1,0)</f>
        <v>0</v>
      </c>
      <c r="CN21" s="88">
        <f>IF(AND(SUP_CONTROL!$C$13=1,SUM($C$21:CM$21)=0,SUM($C$20:CM$20)=1,PROD_DEMANDA!CM13&gt;=SUP_PRODUCCION!$C$67,CN17&gt;=SUP_PRODUCCION!$C$93),1,0)</f>
        <v>0</v>
      </c>
      <c r="CO21" s="88">
        <f>IF(AND(SUP_CONTROL!$C$13=1,SUM($C$21:CN$21)=0,SUM($C$20:CN$20)=1,PROD_DEMANDA!CN13&gt;=SUP_PRODUCCION!$C$67,CO17&gt;=SUP_PRODUCCION!$C$93),1,0)</f>
        <v>0</v>
      </c>
      <c r="CP21" s="88">
        <f>IF(AND(SUP_CONTROL!$C$13=1,SUM($C$21:CO$21)=0,SUM($C$20:CO$20)=1,PROD_DEMANDA!CO13&gt;=SUP_PRODUCCION!$C$67,CP17&gt;=SUP_PRODUCCION!$C$93),1,0)</f>
        <v>0</v>
      </c>
      <c r="CQ21" s="88">
        <f>IF(AND(SUP_CONTROL!$C$13=1,SUM($C$21:CP$21)=0,SUM($C$20:CP$20)=1,PROD_DEMANDA!CP13&gt;=SUP_PRODUCCION!$C$67,CQ17&gt;=SUP_PRODUCCION!$C$93),1,0)</f>
        <v>0</v>
      </c>
      <c r="CR21" s="88">
        <f>IF(AND(SUP_CONTROL!$C$13=1,SUM($C$21:CQ$21)=0,SUM($C$20:CQ$20)=1,PROD_DEMANDA!CQ13&gt;=SUP_PRODUCCION!$C$67,CR17&gt;=SUP_PRODUCCION!$C$93),1,0)</f>
        <v>0</v>
      </c>
      <c r="CS21" s="88">
        <f>IF(AND(SUP_CONTROL!$C$13=1,SUM($C$21:CR$21)=0,SUM($C$20:CR$20)=1,PROD_DEMANDA!CR13&gt;=SUP_PRODUCCION!$C$67,CS17&gt;=SUP_PRODUCCION!$C$93),1,0)</f>
        <v>0</v>
      </c>
      <c r="CT21" s="88">
        <f>IF(AND(SUP_CONTROL!$C$13=1,SUM($C$21:CS$21)=0,SUM($C$20:CS$20)=1,PROD_DEMANDA!CS13&gt;=SUP_PRODUCCION!$C$67,CT17&gt;=SUP_PRODUCCION!$C$93),1,0)</f>
        <v>0</v>
      </c>
      <c r="CU21" s="88">
        <f>IF(AND(SUP_CONTROL!$C$13=1,SUM($C$21:CT$21)=0,SUM($C$20:CT$20)=1,PROD_DEMANDA!CT13&gt;=SUP_PRODUCCION!$C$67,CU17&gt;=SUP_PRODUCCION!$C$93),1,0)</f>
        <v>0</v>
      </c>
      <c r="CV21" s="88">
        <f>IF(AND(SUP_CONTROL!$C$13=1,SUM($C$21:CU$21)=0,SUM($C$20:CU$20)=1,PROD_DEMANDA!CU13&gt;=SUP_PRODUCCION!$C$67,CV17&gt;=SUP_PRODUCCION!$C$93),1,0)</f>
        <v>0</v>
      </c>
      <c r="CW21" s="88">
        <f>IF(AND(SUP_CONTROL!$C$13=1,SUM($C$21:CV$21)=0,SUM($C$20:CV$20)=1,PROD_DEMANDA!CV13&gt;=SUP_PRODUCCION!$C$67,CW17&gt;=SUP_PRODUCCION!$C$93),1,0)</f>
        <v>0</v>
      </c>
      <c r="CX21" s="88">
        <f>IF(AND(SUP_CONTROL!$C$13=1,SUM($C$21:CW$21)=0,SUM($C$20:CW$20)=1,PROD_DEMANDA!CW13&gt;=SUP_PRODUCCION!$C$67,CX17&gt;=SUP_PRODUCCION!$C$93),1,0)</f>
        <v>0</v>
      </c>
      <c r="CY21" s="88">
        <f>IF(AND(SUP_CONTROL!$C$13=1,SUM($C$21:CX$21)=0,SUM($C$20:CX$20)=1,PROD_DEMANDA!CX13&gt;=SUP_PRODUCCION!$C$67,CY17&gt;=SUP_PRODUCCION!$C$93),1,0)</f>
        <v>0</v>
      </c>
      <c r="CZ21" s="88">
        <f>IF(AND(SUP_CONTROL!$C$13=1,SUM($C$21:CY$21)=0,SUM($C$20:CY$20)=1,PROD_DEMANDA!CY13&gt;=SUP_PRODUCCION!$C$67,CZ17&gt;=SUP_PRODUCCION!$C$93),1,0)</f>
        <v>0</v>
      </c>
      <c r="DA21" s="88">
        <f>IF(AND(SUP_CONTROL!$C$13=1,SUM($C$21:CZ$21)=0,SUM($C$20:CZ$20)=1,PROD_DEMANDA!CZ13&gt;=SUP_PRODUCCION!$C$67,DA17&gt;=SUP_PRODUCCION!$C$93),1,0)</f>
        <v>0</v>
      </c>
      <c r="DB21" s="88">
        <f>IF(AND(SUP_CONTROL!$C$13=1,SUM($C$21:DA$21)=0,SUM($C$20:DA$20)=1,PROD_DEMANDA!DA13&gt;=SUP_PRODUCCION!$C$67,DB17&gt;=SUP_PRODUCCION!$C$93),1,0)</f>
        <v>0</v>
      </c>
      <c r="DC21" s="88">
        <f>IF(AND(SUP_CONTROL!$C$13=1,SUM($C$21:DB$21)=0,SUM($C$20:DB$20)=1,PROD_DEMANDA!DB13&gt;=SUP_PRODUCCION!$C$67,DC17&gt;=SUP_PRODUCCION!$C$93),1,0)</f>
        <v>0</v>
      </c>
      <c r="DD21" s="88">
        <f>IF(AND(SUP_CONTROL!$C$13=1,SUM($C$21:DC$21)=0,SUM($C$20:DC$20)=1,PROD_DEMANDA!DC13&gt;=SUP_PRODUCCION!$C$67,DD17&gt;=SUP_PRODUCCION!$C$93),1,0)</f>
        <v>0</v>
      </c>
      <c r="DE21" s="88">
        <f>IF(AND(SUP_CONTROL!$C$13=1,SUM($C$21:DD$21)=0,SUM($C$20:DD$20)=1,PROD_DEMANDA!DD13&gt;=SUP_PRODUCCION!$C$67,DE17&gt;=SUP_PRODUCCION!$C$93),1,0)</f>
        <v>0</v>
      </c>
      <c r="DF21" s="88">
        <f>IF(AND(SUP_CONTROL!$C$13=1,SUM($C$21:DE$21)=0,SUM($C$20:DE$20)=1,PROD_DEMANDA!DE13&gt;=SUP_PRODUCCION!$C$67,DF17&gt;=SUP_PRODUCCION!$C$93),1,0)</f>
        <v>0</v>
      </c>
      <c r="DG21" s="88">
        <f>IF(AND(SUP_CONTROL!$C$13=1,SUM($C$21:DF$21)=0,SUM($C$20:DF$20)=1,PROD_DEMANDA!DF13&gt;=SUP_PRODUCCION!$C$67,DG17&gt;=SUP_PRODUCCION!$C$93),1,0)</f>
        <v>0</v>
      </c>
      <c r="DH21" s="88">
        <f>IF(AND(SUP_CONTROL!$C$13=1,SUM($C$21:DG$21)=0,SUM($C$20:DG$20)=1,PROD_DEMANDA!DG13&gt;=SUP_PRODUCCION!$C$67,DH17&gt;=SUP_PRODUCCION!$C$93),1,0)</f>
        <v>0</v>
      </c>
      <c r="DI21" s="88">
        <f>IF(AND(SUP_CONTROL!$C$13=1,SUM($C$21:DH$21)=0,SUM($C$20:DH$20)=1,PROD_DEMANDA!DH13&gt;=SUP_PRODUCCION!$C$67,DI17&gt;=SUP_PRODUCCION!$C$93),1,0)</f>
        <v>0</v>
      </c>
      <c r="DJ21" s="88">
        <f>IF(AND(SUP_CONTROL!$C$13=1,SUM($C$21:DI$21)=0,SUM($C$20:DI$20)=1,PROD_DEMANDA!DI13&gt;=SUP_PRODUCCION!$C$67,DJ17&gt;=SUP_PRODUCCION!$C$93),1,0)</f>
        <v>0</v>
      </c>
      <c r="DK21" s="88">
        <f>IF(AND(SUP_CONTROL!$C$13=1,SUM($C$21:DJ$21)=0,SUM($C$20:DJ$20)=1,PROD_DEMANDA!DJ13&gt;=SUP_PRODUCCION!$C$67,DK17&gt;=SUP_PRODUCCION!$C$93),1,0)</f>
        <v>0</v>
      </c>
      <c r="DL21" s="88">
        <f>IF(AND(SUP_CONTROL!$C$13=1,SUM($C$21:DK$21)=0,SUM($C$20:DK$20)=1,PROD_DEMANDA!DK13&gt;=SUP_PRODUCCION!$C$67,DL17&gt;=SUP_PRODUCCION!$C$93),1,0)</f>
        <v>0</v>
      </c>
      <c r="DM21" s="88">
        <f>IF(AND(SUP_CONTROL!$C$13=1,SUM($C$21:DL$21)=0,SUM($C$20:DL$20)=1,PROD_DEMANDA!DL13&gt;=SUP_PRODUCCION!$C$67,DM17&gt;=SUP_PRODUCCION!$C$93),1,0)</f>
        <v>0</v>
      </c>
      <c r="DN21" s="88">
        <f>IF(AND(SUP_CONTROL!$C$13=1,SUM($C$21:DM$21)=0,SUM($C$20:DM$20)=1,PROD_DEMANDA!DM13&gt;=SUP_PRODUCCION!$C$67,DN17&gt;=SUP_PRODUCCION!$C$93),1,0)</f>
        <v>0</v>
      </c>
      <c r="DO21" s="88">
        <f>IF(AND(SUP_CONTROL!$C$13=1,SUM($C$21:DN$21)=0,SUM($C$20:DN$20)=1,PROD_DEMANDA!DN13&gt;=SUP_PRODUCCION!$C$67,DO17&gt;=SUP_PRODUCCION!$C$93),1,0)</f>
        <v>0</v>
      </c>
      <c r="DP21" s="88">
        <f>IF(AND(SUP_CONTROL!$C$13=1,SUM($C$21:DO$21)=0,SUM($C$20:DO$20)=1,PROD_DEMANDA!DO13&gt;=SUP_PRODUCCION!$C$67,DP17&gt;=SUP_PRODUCCION!$C$93),1,0)</f>
        <v>0</v>
      </c>
      <c r="DQ21" s="88">
        <f>IF(AND(SUP_CONTROL!$C$13=1,SUM($C$21:DP$21)=0,SUM($C$20:DP$20)=1,PROD_DEMANDA!DP13&gt;=SUP_PRODUCCION!$C$67,DQ17&gt;=SUP_PRODUCCION!$C$93),1,0)</f>
        <v>0</v>
      </c>
      <c r="DR21" s="88">
        <f>IF(AND(SUP_CONTROL!$C$13=1,SUM($C$21:DQ$21)=0,SUM($C$20:DQ$20)=1,PROD_DEMANDA!DQ13&gt;=SUP_PRODUCCION!$C$67,DR17&gt;=SUP_PRODUCCION!$C$93),1,0)</f>
        <v>0</v>
      </c>
      <c r="DS21" s="88">
        <f>IF(AND(SUP_CONTROL!$C$13=1,SUM($C$21:DR$21)=0,SUM($C$20:DR$20)=1,PROD_DEMANDA!DR13&gt;=SUP_PRODUCCION!$C$67,DS17&gt;=SUP_PRODUCCION!$C$93),1,0)</f>
        <v>0</v>
      </c>
    </row>
    <row r="22" spans="1:123" ht="15" customHeight="1" x14ac:dyDescent="0.2">
      <c r="B22" s="37" t="s">
        <v>1013</v>
      </c>
      <c r="D22" s="77">
        <f>D19*SUP_PRODUCCION!$C$91+D20*SUP_PRODUCCION!$C$92+D21*SUP_PRODUCCION!$C$93</f>
        <v>0</v>
      </c>
      <c r="E22" s="77">
        <f>E19*SUP_PRODUCCION!$C$91+E20*SUP_PRODUCCION!$C$92+E21*SUP_PRODUCCION!$C$93</f>
        <v>0</v>
      </c>
      <c r="F22" s="77">
        <f>F19*SUP_PRODUCCION!$C$91+F20*SUP_PRODUCCION!$C$92+F21*SUP_PRODUCCION!$C$93</f>
        <v>0</v>
      </c>
      <c r="G22" s="77">
        <f>G19*SUP_PRODUCCION!$C$91+G20*SUP_PRODUCCION!$C$92+G21*SUP_PRODUCCION!$C$93</f>
        <v>0</v>
      </c>
      <c r="H22" s="77">
        <f>H19*SUP_PRODUCCION!$C$91+H20*SUP_PRODUCCION!$C$92+H21*SUP_PRODUCCION!$C$93</f>
        <v>0</v>
      </c>
      <c r="I22" s="77">
        <f>I19*SUP_PRODUCCION!$C$91+I20*SUP_PRODUCCION!$C$92+I21*SUP_PRODUCCION!$C$93</f>
        <v>0</v>
      </c>
      <c r="J22" s="77">
        <f>J19*SUP_PRODUCCION!$C$91+J20*SUP_PRODUCCION!$C$92+J21*SUP_PRODUCCION!$C$93</f>
        <v>0</v>
      </c>
      <c r="K22" s="77">
        <f>K19*SUP_PRODUCCION!$C$91+K20*SUP_PRODUCCION!$C$92+K21*SUP_PRODUCCION!$C$93</f>
        <v>0</v>
      </c>
      <c r="L22" s="77">
        <f>L19*SUP_PRODUCCION!$C$91+L20*SUP_PRODUCCION!$C$92+L21*SUP_PRODUCCION!$C$93</f>
        <v>0</v>
      </c>
      <c r="M22" s="77">
        <f>M19*SUP_PRODUCCION!$C$91+M20*SUP_PRODUCCION!$C$92+M21*SUP_PRODUCCION!$C$93</f>
        <v>0</v>
      </c>
      <c r="N22" s="77">
        <f>N19*SUP_PRODUCCION!$C$91+N20*SUP_PRODUCCION!$C$92+N21*SUP_PRODUCCION!$C$93</f>
        <v>0</v>
      </c>
      <c r="O22" s="77">
        <f>O19*SUP_PRODUCCION!$C$91+O20*SUP_PRODUCCION!$C$92+O21*SUP_PRODUCCION!$C$93</f>
        <v>0</v>
      </c>
      <c r="P22" s="77">
        <f>P19*SUP_PRODUCCION!$C$91+P20*SUP_PRODUCCION!$C$92+P21*SUP_PRODUCCION!$C$93</f>
        <v>0</v>
      </c>
      <c r="Q22" s="77">
        <f>Q19*SUP_PRODUCCION!$C$91+Q20*SUP_PRODUCCION!$C$92+Q21*SUP_PRODUCCION!$C$93</f>
        <v>0</v>
      </c>
      <c r="R22" s="77">
        <f>R19*SUP_PRODUCCION!$C$91+R20*SUP_PRODUCCION!$C$92+R21*SUP_PRODUCCION!$C$93</f>
        <v>0</v>
      </c>
      <c r="S22" s="77">
        <f>S19*SUP_PRODUCCION!$C$91+S20*SUP_PRODUCCION!$C$92+S21*SUP_PRODUCCION!$C$93</f>
        <v>0</v>
      </c>
      <c r="T22" s="77">
        <f>T19*SUP_PRODUCCION!$C$91+T20*SUP_PRODUCCION!$C$92+T21*SUP_PRODUCCION!$C$93</f>
        <v>0</v>
      </c>
      <c r="U22" s="77">
        <f>U19*SUP_PRODUCCION!$C$91+U20*SUP_PRODUCCION!$C$92+U21*SUP_PRODUCCION!$C$93</f>
        <v>0</v>
      </c>
      <c r="V22" s="77">
        <f>V19*SUP_PRODUCCION!$C$91+V20*SUP_PRODUCCION!$C$92+V21*SUP_PRODUCCION!$C$93</f>
        <v>0</v>
      </c>
      <c r="W22" s="77">
        <f>W19*SUP_PRODUCCION!$C$91+W20*SUP_PRODUCCION!$C$92+W21*SUP_PRODUCCION!$C$93</f>
        <v>0</v>
      </c>
      <c r="X22" s="77">
        <f>X19*SUP_PRODUCCION!$C$91+X20*SUP_PRODUCCION!$C$92+X21*SUP_PRODUCCION!$C$93</f>
        <v>0</v>
      </c>
      <c r="Y22" s="77">
        <f>Y19*SUP_PRODUCCION!$C$91+Y20*SUP_PRODUCCION!$C$92+Y21*SUP_PRODUCCION!$C$93</f>
        <v>0</v>
      </c>
      <c r="Z22" s="77">
        <f>Z19*SUP_PRODUCCION!$C$91+Z20*SUP_PRODUCCION!$C$92+Z21*SUP_PRODUCCION!$C$93</f>
        <v>0</v>
      </c>
      <c r="AA22" s="77">
        <f>AA19*SUP_PRODUCCION!$C$91+AA20*SUP_PRODUCCION!$C$92+AA21*SUP_PRODUCCION!$C$93</f>
        <v>342751.408</v>
      </c>
      <c r="AB22" s="77">
        <f>AB19*SUP_PRODUCCION!$C$91+AB20*SUP_PRODUCCION!$C$92+AB21*SUP_PRODUCCION!$C$93</f>
        <v>0</v>
      </c>
      <c r="AC22" s="77">
        <f>AC19*SUP_PRODUCCION!$C$91+AC20*SUP_PRODUCCION!$C$92+AC21*SUP_PRODUCCION!$C$93</f>
        <v>0</v>
      </c>
      <c r="AD22" s="77">
        <f>AD19*SUP_PRODUCCION!$C$91+AD20*SUP_PRODUCCION!$C$92+AD21*SUP_PRODUCCION!$C$93</f>
        <v>0</v>
      </c>
      <c r="AE22" s="77">
        <f>AE19*SUP_PRODUCCION!$C$91+AE20*SUP_PRODUCCION!$C$92+AE21*SUP_PRODUCCION!$C$93</f>
        <v>0</v>
      </c>
      <c r="AF22" s="77">
        <f>AF19*SUP_PRODUCCION!$C$91+AF20*SUP_PRODUCCION!$C$92+AF21*SUP_PRODUCCION!$C$93</f>
        <v>0</v>
      </c>
      <c r="AG22" s="77">
        <f>AG19*SUP_PRODUCCION!$C$91+AG20*SUP_PRODUCCION!$C$92+AG21*SUP_PRODUCCION!$C$93</f>
        <v>0</v>
      </c>
      <c r="AH22" s="77">
        <f>AH19*SUP_PRODUCCION!$C$91+AH20*SUP_PRODUCCION!$C$92+AH21*SUP_PRODUCCION!$C$93</f>
        <v>0</v>
      </c>
      <c r="AI22" s="77">
        <f>AI19*SUP_PRODUCCION!$C$91+AI20*SUP_PRODUCCION!$C$92+AI21*SUP_PRODUCCION!$C$93</f>
        <v>0</v>
      </c>
      <c r="AJ22" s="77">
        <f>AJ19*SUP_PRODUCCION!$C$91+AJ20*SUP_PRODUCCION!$C$92+AJ21*SUP_PRODUCCION!$C$93</f>
        <v>0</v>
      </c>
      <c r="AK22" s="77">
        <f>AK19*SUP_PRODUCCION!$C$91+AK20*SUP_PRODUCCION!$C$92+AK21*SUP_PRODUCCION!$C$93</f>
        <v>0</v>
      </c>
      <c r="AL22" s="77">
        <f>AL19*SUP_PRODUCCION!$C$91+AL20*SUP_PRODUCCION!$C$92+AL21*SUP_PRODUCCION!$C$93</f>
        <v>0</v>
      </c>
      <c r="AM22" s="77">
        <f>AM19*SUP_PRODUCCION!$C$91+AM20*SUP_PRODUCCION!$C$92+AM21*SUP_PRODUCCION!$C$93</f>
        <v>0</v>
      </c>
      <c r="AN22" s="77">
        <f>AN19*SUP_PRODUCCION!$C$91+AN20*SUP_PRODUCCION!$C$92+AN21*SUP_PRODUCCION!$C$93</f>
        <v>0</v>
      </c>
      <c r="AO22" s="77">
        <f>AO19*SUP_PRODUCCION!$C$91+AO20*SUP_PRODUCCION!$C$92+AO21*SUP_PRODUCCION!$C$93</f>
        <v>0</v>
      </c>
      <c r="AP22" s="77">
        <f>AP19*SUP_PRODUCCION!$C$91+AP20*SUP_PRODUCCION!$C$92+AP21*SUP_PRODUCCION!$C$93</f>
        <v>0</v>
      </c>
      <c r="AQ22" s="77">
        <f>AQ19*SUP_PRODUCCION!$C$91+AQ20*SUP_PRODUCCION!$C$92+AQ21*SUP_PRODUCCION!$C$93</f>
        <v>0</v>
      </c>
      <c r="AR22" s="77">
        <f>AR19*SUP_PRODUCCION!$C$91+AR20*SUP_PRODUCCION!$C$92+AR21*SUP_PRODUCCION!$C$93</f>
        <v>0</v>
      </c>
      <c r="AS22" s="77">
        <f>AS19*SUP_PRODUCCION!$C$91+AS20*SUP_PRODUCCION!$C$92+AS21*SUP_PRODUCCION!$C$93</f>
        <v>0</v>
      </c>
      <c r="AT22" s="77">
        <f>AT19*SUP_PRODUCCION!$C$91+AT20*SUP_PRODUCCION!$C$92+AT21*SUP_PRODUCCION!$C$93</f>
        <v>0</v>
      </c>
      <c r="AU22" s="77">
        <f>AU19*SUP_PRODUCCION!$C$91+AU20*SUP_PRODUCCION!$C$92+AU21*SUP_PRODUCCION!$C$93</f>
        <v>0</v>
      </c>
      <c r="AV22" s="77">
        <f>AV19*SUP_PRODUCCION!$C$91+AV20*SUP_PRODUCCION!$C$92+AV21*SUP_PRODUCCION!$C$93</f>
        <v>0</v>
      </c>
      <c r="AW22" s="77">
        <f>AW19*SUP_PRODUCCION!$C$91+AW20*SUP_PRODUCCION!$C$92+AW21*SUP_PRODUCCION!$C$93</f>
        <v>624713.89599999995</v>
      </c>
      <c r="AX22" s="77">
        <f>AX19*SUP_PRODUCCION!$C$91+AX20*SUP_PRODUCCION!$C$92+AX21*SUP_PRODUCCION!$C$93</f>
        <v>0</v>
      </c>
      <c r="AY22" s="77">
        <f>AY19*SUP_PRODUCCION!$C$91+AY20*SUP_PRODUCCION!$C$92+AY21*SUP_PRODUCCION!$C$93</f>
        <v>0</v>
      </c>
      <c r="AZ22" s="77">
        <f>AZ19*SUP_PRODUCCION!$C$91+AZ20*SUP_PRODUCCION!$C$92+AZ21*SUP_PRODUCCION!$C$93</f>
        <v>0</v>
      </c>
      <c r="BA22" s="77">
        <f>BA19*SUP_PRODUCCION!$C$91+BA20*SUP_PRODUCCION!$C$92+BA21*SUP_PRODUCCION!$C$93</f>
        <v>0</v>
      </c>
      <c r="BB22" s="77">
        <f>BB19*SUP_PRODUCCION!$C$91+BB20*SUP_PRODUCCION!$C$92+BB21*SUP_PRODUCCION!$C$93</f>
        <v>0</v>
      </c>
      <c r="BC22" s="77">
        <f>BC19*SUP_PRODUCCION!$C$91+BC20*SUP_PRODUCCION!$C$92+BC21*SUP_PRODUCCION!$C$93</f>
        <v>0</v>
      </c>
      <c r="BD22" s="77">
        <f>BD19*SUP_PRODUCCION!$C$91+BD20*SUP_PRODUCCION!$C$92+BD21*SUP_PRODUCCION!$C$93</f>
        <v>0</v>
      </c>
      <c r="BE22" s="77">
        <f>BE19*SUP_PRODUCCION!$C$91+BE20*SUP_PRODUCCION!$C$92+BE21*SUP_PRODUCCION!$C$93</f>
        <v>0</v>
      </c>
      <c r="BF22" s="77">
        <f>BF19*SUP_PRODUCCION!$C$91+BF20*SUP_PRODUCCION!$C$92+BF21*SUP_PRODUCCION!$C$93</f>
        <v>0</v>
      </c>
      <c r="BG22" s="77">
        <f>BG19*SUP_PRODUCCION!$C$91+BG20*SUP_PRODUCCION!$C$92+BG21*SUP_PRODUCCION!$C$93</f>
        <v>0</v>
      </c>
      <c r="BH22" s="77">
        <f>BH19*SUP_PRODUCCION!$C$91+BH20*SUP_PRODUCCION!$C$92+BH21*SUP_PRODUCCION!$C$93</f>
        <v>0</v>
      </c>
      <c r="BI22" s="77">
        <f>BI19*SUP_PRODUCCION!$C$91+BI20*SUP_PRODUCCION!$C$92+BI21*SUP_PRODUCCION!$C$93</f>
        <v>0</v>
      </c>
      <c r="BJ22" s="77">
        <f>BJ19*SUP_PRODUCCION!$C$91+BJ20*SUP_PRODUCCION!$C$92+BJ21*SUP_PRODUCCION!$C$93</f>
        <v>0</v>
      </c>
      <c r="BK22" s="77">
        <f>BK19*SUP_PRODUCCION!$C$91+BK20*SUP_PRODUCCION!$C$92+BK21*SUP_PRODUCCION!$C$93</f>
        <v>0</v>
      </c>
      <c r="BL22" s="77">
        <f>BL19*SUP_PRODUCCION!$C$91+BL20*SUP_PRODUCCION!$C$92+BL21*SUP_PRODUCCION!$C$93</f>
        <v>0</v>
      </c>
      <c r="BM22" s="77">
        <f>BM19*SUP_PRODUCCION!$C$91+BM20*SUP_PRODUCCION!$C$92+BM21*SUP_PRODUCCION!$C$93</f>
        <v>0</v>
      </c>
      <c r="BN22" s="77">
        <f>BN19*SUP_PRODUCCION!$C$91+BN20*SUP_PRODUCCION!$C$92+BN21*SUP_PRODUCCION!$C$93</f>
        <v>0</v>
      </c>
      <c r="BO22" s="77">
        <f>BO19*SUP_PRODUCCION!$C$91+BO20*SUP_PRODUCCION!$C$92+BO21*SUP_PRODUCCION!$C$93</f>
        <v>0</v>
      </c>
      <c r="BP22" s="77">
        <f>BP19*SUP_PRODUCCION!$C$91+BP20*SUP_PRODUCCION!$C$92+BP21*SUP_PRODUCCION!$C$93</f>
        <v>0</v>
      </c>
      <c r="BQ22" s="77">
        <f>BQ19*SUP_PRODUCCION!$C$91+BQ20*SUP_PRODUCCION!$C$92+BQ21*SUP_PRODUCCION!$C$93</f>
        <v>0</v>
      </c>
      <c r="BR22" s="77">
        <f>BR19*SUP_PRODUCCION!$C$91+BR20*SUP_PRODUCCION!$C$92+BR21*SUP_PRODUCCION!$C$93</f>
        <v>0</v>
      </c>
      <c r="BS22" s="77">
        <f>BS19*SUP_PRODUCCION!$C$91+BS20*SUP_PRODUCCION!$C$92+BS21*SUP_PRODUCCION!$C$93</f>
        <v>0</v>
      </c>
      <c r="BT22" s="77">
        <f>BT19*SUP_PRODUCCION!$C$91+BT20*SUP_PRODUCCION!$C$92+BT21*SUP_PRODUCCION!$C$93</f>
        <v>0</v>
      </c>
      <c r="BU22" s="77">
        <f>BU19*SUP_PRODUCCION!$C$91+BU20*SUP_PRODUCCION!$C$92+BU21*SUP_PRODUCCION!$C$93</f>
        <v>0</v>
      </c>
      <c r="BV22" s="77">
        <f>BV19*SUP_PRODUCCION!$C$91+BV20*SUP_PRODUCCION!$C$92+BV21*SUP_PRODUCCION!$C$93</f>
        <v>0</v>
      </c>
      <c r="BW22" s="77">
        <f>BW19*SUP_PRODUCCION!$C$91+BW20*SUP_PRODUCCION!$C$92+BW21*SUP_PRODUCCION!$C$93</f>
        <v>0</v>
      </c>
      <c r="BX22" s="77">
        <f>BX19*SUP_PRODUCCION!$C$91+BX20*SUP_PRODUCCION!$C$92+BX21*SUP_PRODUCCION!$C$93</f>
        <v>0</v>
      </c>
      <c r="BY22" s="77">
        <f>BY19*SUP_PRODUCCION!$C$91+BY20*SUP_PRODUCCION!$C$92+BY21*SUP_PRODUCCION!$C$93</f>
        <v>0</v>
      </c>
      <c r="BZ22" s="77">
        <f>BZ19*SUP_PRODUCCION!$C$91+BZ20*SUP_PRODUCCION!$C$92+BZ21*SUP_PRODUCCION!$C$93</f>
        <v>0</v>
      </c>
      <c r="CA22" s="77">
        <f>CA19*SUP_PRODUCCION!$C$91+CA20*SUP_PRODUCCION!$C$92+CA21*SUP_PRODUCCION!$C$93</f>
        <v>0</v>
      </c>
      <c r="CB22" s="77">
        <f>CB19*SUP_PRODUCCION!$C$91+CB20*SUP_PRODUCCION!$C$92+CB21*SUP_PRODUCCION!$C$93</f>
        <v>573713.89599999995</v>
      </c>
      <c r="CC22" s="77">
        <f>CC19*SUP_PRODUCCION!$C$91+CC20*SUP_PRODUCCION!$C$92+CC21*SUP_PRODUCCION!$C$93</f>
        <v>0</v>
      </c>
      <c r="CD22" s="77">
        <f>CD19*SUP_PRODUCCION!$C$91+CD20*SUP_PRODUCCION!$C$92+CD21*SUP_PRODUCCION!$C$93</f>
        <v>0</v>
      </c>
      <c r="CE22" s="77">
        <f>CE19*SUP_PRODUCCION!$C$91+CE20*SUP_PRODUCCION!$C$92+CE21*SUP_PRODUCCION!$C$93</f>
        <v>0</v>
      </c>
      <c r="CF22" s="77">
        <f>CF19*SUP_PRODUCCION!$C$91+CF20*SUP_PRODUCCION!$C$92+CF21*SUP_PRODUCCION!$C$93</f>
        <v>0</v>
      </c>
      <c r="CG22" s="77">
        <f>CG19*SUP_PRODUCCION!$C$91+CG20*SUP_PRODUCCION!$C$92+CG21*SUP_PRODUCCION!$C$93</f>
        <v>0</v>
      </c>
      <c r="CH22" s="77">
        <f>CH19*SUP_PRODUCCION!$C$91+CH20*SUP_PRODUCCION!$C$92+CH21*SUP_PRODUCCION!$C$93</f>
        <v>0</v>
      </c>
      <c r="CI22" s="77">
        <f>CI19*SUP_PRODUCCION!$C$91+CI20*SUP_PRODUCCION!$C$92+CI21*SUP_PRODUCCION!$C$93</f>
        <v>0</v>
      </c>
      <c r="CJ22" s="77">
        <f>CJ19*SUP_PRODUCCION!$C$91+CJ20*SUP_PRODUCCION!$C$92+CJ21*SUP_PRODUCCION!$C$93</f>
        <v>0</v>
      </c>
      <c r="CK22" s="77">
        <f>CK19*SUP_PRODUCCION!$C$91+CK20*SUP_PRODUCCION!$C$92+CK21*SUP_PRODUCCION!$C$93</f>
        <v>0</v>
      </c>
      <c r="CL22" s="77">
        <f>CL19*SUP_PRODUCCION!$C$91+CL20*SUP_PRODUCCION!$C$92+CL21*SUP_PRODUCCION!$C$93</f>
        <v>0</v>
      </c>
      <c r="CM22" s="77">
        <f>CM19*SUP_PRODUCCION!$C$91+CM20*SUP_PRODUCCION!$C$92+CM21*SUP_PRODUCCION!$C$93</f>
        <v>0</v>
      </c>
      <c r="CN22" s="77">
        <f>CN19*SUP_PRODUCCION!$C$91+CN20*SUP_PRODUCCION!$C$92+CN21*SUP_PRODUCCION!$C$93</f>
        <v>0</v>
      </c>
      <c r="CO22" s="77">
        <f>CO19*SUP_PRODUCCION!$C$91+CO20*SUP_PRODUCCION!$C$92+CO21*SUP_PRODUCCION!$C$93</f>
        <v>0</v>
      </c>
      <c r="CP22" s="77">
        <f>CP19*SUP_PRODUCCION!$C$91+CP20*SUP_PRODUCCION!$C$92+CP21*SUP_PRODUCCION!$C$93</f>
        <v>0</v>
      </c>
      <c r="CQ22" s="77">
        <f>CQ19*SUP_PRODUCCION!$C$91+CQ20*SUP_PRODUCCION!$C$92+CQ21*SUP_PRODUCCION!$C$93</f>
        <v>0</v>
      </c>
      <c r="CR22" s="77">
        <f>CR19*SUP_PRODUCCION!$C$91+CR20*SUP_PRODUCCION!$C$92+CR21*SUP_PRODUCCION!$C$93</f>
        <v>0</v>
      </c>
      <c r="CS22" s="77">
        <f>CS19*SUP_PRODUCCION!$C$91+CS20*SUP_PRODUCCION!$C$92+CS21*SUP_PRODUCCION!$C$93</f>
        <v>0</v>
      </c>
      <c r="CT22" s="77">
        <f>CT19*SUP_PRODUCCION!$C$91+CT20*SUP_PRODUCCION!$C$92+CT21*SUP_PRODUCCION!$C$93</f>
        <v>0</v>
      </c>
      <c r="CU22" s="77">
        <f>CU19*SUP_PRODUCCION!$C$91+CU20*SUP_PRODUCCION!$C$92+CU21*SUP_PRODUCCION!$C$93</f>
        <v>0</v>
      </c>
      <c r="CV22" s="77">
        <f>CV19*SUP_PRODUCCION!$C$91+CV20*SUP_PRODUCCION!$C$92+CV21*SUP_PRODUCCION!$C$93</f>
        <v>0</v>
      </c>
      <c r="CW22" s="77">
        <f>CW19*SUP_PRODUCCION!$C$91+CW20*SUP_PRODUCCION!$C$92+CW21*SUP_PRODUCCION!$C$93</f>
        <v>0</v>
      </c>
      <c r="CX22" s="77">
        <f>CX19*SUP_PRODUCCION!$C$91+CX20*SUP_PRODUCCION!$C$92+CX21*SUP_PRODUCCION!$C$93</f>
        <v>0</v>
      </c>
      <c r="CY22" s="77">
        <f>CY19*SUP_PRODUCCION!$C$91+CY20*SUP_PRODUCCION!$C$92+CY21*SUP_PRODUCCION!$C$93</f>
        <v>0</v>
      </c>
      <c r="CZ22" s="77">
        <f>CZ19*SUP_PRODUCCION!$C$91+CZ20*SUP_PRODUCCION!$C$92+CZ21*SUP_PRODUCCION!$C$93</f>
        <v>0</v>
      </c>
      <c r="DA22" s="77">
        <f>DA19*SUP_PRODUCCION!$C$91+DA20*SUP_PRODUCCION!$C$92+DA21*SUP_PRODUCCION!$C$93</f>
        <v>0</v>
      </c>
      <c r="DB22" s="77">
        <f>DB19*SUP_PRODUCCION!$C$91+DB20*SUP_PRODUCCION!$C$92+DB21*SUP_PRODUCCION!$C$93</f>
        <v>0</v>
      </c>
      <c r="DC22" s="77">
        <f>DC19*SUP_PRODUCCION!$C$91+DC20*SUP_PRODUCCION!$C$92+DC21*SUP_PRODUCCION!$C$93</f>
        <v>0</v>
      </c>
      <c r="DD22" s="77">
        <f>DD19*SUP_PRODUCCION!$C$91+DD20*SUP_PRODUCCION!$C$92+DD21*SUP_PRODUCCION!$C$93</f>
        <v>0</v>
      </c>
      <c r="DE22" s="77">
        <f>DE19*SUP_PRODUCCION!$C$91+DE20*SUP_PRODUCCION!$C$92+DE21*SUP_PRODUCCION!$C$93</f>
        <v>0</v>
      </c>
      <c r="DF22" s="77">
        <f>DF19*SUP_PRODUCCION!$C$91+DF20*SUP_PRODUCCION!$C$92+DF21*SUP_PRODUCCION!$C$93</f>
        <v>0</v>
      </c>
      <c r="DG22" s="77">
        <f>DG19*SUP_PRODUCCION!$C$91+DG20*SUP_PRODUCCION!$C$92+DG21*SUP_PRODUCCION!$C$93</f>
        <v>0</v>
      </c>
      <c r="DH22" s="77">
        <f>DH19*SUP_PRODUCCION!$C$91+DH20*SUP_PRODUCCION!$C$92+DH21*SUP_PRODUCCION!$C$93</f>
        <v>0</v>
      </c>
      <c r="DI22" s="77">
        <f>DI19*SUP_PRODUCCION!$C$91+DI20*SUP_PRODUCCION!$C$92+DI21*SUP_PRODUCCION!$C$93</f>
        <v>0</v>
      </c>
      <c r="DJ22" s="77">
        <f>DJ19*SUP_PRODUCCION!$C$91+DJ20*SUP_PRODUCCION!$C$92+DJ21*SUP_PRODUCCION!$C$93</f>
        <v>0</v>
      </c>
      <c r="DK22" s="77">
        <f>DK19*SUP_PRODUCCION!$C$91+DK20*SUP_PRODUCCION!$C$92+DK21*SUP_PRODUCCION!$C$93</f>
        <v>0</v>
      </c>
      <c r="DL22" s="77">
        <f>DL19*SUP_PRODUCCION!$C$91+DL20*SUP_PRODUCCION!$C$92+DL21*SUP_PRODUCCION!$C$93</f>
        <v>0</v>
      </c>
      <c r="DM22" s="77">
        <f>DM19*SUP_PRODUCCION!$C$91+DM20*SUP_PRODUCCION!$C$92+DM21*SUP_PRODUCCION!$C$93</f>
        <v>0</v>
      </c>
      <c r="DN22" s="77">
        <f>DN19*SUP_PRODUCCION!$C$91+DN20*SUP_PRODUCCION!$C$92+DN21*SUP_PRODUCCION!$C$93</f>
        <v>0</v>
      </c>
      <c r="DO22" s="77">
        <f>DO19*SUP_PRODUCCION!$C$91+DO20*SUP_PRODUCCION!$C$92+DO21*SUP_PRODUCCION!$C$93</f>
        <v>0</v>
      </c>
      <c r="DP22" s="77">
        <f>DP19*SUP_PRODUCCION!$C$91+DP20*SUP_PRODUCCION!$C$92+DP21*SUP_PRODUCCION!$C$93</f>
        <v>0</v>
      </c>
      <c r="DQ22" s="77">
        <f>DQ19*SUP_PRODUCCION!$C$91+DQ20*SUP_PRODUCCION!$C$92+DQ21*SUP_PRODUCCION!$C$93</f>
        <v>0</v>
      </c>
      <c r="DR22" s="77">
        <f>DR19*SUP_PRODUCCION!$C$91+DR20*SUP_PRODUCCION!$C$92+DR21*SUP_PRODUCCION!$C$93</f>
        <v>0</v>
      </c>
      <c r="DS22" s="77">
        <f>DS19*SUP_PRODUCCION!$C$91+DS20*SUP_PRODUCCION!$C$92+DS21*SUP_PRODUCCION!$C$93</f>
        <v>0</v>
      </c>
    </row>
    <row r="23" spans="1:123" ht="15" customHeight="1" x14ac:dyDescent="0.2">
      <c r="A23" s="25" t="s">
        <v>1014</v>
      </c>
      <c r="B23" s="26"/>
      <c r="C23" s="26"/>
    </row>
    <row r="24" spans="1:123" ht="15" customHeight="1" x14ac:dyDescent="0.2">
      <c r="B24" s="37" t="s">
        <v>1015</v>
      </c>
      <c r="D24" s="88">
        <f>IF(AND(SUP_CONTROL!$C$13=1,C25&lt;$C$32,D17-D22&gt;=D27,OR(PROD_DEMANDA!C13&lt;SUP_PRODUCCION!$C$67,SUM($C$21:C$21)=1)),1,0)</f>
        <v>0</v>
      </c>
      <c r="E24" s="88">
        <f>IF(AND(SUP_CONTROL!$C$13=1,D25&lt;$C$32,E17-E22&gt;=E27,OR(PROD_DEMANDA!D13&lt;SUP_PRODUCCION!$C$67,SUM($C$21:D$21)=1)),1,0)</f>
        <v>0</v>
      </c>
      <c r="F24" s="88">
        <f>IF(AND(SUP_CONTROL!$C$13=1,E25&lt;$C$32,F17-F22&gt;=F27,OR(PROD_DEMANDA!E13&lt;SUP_PRODUCCION!$C$67,SUM($C$21:E$21)=1)),1,0)</f>
        <v>0</v>
      </c>
      <c r="G24" s="88">
        <f>IF(AND(SUP_CONTROL!$C$13=1,F25&lt;$C$32,G17-G22&gt;=G27,OR(PROD_DEMANDA!F13&lt;SUP_PRODUCCION!$C$67,SUM($C$21:F$21)=1)),1,0)</f>
        <v>0</v>
      </c>
      <c r="H24" s="88">
        <f>IF(AND(SUP_CONTROL!$C$13=1,G25&lt;$C$32,H17-H22&gt;=H27,OR(PROD_DEMANDA!G13&lt;SUP_PRODUCCION!$C$67,SUM($C$21:G$21)=1)),1,0)</f>
        <v>0</v>
      </c>
      <c r="I24" s="88">
        <f>IF(AND(SUP_CONTROL!$C$13=1,H25&lt;$C$32,I17-I22&gt;=I27,OR(PROD_DEMANDA!H13&lt;SUP_PRODUCCION!$C$67,SUM($C$21:H$21)=1)),1,0)</f>
        <v>0</v>
      </c>
      <c r="J24" s="88">
        <f>IF(AND(SUP_CONTROL!$C$13=1,I25&lt;$C$32,J17-J22&gt;=J27,OR(PROD_DEMANDA!I13&lt;SUP_PRODUCCION!$C$67,SUM($C$21:I$21)=1)),1,0)</f>
        <v>0</v>
      </c>
      <c r="K24" s="88">
        <f>IF(AND(SUP_CONTROL!$C$13=1,J25&lt;$C$32,K17-K22&gt;=K27,OR(PROD_DEMANDA!J13&lt;SUP_PRODUCCION!$C$67,SUM($C$21:J$21)=1)),1,0)</f>
        <v>0</v>
      </c>
      <c r="L24" s="88">
        <f>IF(AND(SUP_CONTROL!$C$13=1,K25&lt;$C$32,L17-L22&gt;=L27,OR(PROD_DEMANDA!K13&lt;SUP_PRODUCCION!$C$67,SUM($C$21:K$21)=1)),1,0)</f>
        <v>0</v>
      </c>
      <c r="M24" s="88">
        <f>IF(AND(SUP_CONTROL!$C$13=1,L25&lt;$C$32,M17-M22&gt;=M27,OR(PROD_DEMANDA!L13&lt;SUP_PRODUCCION!$C$67,SUM($C$21:L$21)=1)),1,0)</f>
        <v>0</v>
      </c>
      <c r="N24" s="88">
        <f>IF(AND(SUP_CONTROL!$C$13=1,M25&lt;$C$32,N17-N22&gt;=N27,OR(PROD_DEMANDA!M13&lt;SUP_PRODUCCION!$C$67,SUM($C$21:M$21)=1)),1,0)</f>
        <v>0</v>
      </c>
      <c r="O24" s="88">
        <f>IF(AND(SUP_CONTROL!$C$13=1,N25&lt;$C$32,O17-O22&gt;=O27,OR(PROD_DEMANDA!N13&lt;SUP_PRODUCCION!$C$67,SUM($C$21:N$21)=1)),1,0)</f>
        <v>0</v>
      </c>
      <c r="P24" s="88">
        <f>IF(AND(SUP_CONTROL!$C$13=1,O25&lt;$C$32,P17-P22&gt;=P27,OR(PROD_DEMANDA!O13&lt;SUP_PRODUCCION!$C$67,SUM($C$21:O$21)=1)),1,0)</f>
        <v>0</v>
      </c>
      <c r="Q24" s="88">
        <f>IF(AND(SUP_CONTROL!$C$13=1,P25&lt;$C$32,Q17-Q22&gt;=Q27,OR(PROD_DEMANDA!P13&lt;SUP_PRODUCCION!$C$67,SUM($C$21:P$21)=1)),1,0)</f>
        <v>1</v>
      </c>
      <c r="R24" s="88">
        <f>IF(AND(SUP_CONTROL!$C$13=1,Q25&lt;$C$32,R17-R22&gt;=R27,OR(PROD_DEMANDA!Q13&lt;SUP_PRODUCCION!$C$67,SUM($C$21:Q$21)=1)),1,0)</f>
        <v>0</v>
      </c>
      <c r="S24" s="88">
        <f>IF(AND(SUP_CONTROL!$C$13=1,R25&lt;$C$32,S17-S22&gt;=S27,OR(PROD_DEMANDA!R13&lt;SUP_PRODUCCION!$C$67,SUM($C$21:R$21)=1)),1,0)</f>
        <v>1</v>
      </c>
      <c r="T24" s="88">
        <f>IF(AND(SUP_CONTROL!$C$13=1,S25&lt;$C$32,T17-T22&gt;=T27,OR(PROD_DEMANDA!S13&lt;SUP_PRODUCCION!$C$67,SUM($C$21:S$21)=1)),1,0)</f>
        <v>1</v>
      </c>
      <c r="U24" s="88">
        <f>IF(AND(SUP_CONTROL!$C$13=1,T25&lt;$C$32,U17-U22&gt;=U27,OR(PROD_DEMANDA!T13&lt;SUP_PRODUCCION!$C$67,SUM($C$21:T$21)=1)),1,0)</f>
        <v>0</v>
      </c>
      <c r="V24" s="88">
        <f>IF(AND(SUP_CONTROL!$C$13=1,U25&lt;$C$32,V17-V22&gt;=V27,OR(PROD_DEMANDA!U13&lt;SUP_PRODUCCION!$C$67,SUM($C$21:U$21)=1)),1,0)</f>
        <v>0</v>
      </c>
      <c r="W24" s="88">
        <f>IF(AND(SUP_CONTROL!$C$13=1,V25&lt;$C$32,W17-W22&gt;=W27,OR(PROD_DEMANDA!V13&lt;SUP_PRODUCCION!$C$67,SUM($C$21:V$21)=1)),1,0)</f>
        <v>0</v>
      </c>
      <c r="X24" s="88">
        <f>IF(AND(SUP_CONTROL!$C$13=1,W25&lt;$C$32,X17-X22&gt;=X27,OR(PROD_DEMANDA!W13&lt;SUP_PRODUCCION!$C$67,SUM($C$21:W$21)=1)),1,0)</f>
        <v>0</v>
      </c>
      <c r="Y24" s="88">
        <f>IF(AND(SUP_CONTROL!$C$13=1,X25&lt;$C$32,Y17-Y22&gt;=Y27,OR(PROD_DEMANDA!X13&lt;SUP_PRODUCCION!$C$67,SUM($C$21:X$21)=1)),1,0)</f>
        <v>0</v>
      </c>
      <c r="Z24" s="88">
        <f>IF(AND(SUP_CONTROL!$C$13=1,Y25&lt;$C$32,Z17-Z22&gt;=Z27,OR(PROD_DEMANDA!Y13&lt;SUP_PRODUCCION!$C$67,SUM($C$21:Y$21)=1)),1,0)</f>
        <v>0</v>
      </c>
      <c r="AA24" s="88">
        <f>IF(AND(SUP_CONTROL!$C$13=1,Z25&lt;$C$32,AA17-AA22&gt;=AA27,OR(PROD_DEMANDA!Z13&lt;SUP_PRODUCCION!$C$67,SUM($C$21:Z$21)=1)),1,0)</f>
        <v>0</v>
      </c>
      <c r="AB24" s="88">
        <f>IF(AND(SUP_CONTROL!$C$13=1,AA25&lt;$C$32,AB17-AB22&gt;=AB27,OR(PROD_DEMANDA!AA13&lt;SUP_PRODUCCION!$C$67,SUM($C$21:AA$21)=1)),1,0)</f>
        <v>0</v>
      </c>
      <c r="AC24" s="88">
        <f>IF(AND(SUP_CONTROL!$C$13=1,AB25&lt;$C$32,AC17-AC22&gt;=AC27,OR(PROD_DEMANDA!AB13&lt;SUP_PRODUCCION!$C$67,SUM($C$21:AB$21)=1)),1,0)</f>
        <v>1</v>
      </c>
      <c r="AD24" s="88">
        <f>IF(AND(SUP_CONTROL!$C$13=1,AC25&lt;$C$32,AD17-AD22&gt;=AD27,OR(PROD_DEMANDA!AC13&lt;SUP_PRODUCCION!$C$67,SUM($C$21:AC$21)=1)),1,0)</f>
        <v>1</v>
      </c>
      <c r="AE24" s="88">
        <f>IF(AND(SUP_CONTROL!$C$13=1,AD25&lt;$C$32,AE17-AE22&gt;=AE27,OR(PROD_DEMANDA!AD13&lt;SUP_PRODUCCION!$C$67,SUM($C$21:AD$21)=1)),1,0)</f>
        <v>0</v>
      </c>
      <c r="AF24" s="88">
        <f>IF(AND(SUP_CONTROL!$C$13=1,AE25&lt;$C$32,AF17-AF22&gt;=AF27,OR(PROD_DEMANDA!AE13&lt;SUP_PRODUCCION!$C$67,SUM($C$21:AE$21)=1)),1,0)</f>
        <v>1</v>
      </c>
      <c r="AG24" s="88">
        <f>IF(AND(SUP_CONTROL!$C$13=1,AF25&lt;$C$32,AG17-AG22&gt;=AG27,OR(PROD_DEMANDA!AF13&lt;SUP_PRODUCCION!$C$67,SUM($C$21:AF$21)=1)),1,0)</f>
        <v>1</v>
      </c>
      <c r="AH24" s="88">
        <f>IF(AND(SUP_CONTROL!$C$13=1,AG25&lt;$C$32,AH17-AH22&gt;=AH27,OR(PROD_DEMANDA!AG13&lt;SUP_PRODUCCION!$C$67,SUM($C$21:AG$21)=1)),1,0)</f>
        <v>0</v>
      </c>
      <c r="AI24" s="88">
        <f>IF(AND(SUP_CONTROL!$C$13=1,AH25&lt;$C$32,AI17-AI22&gt;=AI27,OR(PROD_DEMANDA!AH13&lt;SUP_PRODUCCION!$C$67,SUM($C$21:AH$21)=1)),1,0)</f>
        <v>0</v>
      </c>
      <c r="AJ24" s="88">
        <f>IF(AND(SUP_CONTROL!$C$13=1,AI25&lt;$C$32,AJ17-AJ22&gt;=AJ27,OR(PROD_DEMANDA!AI13&lt;SUP_PRODUCCION!$C$67,SUM($C$21:AI$21)=1)),1,0)</f>
        <v>1</v>
      </c>
      <c r="AK24" s="88">
        <f>IF(AND(SUP_CONTROL!$C$13=1,AJ25&lt;$C$32,AK17-AK22&gt;=AK27,OR(PROD_DEMANDA!AJ13&lt;SUP_PRODUCCION!$C$67,SUM($C$21:AJ$21)=1)),1,0)</f>
        <v>1</v>
      </c>
      <c r="AL24" s="88">
        <f>IF(AND(SUP_CONTROL!$C$13=1,AK25&lt;$C$32,AL17-AL22&gt;=AL27,OR(PROD_DEMANDA!AK13&lt;SUP_PRODUCCION!$C$67,SUM($C$21:AK$21)=1)),1,0)</f>
        <v>1</v>
      </c>
      <c r="AM24" s="88">
        <f>IF(AND(SUP_CONTROL!$C$13=1,AL25&lt;$C$32,AM17-AM22&gt;=AM27,OR(PROD_DEMANDA!AL13&lt;SUP_PRODUCCION!$C$67,SUM($C$21:AL$21)=1)),1,0)</f>
        <v>1</v>
      </c>
      <c r="AN24" s="88">
        <f>IF(AND(SUP_CONTROL!$C$13=1,AM25&lt;$C$32,AN17-AN22&gt;=AN27,OR(PROD_DEMANDA!AM13&lt;SUP_PRODUCCION!$C$67,SUM($C$21:AM$21)=1)),1,0)</f>
        <v>0</v>
      </c>
      <c r="AO24" s="88">
        <f>IF(AND(SUP_CONTROL!$C$13=1,AN25&lt;$C$32,AO17-AO22&gt;=AO27,OR(PROD_DEMANDA!AN13&lt;SUP_PRODUCCION!$C$67,SUM($C$21:AN$21)=1)),1,0)</f>
        <v>1</v>
      </c>
      <c r="AP24" s="88">
        <f>IF(AND(SUP_CONTROL!$C$13=1,AO25&lt;$C$32,AP17-AP22&gt;=AP27,OR(PROD_DEMANDA!AO13&lt;SUP_PRODUCCION!$C$67,SUM($C$21:AO$21)=1)),1,0)</f>
        <v>0</v>
      </c>
      <c r="AQ24" s="88">
        <f>IF(AND(SUP_CONTROL!$C$13=1,AP25&lt;$C$32,AQ17-AQ22&gt;=AQ27,OR(PROD_DEMANDA!AP13&lt;SUP_PRODUCCION!$C$67,SUM($C$21:AP$21)=1)),1,0)</f>
        <v>1</v>
      </c>
      <c r="AR24" s="88">
        <f>IF(AND(SUP_CONTROL!$C$13=1,AQ25&lt;$C$32,AR17-AR22&gt;=AR27,OR(PROD_DEMANDA!AQ13&lt;SUP_PRODUCCION!$C$67,SUM($C$21:AQ$21)=1)),1,0)</f>
        <v>1</v>
      </c>
      <c r="AS24" s="88">
        <f>IF(AND(SUP_CONTROL!$C$13=1,AR25&lt;$C$32,AS17-AS22&gt;=AS27,OR(PROD_DEMANDA!AR13&lt;SUP_PRODUCCION!$C$67,SUM($C$21:AR$21)=1)),1,0)</f>
        <v>0</v>
      </c>
      <c r="AT24" s="88">
        <f>IF(AND(SUP_CONTROL!$C$13=1,AS25&lt;$C$32,AT17-AT22&gt;=AT27,OR(PROD_DEMANDA!AS13&lt;SUP_PRODUCCION!$C$67,SUM($C$21:AS$21)=1)),1,0)</f>
        <v>0</v>
      </c>
      <c r="AU24" s="88">
        <f>IF(AND(SUP_CONTROL!$C$13=1,AT25&lt;$C$32,AU17-AU22&gt;=AU27,OR(PROD_DEMANDA!AT13&lt;SUP_PRODUCCION!$C$67,SUM($C$21:AT$21)=1)),1,0)</f>
        <v>0</v>
      </c>
      <c r="AV24" s="88">
        <f>IF(AND(SUP_CONTROL!$C$13=1,AU25&lt;$C$32,AV17-AV22&gt;=AV27,OR(PROD_DEMANDA!AU13&lt;SUP_PRODUCCION!$C$67,SUM($C$21:AU$21)=1)),1,0)</f>
        <v>0</v>
      </c>
      <c r="AW24" s="88">
        <f>IF(AND(SUP_CONTROL!$C$13=1,AV25&lt;$C$32,AW17-AW22&gt;=AW27,OR(PROD_DEMANDA!AV13&lt;SUP_PRODUCCION!$C$67,SUM($C$21:AV$21)=1)),1,0)</f>
        <v>0</v>
      </c>
      <c r="AX24" s="88">
        <f>IF(AND(SUP_CONTROL!$C$13=1,AW25&lt;$C$32,AX17-AX22&gt;=AX27,OR(PROD_DEMANDA!AW13&lt;SUP_PRODUCCION!$C$67,SUM($C$21:AW$21)=1)),1,0)</f>
        <v>0</v>
      </c>
      <c r="AY24" s="88">
        <f>IF(AND(SUP_CONTROL!$C$13=1,AX25&lt;$C$32,AY17-AY22&gt;=AY27,OR(PROD_DEMANDA!AX13&lt;SUP_PRODUCCION!$C$67,SUM($C$21:AX$21)=1)),1,0)</f>
        <v>0</v>
      </c>
      <c r="AZ24" s="88">
        <f>IF(AND(SUP_CONTROL!$C$13=1,AY25&lt;$C$32,AZ17-AZ22&gt;=AZ27,OR(PROD_DEMANDA!AY13&lt;SUP_PRODUCCION!$C$67,SUM($C$21:AY$21)=1)),1,0)</f>
        <v>0</v>
      </c>
      <c r="BA24" s="88">
        <f>IF(AND(SUP_CONTROL!$C$13=1,AZ25&lt;$C$32,BA17-BA22&gt;=BA27,OR(PROD_DEMANDA!AZ13&lt;SUP_PRODUCCION!$C$67,SUM($C$21:AZ$21)=1)),1,0)</f>
        <v>1</v>
      </c>
      <c r="BB24" s="88">
        <f>IF(AND(SUP_CONTROL!$C$13=1,BA25&lt;$C$32,BB17-BB22&gt;=BB27,OR(PROD_DEMANDA!BA13&lt;SUP_PRODUCCION!$C$67,SUM($C$21:BA$21)=1)),1,0)</f>
        <v>1</v>
      </c>
      <c r="BC24" s="88">
        <f>IF(AND(SUP_CONTROL!$C$13=1,BB25&lt;$C$32,BC17-BC22&gt;=BC27,OR(PROD_DEMANDA!BB13&lt;SUP_PRODUCCION!$C$67,SUM($C$21:BB$21)=1)),1,0)</f>
        <v>1</v>
      </c>
      <c r="BD24" s="88">
        <f>IF(AND(SUP_CONTROL!$C$13=1,BC25&lt;$C$32,BD17-BD22&gt;=BD27,OR(PROD_DEMANDA!BC13&lt;SUP_PRODUCCION!$C$67,SUM($C$21:BC$21)=1)),1,0)</f>
        <v>1</v>
      </c>
      <c r="BE24" s="88">
        <f>IF(AND(SUP_CONTROL!$C$13=1,BD25&lt;$C$32,BE17-BE22&gt;=BE27,OR(PROD_DEMANDA!BD13&lt;SUP_PRODUCCION!$C$67,SUM($C$21:BD$21)=1)),1,0)</f>
        <v>1</v>
      </c>
      <c r="BF24" s="88">
        <f>IF(AND(SUP_CONTROL!$C$13=1,BE25&lt;$C$32,BF17-BF22&gt;=BF27,OR(PROD_DEMANDA!BE13&lt;SUP_PRODUCCION!$C$67,SUM($C$21:BE$21)=1)),1,0)</f>
        <v>1</v>
      </c>
      <c r="BG24" s="88">
        <f>IF(AND(SUP_CONTROL!$C$13=1,BF25&lt;$C$32,BG17-BG22&gt;=BG27,OR(PROD_DEMANDA!BF13&lt;SUP_PRODUCCION!$C$67,SUM($C$21:BF$21)=1)),1,0)</f>
        <v>1</v>
      </c>
      <c r="BH24" s="88">
        <f>IF(AND(SUP_CONTROL!$C$13=1,BG25&lt;$C$32,BH17-BH22&gt;=BH27,OR(PROD_DEMANDA!BG13&lt;SUP_PRODUCCION!$C$67,SUM($C$21:BG$21)=1)),1,0)</f>
        <v>1</v>
      </c>
      <c r="BI24" s="88">
        <f>IF(AND(SUP_CONTROL!$C$13=1,BH25&lt;$C$32,BI17-BI22&gt;=BI27,OR(PROD_DEMANDA!BH13&lt;SUP_PRODUCCION!$C$67,SUM($C$21:BH$21)=1)),1,0)</f>
        <v>1</v>
      </c>
      <c r="BJ24" s="88">
        <f>IF(AND(SUP_CONTROL!$C$13=1,BI25&lt;$C$32,BJ17-BJ22&gt;=BJ27,OR(PROD_DEMANDA!BI13&lt;SUP_PRODUCCION!$C$67,SUM($C$21:BI$21)=1)),1,0)</f>
        <v>1</v>
      </c>
      <c r="BK24" s="88">
        <f>IF(AND(SUP_CONTROL!$C$13=1,BJ25&lt;$C$32,BK17-BK22&gt;=BK27,OR(PROD_DEMANDA!BJ13&lt;SUP_PRODUCCION!$C$67,SUM($C$21:BJ$21)=1)),1,0)</f>
        <v>1</v>
      </c>
      <c r="BL24" s="88">
        <f>IF(AND(SUP_CONTROL!$C$13=1,BK25&lt;$C$32,BL17-BL22&gt;=BL27,OR(PROD_DEMANDA!BK13&lt;SUP_PRODUCCION!$C$67,SUM($C$21:BK$21)=1)),1,0)</f>
        <v>1</v>
      </c>
      <c r="BM24" s="88">
        <f>IF(AND(SUP_CONTROL!$C$13=1,BL25&lt;$C$32,BM17-BM22&gt;=BM27,OR(PROD_DEMANDA!BL13&lt;SUP_PRODUCCION!$C$67,SUM($C$21:BL$21)=1)),1,0)</f>
        <v>1</v>
      </c>
      <c r="BN24" s="88">
        <f>IF(AND(SUP_CONTROL!$C$13=1,BM25&lt;$C$32,BN17-BN22&gt;=BN27,OR(PROD_DEMANDA!BM13&lt;SUP_PRODUCCION!$C$67,SUM($C$21:BM$21)=1)),1,0)</f>
        <v>1</v>
      </c>
      <c r="BO24" s="88">
        <f>IF(AND(SUP_CONTROL!$C$13=1,BN25&lt;$C$32,BO17-BO22&gt;=BO27,OR(PROD_DEMANDA!BN13&lt;SUP_PRODUCCION!$C$67,SUM($C$21:BN$21)=1)),1,0)</f>
        <v>1</v>
      </c>
      <c r="BP24" s="88">
        <f>IF(AND(SUP_CONTROL!$C$13=1,BO25&lt;$C$32,BP17-BP22&gt;=BP27,OR(PROD_DEMANDA!BO13&lt;SUP_PRODUCCION!$C$67,SUM($C$21:BO$21)=1)),1,0)</f>
        <v>1</v>
      </c>
      <c r="BQ24" s="88">
        <f>IF(AND(SUP_CONTROL!$C$13=1,BP25&lt;$C$32,BQ17-BQ22&gt;=BQ27,OR(PROD_DEMANDA!BP13&lt;SUP_PRODUCCION!$C$67,SUM($C$21:BP$21)=1)),1,0)</f>
        <v>1</v>
      </c>
      <c r="BR24" s="88">
        <f>IF(AND(SUP_CONTROL!$C$13=1,BQ25&lt;$C$32,BR17-BR22&gt;=BR27,OR(PROD_DEMANDA!BQ13&lt;SUP_PRODUCCION!$C$67,SUM($C$21:BQ$21)=1)),1,0)</f>
        <v>1</v>
      </c>
      <c r="BS24" s="88">
        <f>IF(AND(SUP_CONTROL!$C$13=1,BR25&lt;$C$32,BS17-BS22&gt;=BS27,OR(PROD_DEMANDA!BR13&lt;SUP_PRODUCCION!$C$67,SUM($C$21:BR$21)=1)),1,0)</f>
        <v>1</v>
      </c>
      <c r="BT24" s="88">
        <f>IF(AND(SUP_CONTROL!$C$13=1,BS25&lt;$C$32,BT17-BT22&gt;=BT27,OR(PROD_DEMANDA!BS13&lt;SUP_PRODUCCION!$C$67,SUM($C$21:BS$21)=1)),1,0)</f>
        <v>1</v>
      </c>
      <c r="BU24" s="88">
        <f>IF(AND(SUP_CONTROL!$C$13=1,BT25&lt;$C$32,BU17-BU22&gt;=BU27,OR(PROD_DEMANDA!BT13&lt;SUP_PRODUCCION!$C$67,SUM($C$21:BT$21)=1)),1,0)</f>
        <v>1</v>
      </c>
      <c r="BV24" s="88">
        <f>IF(AND(SUP_CONTROL!$C$13=1,BU25&lt;$C$32,BV17-BV22&gt;=BV27,OR(PROD_DEMANDA!BU13&lt;SUP_PRODUCCION!$C$67,SUM($C$21:BU$21)=1)),1,0)</f>
        <v>1</v>
      </c>
      <c r="BW24" s="88">
        <f>IF(AND(SUP_CONTROL!$C$13=1,BV25&lt;$C$32,BW17-BW22&gt;=BW27,OR(PROD_DEMANDA!BV13&lt;SUP_PRODUCCION!$C$67,SUM($C$21:BV$21)=1)),1,0)</f>
        <v>1</v>
      </c>
      <c r="BX24" s="88">
        <f>IF(AND(SUP_CONTROL!$C$13=1,BW25&lt;$C$32,BX17-BX22&gt;=BX27,OR(PROD_DEMANDA!BW13&lt;SUP_PRODUCCION!$C$67,SUM($C$21:BW$21)=1)),1,0)</f>
        <v>1</v>
      </c>
      <c r="BY24" s="88">
        <f>IF(AND(SUP_CONTROL!$C$13=1,BX25&lt;$C$32,BY17-BY22&gt;=BY27,OR(PROD_DEMANDA!BX13&lt;SUP_PRODUCCION!$C$67,SUM($C$21:BX$21)=1)),1,0)</f>
        <v>1</v>
      </c>
      <c r="BZ24" s="88">
        <f>IF(AND(SUP_CONTROL!$C$13=1,BY25&lt;$C$32,BZ17-BZ22&gt;=BZ27,OR(PROD_DEMANDA!BY13&lt;SUP_PRODUCCION!$C$67,SUM($C$21:BY$21)=1)),1,0)</f>
        <v>1</v>
      </c>
      <c r="CA24" s="88">
        <f>IF(AND(SUP_CONTROL!$C$13=1,BZ25&lt;$C$32,CA17-CA22&gt;=CA27,OR(PROD_DEMANDA!BZ13&lt;SUP_PRODUCCION!$C$67,SUM($C$21:BZ$21)=1)),1,0)</f>
        <v>0</v>
      </c>
      <c r="CB24" s="88">
        <f>IF(AND(SUP_CONTROL!$C$13=1,CA25&lt;$C$32,CB17-CB22&gt;=CB27,OR(PROD_DEMANDA!CA13&lt;SUP_PRODUCCION!$C$67,SUM($C$21:CA$21)=1)),1,0)</f>
        <v>0</v>
      </c>
      <c r="CC24" s="88">
        <f>IF(AND(SUP_CONTROL!$C$13=1,CB25&lt;$C$32,CC17-CC22&gt;=CC27,OR(PROD_DEMANDA!CB13&lt;SUP_PRODUCCION!$C$67,SUM($C$21:CB$21)=1)),1,0)</f>
        <v>0</v>
      </c>
      <c r="CD24" s="88">
        <f>IF(AND(SUP_CONTROL!$C$13=1,CC25&lt;$C$32,CD17-CD22&gt;=CD27,OR(PROD_DEMANDA!CC13&lt;SUP_PRODUCCION!$C$67,SUM($C$21:CC$21)=1)),1,0)</f>
        <v>0</v>
      </c>
      <c r="CE24" s="88">
        <f>IF(AND(SUP_CONTROL!$C$13=1,CD25&lt;$C$32,CE17-CE22&gt;=CE27,OR(PROD_DEMANDA!CD13&lt;SUP_PRODUCCION!$C$67,SUM($C$21:CD$21)=1)),1,0)</f>
        <v>0</v>
      </c>
      <c r="CF24" s="88">
        <f>IF(AND(SUP_CONTROL!$C$13=1,CE25&lt;$C$32,CF17-CF22&gt;=CF27,OR(PROD_DEMANDA!CE13&lt;SUP_PRODUCCION!$C$67,SUM($C$21:CE$21)=1)),1,0)</f>
        <v>0</v>
      </c>
      <c r="CG24" s="88">
        <f>IF(AND(SUP_CONTROL!$C$13=1,CF25&lt;$C$32,CG17-CG22&gt;=CG27,OR(PROD_DEMANDA!CF13&lt;SUP_PRODUCCION!$C$67,SUM($C$21:CF$21)=1)),1,0)</f>
        <v>0</v>
      </c>
      <c r="CH24" s="88">
        <f>IF(AND(SUP_CONTROL!$C$13=1,CG25&lt;$C$32,CH17-CH22&gt;=CH27,OR(PROD_DEMANDA!CG13&lt;SUP_PRODUCCION!$C$67,SUM($C$21:CG$21)=1)),1,0)</f>
        <v>0</v>
      </c>
      <c r="CI24" s="88">
        <f>IF(AND(SUP_CONTROL!$C$13=1,CH25&lt;$C$32,CI17-CI22&gt;=CI27,OR(PROD_DEMANDA!CH13&lt;SUP_PRODUCCION!$C$67,SUM($C$21:CH$21)=1)),1,0)</f>
        <v>0</v>
      </c>
      <c r="CJ24" s="88">
        <f>IF(AND(SUP_CONTROL!$C$13=1,CI25&lt;$C$32,CJ17-CJ22&gt;=CJ27,OR(PROD_DEMANDA!CI13&lt;SUP_PRODUCCION!$C$67,SUM($C$21:CI$21)=1)),1,0)</f>
        <v>0</v>
      </c>
      <c r="CK24" s="88">
        <f>IF(AND(SUP_CONTROL!$C$13=1,CJ25&lt;$C$32,CK17-CK22&gt;=CK27,OR(PROD_DEMANDA!CJ13&lt;SUP_PRODUCCION!$C$67,SUM($C$21:CJ$21)=1)),1,0)</f>
        <v>0</v>
      </c>
      <c r="CL24" s="88">
        <f>IF(AND(SUP_CONTROL!$C$13=1,CK25&lt;$C$32,CL17-CL22&gt;=CL27,OR(PROD_DEMANDA!CK13&lt;SUP_PRODUCCION!$C$67,SUM($C$21:CK$21)=1)),1,0)</f>
        <v>0</v>
      </c>
      <c r="CM24" s="88">
        <f>IF(AND(SUP_CONTROL!$C$13=1,CL25&lt;$C$32,CM17-CM22&gt;=CM27,OR(PROD_DEMANDA!CL13&lt;SUP_PRODUCCION!$C$67,SUM($C$21:CL$21)=1)),1,0)</f>
        <v>0</v>
      </c>
      <c r="CN24" s="88">
        <f>IF(AND(SUP_CONTROL!$C$13=1,CM25&lt;$C$32,CN17-CN22&gt;=CN27,OR(PROD_DEMANDA!CM13&lt;SUP_PRODUCCION!$C$67,SUM($C$21:CM$21)=1)),1,0)</f>
        <v>0</v>
      </c>
      <c r="CO24" s="88">
        <f>IF(AND(SUP_CONTROL!$C$13=1,CN25&lt;$C$32,CO17-CO22&gt;=CO27,OR(PROD_DEMANDA!CN13&lt;SUP_PRODUCCION!$C$67,SUM($C$21:CN$21)=1)),1,0)</f>
        <v>0</v>
      </c>
      <c r="CP24" s="88">
        <f>IF(AND(SUP_CONTROL!$C$13=1,CO25&lt;$C$32,CP17-CP22&gt;=CP27,OR(PROD_DEMANDA!CO13&lt;SUP_PRODUCCION!$C$67,SUM($C$21:CO$21)=1)),1,0)</f>
        <v>0</v>
      </c>
      <c r="CQ24" s="88">
        <f>IF(AND(SUP_CONTROL!$C$13=1,CP25&lt;$C$32,CQ17-CQ22&gt;=CQ27,OR(PROD_DEMANDA!CP13&lt;SUP_PRODUCCION!$C$67,SUM($C$21:CP$21)=1)),1,0)</f>
        <v>0</v>
      </c>
      <c r="CR24" s="88">
        <f>IF(AND(SUP_CONTROL!$C$13=1,CQ25&lt;$C$32,CR17-CR22&gt;=CR27,OR(PROD_DEMANDA!CQ13&lt;SUP_PRODUCCION!$C$67,SUM($C$21:CQ$21)=1)),1,0)</f>
        <v>0</v>
      </c>
      <c r="CS24" s="88">
        <f>IF(AND(SUP_CONTROL!$C$13=1,CR25&lt;$C$32,CS17-CS22&gt;=CS27,OR(PROD_DEMANDA!CR13&lt;SUP_PRODUCCION!$C$67,SUM($C$21:CR$21)=1)),1,0)</f>
        <v>0</v>
      </c>
      <c r="CT24" s="88">
        <f>IF(AND(SUP_CONTROL!$C$13=1,CS25&lt;$C$32,CT17-CT22&gt;=CT27,OR(PROD_DEMANDA!CS13&lt;SUP_PRODUCCION!$C$67,SUM($C$21:CS$21)=1)),1,0)</f>
        <v>0</v>
      </c>
      <c r="CU24" s="88">
        <f>IF(AND(SUP_CONTROL!$C$13=1,CT25&lt;$C$32,CU17-CU22&gt;=CU27,OR(PROD_DEMANDA!CT13&lt;SUP_PRODUCCION!$C$67,SUM($C$21:CT$21)=1)),1,0)</f>
        <v>0</v>
      </c>
      <c r="CV24" s="88">
        <f>IF(AND(SUP_CONTROL!$C$13=1,CU25&lt;$C$32,CV17-CV22&gt;=CV27,OR(PROD_DEMANDA!CU13&lt;SUP_PRODUCCION!$C$67,SUM($C$21:CU$21)=1)),1,0)</f>
        <v>0</v>
      </c>
      <c r="CW24" s="88">
        <f>IF(AND(SUP_CONTROL!$C$13=1,CV25&lt;$C$32,CW17-CW22&gt;=CW27,OR(PROD_DEMANDA!CV13&lt;SUP_PRODUCCION!$C$67,SUM($C$21:CV$21)=1)),1,0)</f>
        <v>0</v>
      </c>
      <c r="CX24" s="88">
        <f>IF(AND(SUP_CONTROL!$C$13=1,CW25&lt;$C$32,CX17-CX22&gt;=CX27,OR(PROD_DEMANDA!CW13&lt;SUP_PRODUCCION!$C$67,SUM($C$21:CW$21)=1)),1,0)</f>
        <v>0</v>
      </c>
      <c r="CY24" s="88">
        <f>IF(AND(SUP_CONTROL!$C$13=1,CX25&lt;$C$32,CY17-CY22&gt;=CY27,OR(PROD_DEMANDA!CX13&lt;SUP_PRODUCCION!$C$67,SUM($C$21:CX$21)=1)),1,0)</f>
        <v>0</v>
      </c>
      <c r="CZ24" s="88">
        <f>IF(AND(SUP_CONTROL!$C$13=1,CY25&lt;$C$32,CZ17-CZ22&gt;=CZ27,OR(PROD_DEMANDA!CY13&lt;SUP_PRODUCCION!$C$67,SUM($C$21:CY$21)=1)),1,0)</f>
        <v>0</v>
      </c>
      <c r="DA24" s="88">
        <f>IF(AND(SUP_CONTROL!$C$13=1,CZ25&lt;$C$32,DA17-DA22&gt;=DA27,OR(PROD_DEMANDA!CZ13&lt;SUP_PRODUCCION!$C$67,SUM($C$21:CZ$21)=1)),1,0)</f>
        <v>0</v>
      </c>
      <c r="DB24" s="88">
        <f>IF(AND(SUP_CONTROL!$C$13=1,DA25&lt;$C$32,DB17-DB22&gt;=DB27,OR(PROD_DEMANDA!DA13&lt;SUP_PRODUCCION!$C$67,SUM($C$21:DA$21)=1)),1,0)</f>
        <v>0</v>
      </c>
      <c r="DC24" s="88">
        <f>IF(AND(SUP_CONTROL!$C$13=1,DB25&lt;$C$32,DC17-DC22&gt;=DC27,OR(PROD_DEMANDA!DB13&lt;SUP_PRODUCCION!$C$67,SUM($C$21:DB$21)=1)),1,0)</f>
        <v>0</v>
      </c>
      <c r="DD24" s="88">
        <f>IF(AND(SUP_CONTROL!$C$13=1,DC25&lt;$C$32,DD17-DD22&gt;=DD27,OR(PROD_DEMANDA!DC13&lt;SUP_PRODUCCION!$C$67,SUM($C$21:DC$21)=1)),1,0)</f>
        <v>0</v>
      </c>
      <c r="DE24" s="88">
        <f>IF(AND(SUP_CONTROL!$C$13=1,DD25&lt;$C$32,DE17-DE22&gt;=DE27,OR(PROD_DEMANDA!DD13&lt;SUP_PRODUCCION!$C$67,SUM($C$21:DD$21)=1)),1,0)</f>
        <v>0</v>
      </c>
      <c r="DF24" s="88">
        <f>IF(AND(SUP_CONTROL!$C$13=1,DE25&lt;$C$32,DF17-DF22&gt;=DF27,OR(PROD_DEMANDA!DE13&lt;SUP_PRODUCCION!$C$67,SUM($C$21:DE$21)=1)),1,0)</f>
        <v>0</v>
      </c>
      <c r="DG24" s="88">
        <f>IF(AND(SUP_CONTROL!$C$13=1,DF25&lt;$C$32,DG17-DG22&gt;=DG27,OR(PROD_DEMANDA!DF13&lt;SUP_PRODUCCION!$C$67,SUM($C$21:DF$21)=1)),1,0)</f>
        <v>0</v>
      </c>
      <c r="DH24" s="88">
        <f>IF(AND(SUP_CONTROL!$C$13=1,DG25&lt;$C$32,DH17-DH22&gt;=DH27,OR(PROD_DEMANDA!DG13&lt;SUP_PRODUCCION!$C$67,SUM($C$21:DG$21)=1)),1,0)</f>
        <v>0</v>
      </c>
      <c r="DI24" s="88">
        <f>IF(AND(SUP_CONTROL!$C$13=1,DH25&lt;$C$32,DI17-DI22&gt;=DI27,OR(PROD_DEMANDA!DH13&lt;SUP_PRODUCCION!$C$67,SUM($C$21:DH$21)=1)),1,0)</f>
        <v>0</v>
      </c>
      <c r="DJ24" s="88">
        <f>IF(AND(SUP_CONTROL!$C$13=1,DI25&lt;$C$32,DJ17-DJ22&gt;=DJ27,OR(PROD_DEMANDA!DI13&lt;SUP_PRODUCCION!$C$67,SUM($C$21:DI$21)=1)),1,0)</f>
        <v>0</v>
      </c>
      <c r="DK24" s="88">
        <f>IF(AND(SUP_CONTROL!$C$13=1,DJ25&lt;$C$32,DK17-DK22&gt;=DK27,OR(PROD_DEMANDA!DJ13&lt;SUP_PRODUCCION!$C$67,SUM($C$21:DJ$21)=1)),1,0)</f>
        <v>0</v>
      </c>
      <c r="DL24" s="88">
        <f>IF(AND(SUP_CONTROL!$C$13=1,DK25&lt;$C$32,DL17-DL22&gt;=DL27,OR(PROD_DEMANDA!DK13&lt;SUP_PRODUCCION!$C$67,SUM($C$21:DK$21)=1)),1,0)</f>
        <v>0</v>
      </c>
      <c r="DM24" s="88">
        <f>IF(AND(SUP_CONTROL!$C$13=1,DL25&lt;$C$32,DM17-DM22&gt;=DM27,OR(PROD_DEMANDA!DL13&lt;SUP_PRODUCCION!$C$67,SUM($C$21:DL$21)=1)),1,0)</f>
        <v>0</v>
      </c>
      <c r="DN24" s="88">
        <f>IF(AND(SUP_CONTROL!$C$13=1,DM25&lt;$C$32,DN17-DN22&gt;=DN27,OR(PROD_DEMANDA!DM13&lt;SUP_PRODUCCION!$C$67,SUM($C$21:DM$21)=1)),1,0)</f>
        <v>0</v>
      </c>
      <c r="DO24" s="88">
        <f>IF(AND(SUP_CONTROL!$C$13=1,DN25&lt;$C$32,DO17-DO22&gt;=DO27,OR(PROD_DEMANDA!DN13&lt;SUP_PRODUCCION!$C$67,SUM($C$21:DN$21)=1)),1,0)</f>
        <v>0</v>
      </c>
      <c r="DP24" s="88">
        <f>IF(AND(SUP_CONTROL!$C$13=1,DO25&lt;$C$32,DP17-DP22&gt;=DP27,OR(PROD_DEMANDA!DO13&lt;SUP_PRODUCCION!$C$67,SUM($C$21:DO$21)=1)),1,0)</f>
        <v>0</v>
      </c>
      <c r="DQ24" s="88">
        <f>IF(AND(SUP_CONTROL!$C$13=1,DP25&lt;$C$32,DQ17-DQ22&gt;=DQ27,OR(PROD_DEMANDA!DP13&lt;SUP_PRODUCCION!$C$67,SUM($C$21:DP$21)=1)),1,0)</f>
        <v>0</v>
      </c>
      <c r="DR24" s="88">
        <f>IF(AND(SUP_CONTROL!$C$13=1,DQ25&lt;$C$32,DR17-DR22&gt;=DR27,OR(PROD_DEMANDA!DQ13&lt;SUP_PRODUCCION!$C$67,SUM($C$21:DQ$21)=1)),1,0)</f>
        <v>0</v>
      </c>
      <c r="DS24" s="88">
        <f>IF(AND(SUP_CONTROL!$C$13=1,DR25&lt;$C$32,DS17-DS22&gt;=DS27,OR(PROD_DEMANDA!DR13&lt;SUP_PRODUCCION!$C$67,SUM($C$21:DR$21)=1)),1,0)</f>
        <v>0</v>
      </c>
    </row>
    <row r="25" spans="1:123" ht="15" customHeight="1" x14ac:dyDescent="0.2">
      <c r="B25" s="20" t="s">
        <v>1016</v>
      </c>
      <c r="D25" s="83">
        <f>0</f>
        <v>0</v>
      </c>
      <c r="E25" s="83">
        <f t="shared" ref="E25:AJ25" si="12">D25+E24</f>
        <v>0</v>
      </c>
      <c r="F25" s="83">
        <f t="shared" si="12"/>
        <v>0</v>
      </c>
      <c r="G25" s="83">
        <f t="shared" si="12"/>
        <v>0</v>
      </c>
      <c r="H25" s="83">
        <f t="shared" si="12"/>
        <v>0</v>
      </c>
      <c r="I25" s="83">
        <f t="shared" si="12"/>
        <v>0</v>
      </c>
      <c r="J25" s="83">
        <f t="shared" si="12"/>
        <v>0</v>
      </c>
      <c r="K25" s="83">
        <f t="shared" si="12"/>
        <v>0</v>
      </c>
      <c r="L25" s="83">
        <f t="shared" si="12"/>
        <v>0</v>
      </c>
      <c r="M25" s="83">
        <f t="shared" si="12"/>
        <v>0</v>
      </c>
      <c r="N25" s="83">
        <f t="shared" si="12"/>
        <v>0</v>
      </c>
      <c r="O25" s="83">
        <f t="shared" si="12"/>
        <v>0</v>
      </c>
      <c r="P25" s="83">
        <f t="shared" si="12"/>
        <v>0</v>
      </c>
      <c r="Q25" s="83">
        <f t="shared" si="12"/>
        <v>1</v>
      </c>
      <c r="R25" s="83">
        <f t="shared" si="12"/>
        <v>1</v>
      </c>
      <c r="S25" s="83">
        <f t="shared" si="12"/>
        <v>2</v>
      </c>
      <c r="T25" s="83">
        <f t="shared" si="12"/>
        <v>3</v>
      </c>
      <c r="U25" s="83">
        <f t="shared" si="12"/>
        <v>3</v>
      </c>
      <c r="V25" s="83">
        <f t="shared" si="12"/>
        <v>3</v>
      </c>
      <c r="W25" s="83">
        <f t="shared" si="12"/>
        <v>3</v>
      </c>
      <c r="X25" s="83">
        <f t="shared" si="12"/>
        <v>3</v>
      </c>
      <c r="Y25" s="83">
        <f t="shared" si="12"/>
        <v>3</v>
      </c>
      <c r="Z25" s="83">
        <f t="shared" si="12"/>
        <v>3</v>
      </c>
      <c r="AA25" s="83">
        <f t="shared" si="12"/>
        <v>3</v>
      </c>
      <c r="AB25" s="83">
        <f t="shared" si="12"/>
        <v>3</v>
      </c>
      <c r="AC25" s="83">
        <f t="shared" si="12"/>
        <v>4</v>
      </c>
      <c r="AD25" s="83">
        <f t="shared" si="12"/>
        <v>5</v>
      </c>
      <c r="AE25" s="83">
        <f t="shared" si="12"/>
        <v>5</v>
      </c>
      <c r="AF25" s="83">
        <f t="shared" si="12"/>
        <v>6</v>
      </c>
      <c r="AG25" s="83">
        <f t="shared" si="12"/>
        <v>7</v>
      </c>
      <c r="AH25" s="83">
        <f t="shared" si="12"/>
        <v>7</v>
      </c>
      <c r="AI25" s="83">
        <f t="shared" si="12"/>
        <v>7</v>
      </c>
      <c r="AJ25" s="83">
        <f t="shared" si="12"/>
        <v>8</v>
      </c>
      <c r="AK25" s="83">
        <f t="shared" ref="AK25:BP25" si="13">AJ25+AK24</f>
        <v>9</v>
      </c>
      <c r="AL25" s="83">
        <f t="shared" si="13"/>
        <v>10</v>
      </c>
      <c r="AM25" s="83">
        <f t="shared" si="13"/>
        <v>11</v>
      </c>
      <c r="AN25" s="83">
        <f t="shared" si="13"/>
        <v>11</v>
      </c>
      <c r="AO25" s="83">
        <f t="shared" si="13"/>
        <v>12</v>
      </c>
      <c r="AP25" s="83">
        <f t="shared" si="13"/>
        <v>12</v>
      </c>
      <c r="AQ25" s="83">
        <f t="shared" si="13"/>
        <v>13</v>
      </c>
      <c r="AR25" s="83">
        <f t="shared" si="13"/>
        <v>14</v>
      </c>
      <c r="AS25" s="83">
        <f t="shared" si="13"/>
        <v>14</v>
      </c>
      <c r="AT25" s="83">
        <f t="shared" si="13"/>
        <v>14</v>
      </c>
      <c r="AU25" s="83">
        <f t="shared" si="13"/>
        <v>14</v>
      </c>
      <c r="AV25" s="83">
        <f t="shared" si="13"/>
        <v>14</v>
      </c>
      <c r="AW25" s="83">
        <f t="shared" si="13"/>
        <v>14</v>
      </c>
      <c r="AX25" s="83">
        <f t="shared" si="13"/>
        <v>14</v>
      </c>
      <c r="AY25" s="83">
        <f t="shared" si="13"/>
        <v>14</v>
      </c>
      <c r="AZ25" s="83">
        <f t="shared" si="13"/>
        <v>14</v>
      </c>
      <c r="BA25" s="83">
        <f t="shared" si="13"/>
        <v>15</v>
      </c>
      <c r="BB25" s="83">
        <f t="shared" si="13"/>
        <v>16</v>
      </c>
      <c r="BC25" s="83">
        <f t="shared" si="13"/>
        <v>17</v>
      </c>
      <c r="BD25" s="83">
        <f t="shared" si="13"/>
        <v>18</v>
      </c>
      <c r="BE25" s="83">
        <f t="shared" si="13"/>
        <v>19</v>
      </c>
      <c r="BF25" s="83">
        <f t="shared" si="13"/>
        <v>20</v>
      </c>
      <c r="BG25" s="83">
        <f t="shared" si="13"/>
        <v>21</v>
      </c>
      <c r="BH25" s="83">
        <f t="shared" si="13"/>
        <v>22</v>
      </c>
      <c r="BI25" s="83">
        <f t="shared" si="13"/>
        <v>23</v>
      </c>
      <c r="BJ25" s="83">
        <f t="shared" si="13"/>
        <v>24</v>
      </c>
      <c r="BK25" s="83">
        <f t="shared" si="13"/>
        <v>25</v>
      </c>
      <c r="BL25" s="83">
        <f t="shared" si="13"/>
        <v>26</v>
      </c>
      <c r="BM25" s="83">
        <f t="shared" si="13"/>
        <v>27</v>
      </c>
      <c r="BN25" s="83">
        <f t="shared" si="13"/>
        <v>28</v>
      </c>
      <c r="BO25" s="83">
        <f t="shared" si="13"/>
        <v>29</v>
      </c>
      <c r="BP25" s="83">
        <f t="shared" si="13"/>
        <v>30</v>
      </c>
      <c r="BQ25" s="83">
        <f t="shared" ref="BQ25:CV25" si="14">BP25+BQ24</f>
        <v>31</v>
      </c>
      <c r="BR25" s="83">
        <f t="shared" si="14"/>
        <v>32</v>
      </c>
      <c r="BS25" s="83">
        <f t="shared" si="14"/>
        <v>33</v>
      </c>
      <c r="BT25" s="83">
        <f t="shared" si="14"/>
        <v>34</v>
      </c>
      <c r="BU25" s="83">
        <f t="shared" si="14"/>
        <v>35</v>
      </c>
      <c r="BV25" s="83">
        <f t="shared" si="14"/>
        <v>36</v>
      </c>
      <c r="BW25" s="83">
        <f t="shared" si="14"/>
        <v>37</v>
      </c>
      <c r="BX25" s="83">
        <f t="shared" si="14"/>
        <v>38</v>
      </c>
      <c r="BY25" s="83">
        <f t="shared" si="14"/>
        <v>39</v>
      </c>
      <c r="BZ25" s="83">
        <f t="shared" si="14"/>
        <v>40</v>
      </c>
      <c r="CA25" s="83">
        <f t="shared" si="14"/>
        <v>40</v>
      </c>
      <c r="CB25" s="83">
        <f t="shared" si="14"/>
        <v>40</v>
      </c>
      <c r="CC25" s="83">
        <f t="shared" si="14"/>
        <v>40</v>
      </c>
      <c r="CD25" s="83">
        <f t="shared" si="14"/>
        <v>40</v>
      </c>
      <c r="CE25" s="83">
        <f t="shared" si="14"/>
        <v>40</v>
      </c>
      <c r="CF25" s="83">
        <f t="shared" si="14"/>
        <v>40</v>
      </c>
      <c r="CG25" s="83">
        <f t="shared" si="14"/>
        <v>40</v>
      </c>
      <c r="CH25" s="83">
        <f t="shared" si="14"/>
        <v>40</v>
      </c>
      <c r="CI25" s="83">
        <f t="shared" si="14"/>
        <v>40</v>
      </c>
      <c r="CJ25" s="83">
        <f t="shared" si="14"/>
        <v>40</v>
      </c>
      <c r="CK25" s="83">
        <f t="shared" si="14"/>
        <v>40</v>
      </c>
      <c r="CL25" s="83">
        <f t="shared" si="14"/>
        <v>40</v>
      </c>
      <c r="CM25" s="83">
        <f t="shared" si="14"/>
        <v>40</v>
      </c>
      <c r="CN25" s="83">
        <f t="shared" si="14"/>
        <v>40</v>
      </c>
      <c r="CO25" s="83">
        <f t="shared" si="14"/>
        <v>40</v>
      </c>
      <c r="CP25" s="83">
        <f t="shared" si="14"/>
        <v>40</v>
      </c>
      <c r="CQ25" s="83">
        <f t="shared" si="14"/>
        <v>40</v>
      </c>
      <c r="CR25" s="83">
        <f t="shared" si="14"/>
        <v>40</v>
      </c>
      <c r="CS25" s="83">
        <f t="shared" si="14"/>
        <v>40</v>
      </c>
      <c r="CT25" s="83">
        <f t="shared" si="14"/>
        <v>40</v>
      </c>
      <c r="CU25" s="83">
        <f t="shared" si="14"/>
        <v>40</v>
      </c>
      <c r="CV25" s="83">
        <f t="shared" si="14"/>
        <v>40</v>
      </c>
      <c r="CW25" s="83">
        <f t="shared" ref="CW25:EB25" si="15">CV25+CW24</f>
        <v>40</v>
      </c>
      <c r="CX25" s="83">
        <f t="shared" si="15"/>
        <v>40</v>
      </c>
      <c r="CY25" s="83">
        <f t="shared" si="15"/>
        <v>40</v>
      </c>
      <c r="CZ25" s="83">
        <f t="shared" si="15"/>
        <v>40</v>
      </c>
      <c r="DA25" s="83">
        <f t="shared" si="15"/>
        <v>40</v>
      </c>
      <c r="DB25" s="83">
        <f t="shared" si="15"/>
        <v>40</v>
      </c>
      <c r="DC25" s="83">
        <f t="shared" si="15"/>
        <v>40</v>
      </c>
      <c r="DD25" s="83">
        <f t="shared" si="15"/>
        <v>40</v>
      </c>
      <c r="DE25" s="83">
        <f t="shared" si="15"/>
        <v>40</v>
      </c>
      <c r="DF25" s="83">
        <f t="shared" si="15"/>
        <v>40</v>
      </c>
      <c r="DG25" s="83">
        <f t="shared" si="15"/>
        <v>40</v>
      </c>
      <c r="DH25" s="83">
        <f t="shared" si="15"/>
        <v>40</v>
      </c>
      <c r="DI25" s="83">
        <f t="shared" si="15"/>
        <v>40</v>
      </c>
      <c r="DJ25" s="83">
        <f t="shared" si="15"/>
        <v>40</v>
      </c>
      <c r="DK25" s="83">
        <f t="shared" si="15"/>
        <v>40</v>
      </c>
      <c r="DL25" s="83">
        <f t="shared" si="15"/>
        <v>40</v>
      </c>
      <c r="DM25" s="83">
        <f t="shared" si="15"/>
        <v>40</v>
      </c>
      <c r="DN25" s="83">
        <f t="shared" si="15"/>
        <v>40</v>
      </c>
      <c r="DO25" s="83">
        <f t="shared" si="15"/>
        <v>40</v>
      </c>
      <c r="DP25" s="83">
        <f t="shared" si="15"/>
        <v>40</v>
      </c>
      <c r="DQ25" s="83">
        <f t="shared" si="15"/>
        <v>40</v>
      </c>
      <c r="DR25" s="83">
        <f t="shared" si="15"/>
        <v>40</v>
      </c>
      <c r="DS25" s="83">
        <f t="shared" si="15"/>
        <v>40</v>
      </c>
    </row>
    <row r="27" spans="1:123" ht="15" customHeight="1" x14ac:dyDescent="0.2">
      <c r="B27" s="37" t="s">
        <v>1017</v>
      </c>
      <c r="D27" s="77">
        <f>INDEX(SUP_C3_EXPANSION!$F$20:$F$59,1)</f>
        <v>96701.936999999976</v>
      </c>
      <c r="E27" s="77">
        <f>IFERROR(INDEX(SUP_C3_EXPANSION!$F$20:$F$59,D25+1),999999999)</f>
        <v>96701.936999999976</v>
      </c>
      <c r="F27" s="77">
        <f>IFERROR(INDEX(SUP_C3_EXPANSION!$F$20:$F$59,E25+1),999999999)</f>
        <v>96701.936999999976</v>
      </c>
      <c r="G27" s="77">
        <f>IFERROR(INDEX(SUP_C3_EXPANSION!$F$20:$F$59,F25+1),999999999)</f>
        <v>96701.936999999976</v>
      </c>
      <c r="H27" s="77">
        <f>IFERROR(INDEX(SUP_C3_EXPANSION!$F$20:$F$59,G25+1),999999999)</f>
        <v>96701.936999999976</v>
      </c>
      <c r="I27" s="77">
        <f>IFERROR(INDEX(SUP_C3_EXPANSION!$F$20:$F$59,H25+1),999999999)</f>
        <v>96701.936999999976</v>
      </c>
      <c r="J27" s="77">
        <f>IFERROR(INDEX(SUP_C3_EXPANSION!$F$20:$F$59,I25+1),999999999)</f>
        <v>96701.936999999976</v>
      </c>
      <c r="K27" s="77">
        <f>IFERROR(INDEX(SUP_C3_EXPANSION!$F$20:$F$59,J25+1),999999999)</f>
        <v>96701.936999999976</v>
      </c>
      <c r="L27" s="77">
        <f>IFERROR(INDEX(SUP_C3_EXPANSION!$F$20:$F$59,K25+1),999999999)</f>
        <v>96701.936999999976</v>
      </c>
      <c r="M27" s="77">
        <f>IFERROR(INDEX(SUP_C3_EXPANSION!$F$20:$F$59,L25+1),999999999)</f>
        <v>96701.936999999976</v>
      </c>
      <c r="N27" s="77">
        <f>IFERROR(INDEX(SUP_C3_EXPANSION!$F$20:$F$59,M25+1),999999999)</f>
        <v>96701.936999999976</v>
      </c>
      <c r="O27" s="77">
        <f>IFERROR(INDEX(SUP_C3_EXPANSION!$F$20:$F$59,N25+1),999999999)</f>
        <v>96701.936999999976</v>
      </c>
      <c r="P27" s="77">
        <f>IFERROR(INDEX(SUP_C3_EXPANSION!$F$20:$F$59,O25+1),999999999)</f>
        <v>96701.936999999976</v>
      </c>
      <c r="Q27" s="77">
        <f>IFERROR(INDEX(SUP_C3_EXPANSION!$F$20:$F$59,P25+1),999999999)</f>
        <v>96701.936999999976</v>
      </c>
      <c r="R27" s="77">
        <f>IFERROR(INDEX(SUP_C3_EXPANSION!$F$20:$F$59,Q25+1),999999999)</f>
        <v>96701.936999999976</v>
      </c>
      <c r="S27" s="77">
        <f>IFERROR(INDEX(SUP_C3_EXPANSION!$F$20:$F$59,R25+1),999999999)</f>
        <v>96701.936999999976</v>
      </c>
      <c r="T27" s="77">
        <f>IFERROR(INDEX(SUP_C3_EXPANSION!$F$20:$F$59,S25+1),999999999)</f>
        <v>96701.936999999976</v>
      </c>
      <c r="U27" s="77">
        <f>IFERROR(INDEX(SUP_C3_EXPANSION!$F$20:$F$59,T25+1),999999999)</f>
        <v>144626.02225000001</v>
      </c>
      <c r="V27" s="77">
        <f>IFERROR(INDEX(SUP_C3_EXPANSION!$F$20:$F$59,U25+1),999999999)</f>
        <v>144626.02225000001</v>
      </c>
      <c r="W27" s="77">
        <f>IFERROR(INDEX(SUP_C3_EXPANSION!$F$20:$F$59,V25+1),999999999)</f>
        <v>144626.02225000001</v>
      </c>
      <c r="X27" s="77">
        <f>IFERROR(INDEX(SUP_C3_EXPANSION!$F$20:$F$59,W25+1),999999999)</f>
        <v>144626.02225000001</v>
      </c>
      <c r="Y27" s="77">
        <f>IFERROR(INDEX(SUP_C3_EXPANSION!$F$20:$F$59,X25+1),999999999)</f>
        <v>144626.02225000001</v>
      </c>
      <c r="Z27" s="77">
        <f>IFERROR(INDEX(SUP_C3_EXPANSION!$F$20:$F$59,Y25+1),999999999)</f>
        <v>144626.02225000001</v>
      </c>
      <c r="AA27" s="77">
        <f>IFERROR(INDEX(SUP_C3_EXPANSION!$F$20:$F$59,Z25+1),999999999)</f>
        <v>144626.02225000001</v>
      </c>
      <c r="AB27" s="77">
        <f>IFERROR(INDEX(SUP_C3_EXPANSION!$F$20:$F$59,AA25+1),999999999)</f>
        <v>144626.02225000001</v>
      </c>
      <c r="AC27" s="77">
        <f>IFERROR(INDEX(SUP_C3_EXPANSION!$F$20:$F$59,AB25+1),999999999)</f>
        <v>144626.02225000001</v>
      </c>
      <c r="AD27" s="77">
        <f>IFERROR(INDEX(SUP_C3_EXPANSION!$F$20:$F$59,AC25+1),999999999)</f>
        <v>96701.936999999976</v>
      </c>
      <c r="AE27" s="77">
        <f>IFERROR(INDEX(SUP_C3_EXPANSION!$F$20:$F$59,AD25+1),999999999)</f>
        <v>96701.936999999976</v>
      </c>
      <c r="AF27" s="77">
        <f>IFERROR(INDEX(SUP_C3_EXPANSION!$F$20:$F$59,AE25+1),999999999)</f>
        <v>96701.936999999976</v>
      </c>
      <c r="AG27" s="77">
        <f>IFERROR(INDEX(SUP_C3_EXPANSION!$F$20:$F$59,AF25+1),999999999)</f>
        <v>96701.936999999976</v>
      </c>
      <c r="AH27" s="77">
        <f>IFERROR(INDEX(SUP_C3_EXPANSION!$F$20:$F$59,AG25+1),999999999)</f>
        <v>144626.02225000001</v>
      </c>
      <c r="AI27" s="77">
        <f>IFERROR(INDEX(SUP_C3_EXPANSION!$F$20:$F$59,AH25+1),999999999)</f>
        <v>144626.02225000001</v>
      </c>
      <c r="AJ27" s="77">
        <f>IFERROR(INDEX(SUP_C3_EXPANSION!$F$20:$F$59,AI25+1),999999999)</f>
        <v>144626.02225000001</v>
      </c>
      <c r="AK27" s="77">
        <f>IFERROR(INDEX(SUP_C3_EXPANSION!$F$20:$F$59,AJ25+1),999999999)</f>
        <v>96701.936999999976</v>
      </c>
      <c r="AL27" s="77">
        <f>IFERROR(INDEX(SUP_C3_EXPANSION!$F$20:$F$59,AK25+1),999999999)</f>
        <v>96701.936999999976</v>
      </c>
      <c r="AM27" s="77">
        <f>IFERROR(INDEX(SUP_C3_EXPANSION!$F$20:$F$59,AL25+1),999999999)</f>
        <v>96701.936999999976</v>
      </c>
      <c r="AN27" s="77">
        <f>IFERROR(INDEX(SUP_C3_EXPANSION!$F$20:$F$59,AM25+1),999999999)</f>
        <v>144626.02225000001</v>
      </c>
      <c r="AO27" s="77">
        <f>IFERROR(INDEX(SUP_C3_EXPANSION!$F$20:$F$59,AN25+1),999999999)</f>
        <v>144626.02225000001</v>
      </c>
      <c r="AP27" s="77">
        <f>IFERROR(INDEX(SUP_C3_EXPANSION!$F$20:$F$59,AO25+1),999999999)</f>
        <v>96701.936999999976</v>
      </c>
      <c r="AQ27" s="77">
        <f>IFERROR(INDEX(SUP_C3_EXPANSION!$F$20:$F$59,AP25+1),999999999)</f>
        <v>96701.936999999976</v>
      </c>
      <c r="AR27" s="77">
        <f>IFERROR(INDEX(SUP_C3_EXPANSION!$F$20:$F$59,AQ25+1),999999999)</f>
        <v>96701.936999999976</v>
      </c>
      <c r="AS27" s="77">
        <f>IFERROR(INDEX(SUP_C3_EXPANSION!$F$20:$F$59,AR25+1),999999999)</f>
        <v>504273.42074999999</v>
      </c>
      <c r="AT27" s="77">
        <f>IFERROR(INDEX(SUP_C3_EXPANSION!$F$20:$F$59,AS25+1),999999999)</f>
        <v>504273.42074999999</v>
      </c>
      <c r="AU27" s="77">
        <f>IFERROR(INDEX(SUP_C3_EXPANSION!$F$20:$F$59,AT25+1),999999999)</f>
        <v>504273.42074999999</v>
      </c>
      <c r="AV27" s="77">
        <f>IFERROR(INDEX(SUP_C3_EXPANSION!$F$20:$F$59,AU25+1),999999999)</f>
        <v>504273.42074999999</v>
      </c>
      <c r="AW27" s="77">
        <f>IFERROR(INDEX(SUP_C3_EXPANSION!$F$20:$F$59,AV25+1),999999999)</f>
        <v>504273.42074999999</v>
      </c>
      <c r="AX27" s="77">
        <f>IFERROR(INDEX(SUP_C3_EXPANSION!$F$20:$F$59,AW25+1),999999999)</f>
        <v>504273.42074999999</v>
      </c>
      <c r="AY27" s="77">
        <f>IFERROR(INDEX(SUP_C3_EXPANSION!$F$20:$F$59,AX25+1),999999999)</f>
        <v>504273.42074999999</v>
      </c>
      <c r="AZ27" s="77">
        <f>IFERROR(INDEX(SUP_C3_EXPANSION!$F$20:$F$59,AY25+1),999999999)</f>
        <v>504273.42074999999</v>
      </c>
      <c r="BA27" s="77">
        <f>IFERROR(INDEX(SUP_C3_EXPANSION!$F$20:$F$59,AZ25+1),999999999)</f>
        <v>504273.42074999999</v>
      </c>
      <c r="BB27" s="77">
        <f>IFERROR(INDEX(SUP_C3_EXPANSION!$F$20:$F$59,BA25+1),999999999)</f>
        <v>96701.936999999976</v>
      </c>
      <c r="BC27" s="77">
        <f>IFERROR(INDEX(SUP_C3_EXPANSION!$F$20:$F$59,BB25+1),999999999)</f>
        <v>144626.02225000001</v>
      </c>
      <c r="BD27" s="77">
        <f>IFERROR(INDEX(SUP_C3_EXPANSION!$F$20:$F$59,BC25+1),999999999)</f>
        <v>96701.936999999976</v>
      </c>
      <c r="BE27" s="77">
        <f>IFERROR(INDEX(SUP_C3_EXPANSION!$F$20:$F$59,BD25+1),999999999)</f>
        <v>96701.936999999976</v>
      </c>
      <c r="BF27" s="77">
        <f>IFERROR(INDEX(SUP_C3_EXPANSION!$F$20:$F$59,BE25+1),999999999)</f>
        <v>96701.936999999976</v>
      </c>
      <c r="BG27" s="77">
        <f>IFERROR(INDEX(SUP_C3_EXPANSION!$F$20:$F$59,BF25+1),999999999)</f>
        <v>144626.02225000001</v>
      </c>
      <c r="BH27" s="77">
        <f>IFERROR(INDEX(SUP_C3_EXPANSION!$F$20:$F$59,BG25+1),999999999)</f>
        <v>96701.936999999976</v>
      </c>
      <c r="BI27" s="77">
        <f>IFERROR(INDEX(SUP_C3_EXPANSION!$F$20:$F$59,BH25+1),999999999)</f>
        <v>96701.936999999976</v>
      </c>
      <c r="BJ27" s="77">
        <f>IFERROR(INDEX(SUP_C3_EXPANSION!$F$20:$F$59,BI25+1),999999999)</f>
        <v>96701.936999999976</v>
      </c>
      <c r="BK27" s="77">
        <f>IFERROR(INDEX(SUP_C3_EXPANSION!$F$20:$F$59,BJ25+1),999999999)</f>
        <v>144626.02225000001</v>
      </c>
      <c r="BL27" s="77">
        <f>IFERROR(INDEX(SUP_C3_EXPANSION!$F$20:$F$59,BK25+1),999999999)</f>
        <v>96701.936999999976</v>
      </c>
      <c r="BM27" s="77">
        <f>IFERROR(INDEX(SUP_C3_EXPANSION!$F$20:$F$59,BL25+1),999999999)</f>
        <v>96701.936999999976</v>
      </c>
      <c r="BN27" s="77">
        <f>IFERROR(INDEX(SUP_C3_EXPANSION!$F$20:$F$59,BM25+1),999999999)</f>
        <v>96701.936999999976</v>
      </c>
      <c r="BO27" s="77">
        <f>IFERROR(INDEX(SUP_C3_EXPANSION!$F$20:$F$59,BN25+1),999999999)</f>
        <v>144626.02225000001</v>
      </c>
      <c r="BP27" s="77">
        <f>IFERROR(INDEX(SUP_C3_EXPANSION!$F$20:$F$59,BO25+1),999999999)</f>
        <v>504273.42074999999</v>
      </c>
      <c r="BQ27" s="77">
        <f>IFERROR(INDEX(SUP_C3_EXPANSION!$F$20:$F$59,BP25+1),999999999)</f>
        <v>96701.936999999976</v>
      </c>
      <c r="BR27" s="77">
        <f>IFERROR(INDEX(SUP_C3_EXPANSION!$F$20:$F$59,BQ25+1),999999999)</f>
        <v>96701.936999999976</v>
      </c>
      <c r="BS27" s="77">
        <f>IFERROR(INDEX(SUP_C3_EXPANSION!$F$20:$F$59,BR25+1),999999999)</f>
        <v>96701.936999999976</v>
      </c>
      <c r="BT27" s="77">
        <f>IFERROR(INDEX(SUP_C3_EXPANSION!$F$20:$F$59,BS25+1),999999999)</f>
        <v>144626.02225000001</v>
      </c>
      <c r="BU27" s="77">
        <f>IFERROR(INDEX(SUP_C3_EXPANSION!$F$20:$F$59,BT25+1),999999999)</f>
        <v>96701.936999999976</v>
      </c>
      <c r="BV27" s="77">
        <f>IFERROR(INDEX(SUP_C3_EXPANSION!$F$20:$F$59,BU25+1),999999999)</f>
        <v>96701.936999999976</v>
      </c>
      <c r="BW27" s="77">
        <f>IFERROR(INDEX(SUP_C3_EXPANSION!$F$20:$F$59,BV25+1),999999999)</f>
        <v>96701.936999999976</v>
      </c>
      <c r="BX27" s="77">
        <f>IFERROR(INDEX(SUP_C3_EXPANSION!$F$20:$F$59,BW25+1),999999999)</f>
        <v>144626.02225000001</v>
      </c>
      <c r="BY27" s="77">
        <f>IFERROR(INDEX(SUP_C3_EXPANSION!$F$20:$F$59,BX25+1),999999999)</f>
        <v>96701.936999999976</v>
      </c>
      <c r="BZ27" s="77">
        <f>IFERROR(INDEX(SUP_C3_EXPANSION!$F$20:$F$59,BY25+1),999999999)</f>
        <v>96701.936999999976</v>
      </c>
      <c r="CA27" s="77">
        <f>IFERROR(INDEX(SUP_C3_EXPANSION!$F$20:$F$59,BZ25+1),999999999)</f>
        <v>999999999</v>
      </c>
      <c r="CB27" s="77">
        <f>IFERROR(INDEX(SUP_C3_EXPANSION!$F$20:$F$59,CA25+1),999999999)</f>
        <v>999999999</v>
      </c>
      <c r="CC27" s="77">
        <f>IFERROR(INDEX(SUP_C3_EXPANSION!$F$20:$F$59,CB25+1),999999999)</f>
        <v>999999999</v>
      </c>
      <c r="CD27" s="77">
        <f>IFERROR(INDEX(SUP_C3_EXPANSION!$F$20:$F$59,CC25+1),999999999)</f>
        <v>999999999</v>
      </c>
      <c r="CE27" s="77">
        <f>IFERROR(INDEX(SUP_C3_EXPANSION!$F$20:$F$59,CD25+1),999999999)</f>
        <v>999999999</v>
      </c>
      <c r="CF27" s="77">
        <f>IFERROR(INDEX(SUP_C3_EXPANSION!$F$20:$F$59,CE25+1),999999999)</f>
        <v>999999999</v>
      </c>
      <c r="CG27" s="77">
        <f>IFERROR(INDEX(SUP_C3_EXPANSION!$F$20:$F$59,CF25+1),999999999)</f>
        <v>999999999</v>
      </c>
      <c r="CH27" s="77">
        <f>IFERROR(INDEX(SUP_C3_EXPANSION!$F$20:$F$59,CG25+1),999999999)</f>
        <v>999999999</v>
      </c>
      <c r="CI27" s="77">
        <f>IFERROR(INDEX(SUP_C3_EXPANSION!$F$20:$F$59,CH25+1),999999999)</f>
        <v>999999999</v>
      </c>
      <c r="CJ27" s="77">
        <f>IFERROR(INDEX(SUP_C3_EXPANSION!$F$20:$F$59,CI25+1),999999999)</f>
        <v>999999999</v>
      </c>
      <c r="CK27" s="77">
        <f>IFERROR(INDEX(SUP_C3_EXPANSION!$F$20:$F$59,CJ25+1),999999999)</f>
        <v>999999999</v>
      </c>
      <c r="CL27" s="77">
        <f>IFERROR(INDEX(SUP_C3_EXPANSION!$F$20:$F$59,CK25+1),999999999)</f>
        <v>999999999</v>
      </c>
      <c r="CM27" s="77">
        <f>IFERROR(INDEX(SUP_C3_EXPANSION!$F$20:$F$59,CL25+1),999999999)</f>
        <v>999999999</v>
      </c>
      <c r="CN27" s="77">
        <f>IFERROR(INDEX(SUP_C3_EXPANSION!$F$20:$F$59,CM25+1),999999999)</f>
        <v>999999999</v>
      </c>
      <c r="CO27" s="77">
        <f>IFERROR(INDEX(SUP_C3_EXPANSION!$F$20:$F$59,CN25+1),999999999)</f>
        <v>999999999</v>
      </c>
      <c r="CP27" s="77">
        <f>IFERROR(INDEX(SUP_C3_EXPANSION!$F$20:$F$59,CO25+1),999999999)</f>
        <v>999999999</v>
      </c>
      <c r="CQ27" s="77">
        <f>IFERROR(INDEX(SUP_C3_EXPANSION!$F$20:$F$59,CP25+1),999999999)</f>
        <v>999999999</v>
      </c>
      <c r="CR27" s="77">
        <f>IFERROR(INDEX(SUP_C3_EXPANSION!$F$20:$F$59,CQ25+1),999999999)</f>
        <v>999999999</v>
      </c>
      <c r="CS27" s="77">
        <f>IFERROR(INDEX(SUP_C3_EXPANSION!$F$20:$F$59,CR25+1),999999999)</f>
        <v>999999999</v>
      </c>
      <c r="CT27" s="77">
        <f>IFERROR(INDEX(SUP_C3_EXPANSION!$F$20:$F$59,CS25+1),999999999)</f>
        <v>999999999</v>
      </c>
      <c r="CU27" s="77">
        <f>IFERROR(INDEX(SUP_C3_EXPANSION!$F$20:$F$59,CT25+1),999999999)</f>
        <v>999999999</v>
      </c>
      <c r="CV27" s="77">
        <f>IFERROR(INDEX(SUP_C3_EXPANSION!$F$20:$F$59,CU25+1),999999999)</f>
        <v>999999999</v>
      </c>
      <c r="CW27" s="77">
        <f>IFERROR(INDEX(SUP_C3_EXPANSION!$F$20:$F$59,CV25+1),999999999)</f>
        <v>999999999</v>
      </c>
      <c r="CX27" s="77">
        <f>IFERROR(INDEX(SUP_C3_EXPANSION!$F$20:$F$59,CW25+1),999999999)</f>
        <v>999999999</v>
      </c>
      <c r="CY27" s="77">
        <f>IFERROR(INDEX(SUP_C3_EXPANSION!$F$20:$F$59,CX25+1),999999999)</f>
        <v>999999999</v>
      </c>
      <c r="CZ27" s="77">
        <f>IFERROR(INDEX(SUP_C3_EXPANSION!$F$20:$F$59,CY25+1),999999999)</f>
        <v>999999999</v>
      </c>
      <c r="DA27" s="77">
        <f>IFERROR(INDEX(SUP_C3_EXPANSION!$F$20:$F$59,CZ25+1),999999999)</f>
        <v>999999999</v>
      </c>
      <c r="DB27" s="77">
        <f>IFERROR(INDEX(SUP_C3_EXPANSION!$F$20:$F$59,DA25+1),999999999)</f>
        <v>999999999</v>
      </c>
      <c r="DC27" s="77">
        <f>IFERROR(INDEX(SUP_C3_EXPANSION!$F$20:$F$59,DB25+1),999999999)</f>
        <v>999999999</v>
      </c>
      <c r="DD27" s="77">
        <f>IFERROR(INDEX(SUP_C3_EXPANSION!$F$20:$F$59,DC25+1),999999999)</f>
        <v>999999999</v>
      </c>
      <c r="DE27" s="77">
        <f>IFERROR(INDEX(SUP_C3_EXPANSION!$F$20:$F$59,DD25+1),999999999)</f>
        <v>999999999</v>
      </c>
      <c r="DF27" s="77">
        <f>IFERROR(INDEX(SUP_C3_EXPANSION!$F$20:$F$59,DE25+1),999999999)</f>
        <v>999999999</v>
      </c>
      <c r="DG27" s="77">
        <f>IFERROR(INDEX(SUP_C3_EXPANSION!$F$20:$F$59,DF25+1),999999999)</f>
        <v>999999999</v>
      </c>
      <c r="DH27" s="77">
        <f>IFERROR(INDEX(SUP_C3_EXPANSION!$F$20:$F$59,DG25+1),999999999)</f>
        <v>999999999</v>
      </c>
      <c r="DI27" s="77">
        <f>IFERROR(INDEX(SUP_C3_EXPANSION!$F$20:$F$59,DH25+1),999999999)</f>
        <v>999999999</v>
      </c>
      <c r="DJ27" s="77">
        <f>IFERROR(INDEX(SUP_C3_EXPANSION!$F$20:$F$59,DI25+1),999999999)</f>
        <v>999999999</v>
      </c>
      <c r="DK27" s="77">
        <f>IFERROR(INDEX(SUP_C3_EXPANSION!$F$20:$F$59,DJ25+1),999999999)</f>
        <v>999999999</v>
      </c>
      <c r="DL27" s="77">
        <f>IFERROR(INDEX(SUP_C3_EXPANSION!$F$20:$F$59,DK25+1),999999999)</f>
        <v>999999999</v>
      </c>
      <c r="DM27" s="77">
        <f>IFERROR(INDEX(SUP_C3_EXPANSION!$F$20:$F$59,DL25+1),999999999)</f>
        <v>999999999</v>
      </c>
      <c r="DN27" s="77">
        <f>IFERROR(INDEX(SUP_C3_EXPANSION!$F$20:$F$59,DM25+1),999999999)</f>
        <v>999999999</v>
      </c>
      <c r="DO27" s="77">
        <f>IFERROR(INDEX(SUP_C3_EXPANSION!$F$20:$F$59,DN25+1),999999999)</f>
        <v>999999999</v>
      </c>
      <c r="DP27" s="77">
        <f>IFERROR(INDEX(SUP_C3_EXPANSION!$F$20:$F$59,DO25+1),999999999)</f>
        <v>999999999</v>
      </c>
      <c r="DQ27" s="77">
        <f>IFERROR(INDEX(SUP_C3_EXPANSION!$F$20:$F$59,DP25+1),999999999)</f>
        <v>999999999</v>
      </c>
      <c r="DR27" s="77">
        <f>IFERROR(INDEX(SUP_C3_EXPANSION!$F$20:$F$59,DQ25+1),999999999)</f>
        <v>999999999</v>
      </c>
      <c r="DS27" s="77">
        <f>IFERROR(INDEX(SUP_C3_EXPANSION!$F$20:$F$59,DR25+1),999999999)</f>
        <v>999999999</v>
      </c>
    </row>
    <row r="29" spans="1:123" ht="15" customHeight="1" x14ac:dyDescent="0.2">
      <c r="B29" s="37" t="s">
        <v>1018</v>
      </c>
      <c r="D29" s="77">
        <f>0</f>
        <v>0</v>
      </c>
      <c r="E29" s="77">
        <f>E24*IFERROR(INDEX(SUP_C3_EXPANSION!$C$20:$C$59,D25+1),0)</f>
        <v>0</v>
      </c>
      <c r="F29" s="77">
        <f>F24*IFERROR(INDEX(SUP_C3_EXPANSION!$C$20:$C$59,E25+1),0)</f>
        <v>0</v>
      </c>
      <c r="G29" s="77">
        <f>G24*IFERROR(INDEX(SUP_C3_EXPANSION!$C$20:$C$59,F25+1),0)</f>
        <v>0</v>
      </c>
      <c r="H29" s="77">
        <f>H24*IFERROR(INDEX(SUP_C3_EXPANSION!$C$20:$C$59,G25+1),0)</f>
        <v>0</v>
      </c>
      <c r="I29" s="77">
        <f>I24*IFERROR(INDEX(SUP_C3_EXPANSION!$C$20:$C$59,H25+1),0)</f>
        <v>0</v>
      </c>
      <c r="J29" s="77">
        <f>J24*IFERROR(INDEX(SUP_C3_EXPANSION!$C$20:$C$59,I25+1),0)</f>
        <v>0</v>
      </c>
      <c r="K29" s="77">
        <f>K24*IFERROR(INDEX(SUP_C3_EXPANSION!$C$20:$C$59,J25+1),0)</f>
        <v>0</v>
      </c>
      <c r="L29" s="77">
        <f>L24*IFERROR(INDEX(SUP_C3_EXPANSION!$C$20:$C$59,K25+1),0)</f>
        <v>0</v>
      </c>
      <c r="M29" s="77">
        <f>M24*IFERROR(INDEX(SUP_C3_EXPANSION!$C$20:$C$59,L25+1),0)</f>
        <v>0</v>
      </c>
      <c r="N29" s="77">
        <f>N24*IFERROR(INDEX(SUP_C3_EXPANSION!$C$20:$C$59,M25+1),0)</f>
        <v>0</v>
      </c>
      <c r="O29" s="77">
        <f>O24*IFERROR(INDEX(SUP_C3_EXPANSION!$C$20:$C$59,N25+1),0)</f>
        <v>0</v>
      </c>
      <c r="P29" s="77">
        <f>P24*IFERROR(INDEX(SUP_C3_EXPANSION!$C$20:$C$59,O25+1),0)</f>
        <v>0</v>
      </c>
      <c r="Q29" s="77">
        <f>Q24*IFERROR(INDEX(SUP_C3_EXPANSION!$C$20:$C$59,P25+1),0)</f>
        <v>92556.936999999976</v>
      </c>
      <c r="R29" s="77">
        <f>R24*IFERROR(INDEX(SUP_C3_EXPANSION!$C$20:$C$59,Q25+1),0)</f>
        <v>0</v>
      </c>
      <c r="S29" s="77">
        <f>S24*IFERROR(INDEX(SUP_C3_EXPANSION!$C$20:$C$59,R25+1),0)</f>
        <v>92556.936999999976</v>
      </c>
      <c r="T29" s="77">
        <f>T24*IFERROR(INDEX(SUP_C3_EXPANSION!$C$20:$C$59,S25+1),0)</f>
        <v>92556.936999999976</v>
      </c>
      <c r="U29" s="77">
        <f>U24*IFERROR(INDEX(SUP_C3_EXPANSION!$C$20:$C$59,T25+1),0)</f>
        <v>0</v>
      </c>
      <c r="V29" s="77">
        <f>V24*IFERROR(INDEX(SUP_C3_EXPANSION!$C$20:$C$59,U25+1),0)</f>
        <v>0</v>
      </c>
      <c r="W29" s="77">
        <f>W24*IFERROR(INDEX(SUP_C3_EXPANSION!$C$20:$C$59,V25+1),0)</f>
        <v>0</v>
      </c>
      <c r="X29" s="77">
        <f>X24*IFERROR(INDEX(SUP_C3_EXPANSION!$C$20:$C$59,W25+1),0)</f>
        <v>0</v>
      </c>
      <c r="Y29" s="77">
        <f>Y24*IFERROR(INDEX(SUP_C3_EXPANSION!$C$20:$C$59,X25+1),0)</f>
        <v>0</v>
      </c>
      <c r="Z29" s="77">
        <f>Z24*IFERROR(INDEX(SUP_C3_EXPANSION!$C$20:$C$59,Y25+1),0)</f>
        <v>0</v>
      </c>
      <c r="AA29" s="77">
        <f>AA24*IFERROR(INDEX(SUP_C3_EXPANSION!$C$20:$C$59,Z25+1),0)</f>
        <v>0</v>
      </c>
      <c r="AB29" s="77">
        <f>AB24*IFERROR(INDEX(SUP_C3_EXPANSION!$C$20:$C$59,AA25+1),0)</f>
        <v>0</v>
      </c>
      <c r="AC29" s="77">
        <f>AC24*IFERROR(INDEX(SUP_C3_EXPANSION!$C$20:$C$59,AB25+1),0)</f>
        <v>138911.02225000001</v>
      </c>
      <c r="AD29" s="77">
        <f>AD24*IFERROR(INDEX(SUP_C3_EXPANSION!$C$20:$C$59,AC25+1),0)</f>
        <v>92556.936999999976</v>
      </c>
      <c r="AE29" s="77">
        <f>AE24*IFERROR(INDEX(SUP_C3_EXPANSION!$C$20:$C$59,AD25+1),0)</f>
        <v>0</v>
      </c>
      <c r="AF29" s="77">
        <f>AF24*IFERROR(INDEX(SUP_C3_EXPANSION!$C$20:$C$59,AE25+1),0)</f>
        <v>92556.936999999976</v>
      </c>
      <c r="AG29" s="77">
        <f>AG24*IFERROR(INDEX(SUP_C3_EXPANSION!$C$20:$C$59,AF25+1),0)</f>
        <v>92556.936999999976</v>
      </c>
      <c r="AH29" s="77">
        <f>AH24*IFERROR(INDEX(SUP_C3_EXPANSION!$C$20:$C$59,AG25+1),0)</f>
        <v>0</v>
      </c>
      <c r="AI29" s="77">
        <f>AI24*IFERROR(INDEX(SUP_C3_EXPANSION!$C$20:$C$59,AH25+1),0)</f>
        <v>0</v>
      </c>
      <c r="AJ29" s="77">
        <f>AJ24*IFERROR(INDEX(SUP_C3_EXPANSION!$C$20:$C$59,AI25+1),0)</f>
        <v>138911.02225000001</v>
      </c>
      <c r="AK29" s="77">
        <f>AK24*IFERROR(INDEX(SUP_C3_EXPANSION!$C$20:$C$59,AJ25+1),0)</f>
        <v>92556.936999999976</v>
      </c>
      <c r="AL29" s="77">
        <f>AL24*IFERROR(INDEX(SUP_C3_EXPANSION!$C$20:$C$59,AK25+1),0)</f>
        <v>92556.936999999976</v>
      </c>
      <c r="AM29" s="77">
        <f>AM24*IFERROR(INDEX(SUP_C3_EXPANSION!$C$20:$C$59,AL25+1),0)</f>
        <v>92556.936999999976</v>
      </c>
      <c r="AN29" s="77">
        <f>AN24*IFERROR(INDEX(SUP_C3_EXPANSION!$C$20:$C$59,AM25+1),0)</f>
        <v>0</v>
      </c>
      <c r="AO29" s="77">
        <f>AO24*IFERROR(INDEX(SUP_C3_EXPANSION!$C$20:$C$59,AN25+1),0)</f>
        <v>138911.02225000001</v>
      </c>
      <c r="AP29" s="77">
        <f>AP24*IFERROR(INDEX(SUP_C3_EXPANSION!$C$20:$C$59,AO25+1),0)</f>
        <v>0</v>
      </c>
      <c r="AQ29" s="77">
        <f>AQ24*IFERROR(INDEX(SUP_C3_EXPANSION!$C$20:$C$59,AP25+1),0)</f>
        <v>92556.936999999976</v>
      </c>
      <c r="AR29" s="77">
        <f>AR24*IFERROR(INDEX(SUP_C3_EXPANSION!$C$20:$C$59,AQ25+1),0)</f>
        <v>92556.936999999976</v>
      </c>
      <c r="AS29" s="77">
        <f>AS24*IFERROR(INDEX(SUP_C3_EXPANSION!$C$20:$C$59,AR25+1),0)</f>
        <v>0</v>
      </c>
      <c r="AT29" s="77">
        <f>AT24*IFERROR(INDEX(SUP_C3_EXPANSION!$C$20:$C$59,AS25+1),0)</f>
        <v>0</v>
      </c>
      <c r="AU29" s="77">
        <f>AU24*IFERROR(INDEX(SUP_C3_EXPANSION!$C$20:$C$59,AT25+1),0)</f>
        <v>0</v>
      </c>
      <c r="AV29" s="77">
        <f>AV24*IFERROR(INDEX(SUP_C3_EXPANSION!$C$20:$C$59,AU25+1),0)</f>
        <v>0</v>
      </c>
      <c r="AW29" s="77">
        <f>AW24*IFERROR(INDEX(SUP_C3_EXPANSION!$C$20:$C$59,AV25+1),0)</f>
        <v>0</v>
      </c>
      <c r="AX29" s="77">
        <f>AX24*IFERROR(INDEX(SUP_C3_EXPANSION!$C$20:$C$59,AW25+1),0)</f>
        <v>0</v>
      </c>
      <c r="AY29" s="77">
        <f>AY24*IFERROR(INDEX(SUP_C3_EXPANSION!$C$20:$C$59,AX25+1),0)</f>
        <v>0</v>
      </c>
      <c r="AZ29" s="77">
        <f>AZ24*IFERROR(INDEX(SUP_C3_EXPANSION!$C$20:$C$59,AY25+1),0)</f>
        <v>0</v>
      </c>
      <c r="BA29" s="77">
        <f>BA24*IFERROR(INDEX(SUP_C3_EXPANSION!$C$20:$C$59,AZ25+1),0)</f>
        <v>485628.42074999999</v>
      </c>
      <c r="BB29" s="77">
        <f>BB24*IFERROR(INDEX(SUP_C3_EXPANSION!$C$20:$C$59,BA25+1),0)</f>
        <v>92556.936999999976</v>
      </c>
      <c r="BC29" s="77">
        <f>BC24*IFERROR(INDEX(SUP_C3_EXPANSION!$C$20:$C$59,BB25+1),0)</f>
        <v>138911.02225000001</v>
      </c>
      <c r="BD29" s="77">
        <f>BD24*IFERROR(INDEX(SUP_C3_EXPANSION!$C$20:$C$59,BC25+1),0)</f>
        <v>92556.936999999976</v>
      </c>
      <c r="BE29" s="77">
        <f>BE24*IFERROR(INDEX(SUP_C3_EXPANSION!$C$20:$C$59,BD25+1),0)</f>
        <v>92556.936999999976</v>
      </c>
      <c r="BF29" s="77">
        <f>BF24*IFERROR(INDEX(SUP_C3_EXPANSION!$C$20:$C$59,BE25+1),0)</f>
        <v>92556.936999999976</v>
      </c>
      <c r="BG29" s="77">
        <f>BG24*IFERROR(INDEX(SUP_C3_EXPANSION!$C$20:$C$59,BF25+1),0)</f>
        <v>138911.02225000001</v>
      </c>
      <c r="BH29" s="77">
        <f>BH24*IFERROR(INDEX(SUP_C3_EXPANSION!$C$20:$C$59,BG25+1),0)</f>
        <v>92556.936999999976</v>
      </c>
      <c r="BI29" s="77">
        <f>BI24*IFERROR(INDEX(SUP_C3_EXPANSION!$C$20:$C$59,BH25+1),0)</f>
        <v>92556.936999999976</v>
      </c>
      <c r="BJ29" s="77">
        <f>BJ24*IFERROR(INDEX(SUP_C3_EXPANSION!$C$20:$C$59,BI25+1),0)</f>
        <v>92556.936999999976</v>
      </c>
      <c r="BK29" s="77">
        <f>BK24*IFERROR(INDEX(SUP_C3_EXPANSION!$C$20:$C$59,BJ25+1),0)</f>
        <v>138911.02225000001</v>
      </c>
      <c r="BL29" s="77">
        <f>BL24*IFERROR(INDEX(SUP_C3_EXPANSION!$C$20:$C$59,BK25+1),0)</f>
        <v>92556.936999999976</v>
      </c>
      <c r="BM29" s="77">
        <f>BM24*IFERROR(INDEX(SUP_C3_EXPANSION!$C$20:$C$59,BL25+1),0)</f>
        <v>92556.936999999976</v>
      </c>
      <c r="BN29" s="77">
        <f>BN24*IFERROR(INDEX(SUP_C3_EXPANSION!$C$20:$C$59,BM25+1),0)</f>
        <v>92556.936999999976</v>
      </c>
      <c r="BO29" s="77">
        <f>BO24*IFERROR(INDEX(SUP_C3_EXPANSION!$C$20:$C$59,BN25+1),0)</f>
        <v>138911.02225000001</v>
      </c>
      <c r="BP29" s="77">
        <f>BP24*IFERROR(INDEX(SUP_C3_EXPANSION!$C$20:$C$59,BO25+1),0)</f>
        <v>485628.42074999999</v>
      </c>
      <c r="BQ29" s="77">
        <f>BQ24*IFERROR(INDEX(SUP_C3_EXPANSION!$C$20:$C$59,BP25+1),0)</f>
        <v>92556.936999999976</v>
      </c>
      <c r="BR29" s="77">
        <f>BR24*IFERROR(INDEX(SUP_C3_EXPANSION!$C$20:$C$59,BQ25+1),0)</f>
        <v>92556.936999999976</v>
      </c>
      <c r="BS29" s="77">
        <f>BS24*IFERROR(INDEX(SUP_C3_EXPANSION!$C$20:$C$59,BR25+1),0)</f>
        <v>92556.936999999976</v>
      </c>
      <c r="BT29" s="77">
        <f>BT24*IFERROR(INDEX(SUP_C3_EXPANSION!$C$20:$C$59,BS25+1),0)</f>
        <v>138911.02225000001</v>
      </c>
      <c r="BU29" s="77">
        <f>BU24*IFERROR(INDEX(SUP_C3_EXPANSION!$C$20:$C$59,BT25+1),0)</f>
        <v>92556.936999999976</v>
      </c>
      <c r="BV29" s="77">
        <f>BV24*IFERROR(INDEX(SUP_C3_EXPANSION!$C$20:$C$59,BU25+1),0)</f>
        <v>92556.936999999976</v>
      </c>
      <c r="BW29" s="77">
        <f>BW24*IFERROR(INDEX(SUP_C3_EXPANSION!$C$20:$C$59,BV25+1),0)</f>
        <v>92556.936999999976</v>
      </c>
      <c r="BX29" s="77">
        <f>BX24*IFERROR(INDEX(SUP_C3_EXPANSION!$C$20:$C$59,BW25+1),0)</f>
        <v>138911.02225000001</v>
      </c>
      <c r="BY29" s="77">
        <f>BY24*IFERROR(INDEX(SUP_C3_EXPANSION!$C$20:$C$59,BX25+1),0)</f>
        <v>92556.936999999976</v>
      </c>
      <c r="BZ29" s="77">
        <f>BZ24*IFERROR(INDEX(SUP_C3_EXPANSION!$C$20:$C$59,BY25+1),0)</f>
        <v>92556.936999999976</v>
      </c>
      <c r="CA29" s="77">
        <f>CA24*IFERROR(INDEX(SUP_C3_EXPANSION!$C$20:$C$59,BZ25+1),0)</f>
        <v>0</v>
      </c>
      <c r="CB29" s="77">
        <f>CB24*IFERROR(INDEX(SUP_C3_EXPANSION!$C$20:$C$59,CA25+1),0)</f>
        <v>0</v>
      </c>
      <c r="CC29" s="77">
        <f>CC24*IFERROR(INDEX(SUP_C3_EXPANSION!$C$20:$C$59,CB25+1),0)</f>
        <v>0</v>
      </c>
      <c r="CD29" s="77">
        <f>CD24*IFERROR(INDEX(SUP_C3_EXPANSION!$C$20:$C$59,CC25+1),0)</f>
        <v>0</v>
      </c>
      <c r="CE29" s="77">
        <f>CE24*IFERROR(INDEX(SUP_C3_EXPANSION!$C$20:$C$59,CD25+1),0)</f>
        <v>0</v>
      </c>
      <c r="CF29" s="77">
        <f>CF24*IFERROR(INDEX(SUP_C3_EXPANSION!$C$20:$C$59,CE25+1),0)</f>
        <v>0</v>
      </c>
      <c r="CG29" s="77">
        <f>CG24*IFERROR(INDEX(SUP_C3_EXPANSION!$C$20:$C$59,CF25+1),0)</f>
        <v>0</v>
      </c>
      <c r="CH29" s="77">
        <f>CH24*IFERROR(INDEX(SUP_C3_EXPANSION!$C$20:$C$59,CG25+1),0)</f>
        <v>0</v>
      </c>
      <c r="CI29" s="77">
        <f>CI24*IFERROR(INDEX(SUP_C3_EXPANSION!$C$20:$C$59,CH25+1),0)</f>
        <v>0</v>
      </c>
      <c r="CJ29" s="77">
        <f>CJ24*IFERROR(INDEX(SUP_C3_EXPANSION!$C$20:$C$59,CI25+1),0)</f>
        <v>0</v>
      </c>
      <c r="CK29" s="77">
        <f>CK24*IFERROR(INDEX(SUP_C3_EXPANSION!$C$20:$C$59,CJ25+1),0)</f>
        <v>0</v>
      </c>
      <c r="CL29" s="77">
        <f>CL24*IFERROR(INDEX(SUP_C3_EXPANSION!$C$20:$C$59,CK25+1),0)</f>
        <v>0</v>
      </c>
      <c r="CM29" s="77">
        <f>CM24*IFERROR(INDEX(SUP_C3_EXPANSION!$C$20:$C$59,CL25+1),0)</f>
        <v>0</v>
      </c>
      <c r="CN29" s="77">
        <f>CN24*IFERROR(INDEX(SUP_C3_EXPANSION!$C$20:$C$59,CM25+1),0)</f>
        <v>0</v>
      </c>
      <c r="CO29" s="77">
        <f>CO24*IFERROR(INDEX(SUP_C3_EXPANSION!$C$20:$C$59,CN25+1),0)</f>
        <v>0</v>
      </c>
      <c r="CP29" s="77">
        <f>CP24*IFERROR(INDEX(SUP_C3_EXPANSION!$C$20:$C$59,CO25+1),0)</f>
        <v>0</v>
      </c>
      <c r="CQ29" s="77">
        <f>CQ24*IFERROR(INDEX(SUP_C3_EXPANSION!$C$20:$C$59,CP25+1),0)</f>
        <v>0</v>
      </c>
      <c r="CR29" s="77">
        <f>CR24*IFERROR(INDEX(SUP_C3_EXPANSION!$C$20:$C$59,CQ25+1),0)</f>
        <v>0</v>
      </c>
      <c r="CS29" s="77">
        <f>CS24*IFERROR(INDEX(SUP_C3_EXPANSION!$C$20:$C$59,CR25+1),0)</f>
        <v>0</v>
      </c>
      <c r="CT29" s="77">
        <f>CT24*IFERROR(INDEX(SUP_C3_EXPANSION!$C$20:$C$59,CS25+1),0)</f>
        <v>0</v>
      </c>
      <c r="CU29" s="77">
        <f>CU24*IFERROR(INDEX(SUP_C3_EXPANSION!$C$20:$C$59,CT25+1),0)</f>
        <v>0</v>
      </c>
      <c r="CV29" s="77">
        <f>CV24*IFERROR(INDEX(SUP_C3_EXPANSION!$C$20:$C$59,CU25+1),0)</f>
        <v>0</v>
      </c>
      <c r="CW29" s="77">
        <f>CW24*IFERROR(INDEX(SUP_C3_EXPANSION!$C$20:$C$59,CV25+1),0)</f>
        <v>0</v>
      </c>
      <c r="CX29" s="77">
        <f>CX24*IFERROR(INDEX(SUP_C3_EXPANSION!$C$20:$C$59,CW25+1),0)</f>
        <v>0</v>
      </c>
      <c r="CY29" s="77">
        <f>CY24*IFERROR(INDEX(SUP_C3_EXPANSION!$C$20:$C$59,CX25+1),0)</f>
        <v>0</v>
      </c>
      <c r="CZ29" s="77">
        <f>CZ24*IFERROR(INDEX(SUP_C3_EXPANSION!$C$20:$C$59,CY25+1),0)</f>
        <v>0</v>
      </c>
      <c r="DA29" s="77">
        <f>DA24*IFERROR(INDEX(SUP_C3_EXPANSION!$C$20:$C$59,CZ25+1),0)</f>
        <v>0</v>
      </c>
      <c r="DB29" s="77">
        <f>DB24*IFERROR(INDEX(SUP_C3_EXPANSION!$C$20:$C$59,DA25+1),0)</f>
        <v>0</v>
      </c>
      <c r="DC29" s="77">
        <f>DC24*IFERROR(INDEX(SUP_C3_EXPANSION!$C$20:$C$59,DB25+1),0)</f>
        <v>0</v>
      </c>
      <c r="DD29" s="77">
        <f>DD24*IFERROR(INDEX(SUP_C3_EXPANSION!$C$20:$C$59,DC25+1),0)</f>
        <v>0</v>
      </c>
      <c r="DE29" s="77">
        <f>DE24*IFERROR(INDEX(SUP_C3_EXPANSION!$C$20:$C$59,DD25+1),0)</f>
        <v>0</v>
      </c>
      <c r="DF29" s="77">
        <f>DF24*IFERROR(INDEX(SUP_C3_EXPANSION!$C$20:$C$59,DE25+1),0)</f>
        <v>0</v>
      </c>
      <c r="DG29" s="77">
        <f>DG24*IFERROR(INDEX(SUP_C3_EXPANSION!$C$20:$C$59,DF25+1),0)</f>
        <v>0</v>
      </c>
      <c r="DH29" s="77">
        <f>DH24*IFERROR(INDEX(SUP_C3_EXPANSION!$C$20:$C$59,DG25+1),0)</f>
        <v>0</v>
      </c>
      <c r="DI29" s="77">
        <f>DI24*IFERROR(INDEX(SUP_C3_EXPANSION!$C$20:$C$59,DH25+1),0)</f>
        <v>0</v>
      </c>
      <c r="DJ29" s="77">
        <f>DJ24*IFERROR(INDEX(SUP_C3_EXPANSION!$C$20:$C$59,DI25+1),0)</f>
        <v>0</v>
      </c>
      <c r="DK29" s="77">
        <f>DK24*IFERROR(INDEX(SUP_C3_EXPANSION!$C$20:$C$59,DJ25+1),0)</f>
        <v>0</v>
      </c>
      <c r="DL29" s="77">
        <f>DL24*IFERROR(INDEX(SUP_C3_EXPANSION!$C$20:$C$59,DK25+1),0)</f>
        <v>0</v>
      </c>
      <c r="DM29" s="77">
        <f>DM24*IFERROR(INDEX(SUP_C3_EXPANSION!$C$20:$C$59,DL25+1),0)</f>
        <v>0</v>
      </c>
      <c r="DN29" s="77">
        <f>DN24*IFERROR(INDEX(SUP_C3_EXPANSION!$C$20:$C$59,DM25+1),0)</f>
        <v>0</v>
      </c>
      <c r="DO29" s="77">
        <f>DO24*IFERROR(INDEX(SUP_C3_EXPANSION!$C$20:$C$59,DN25+1),0)</f>
        <v>0</v>
      </c>
      <c r="DP29" s="77">
        <f>DP24*IFERROR(INDEX(SUP_C3_EXPANSION!$C$20:$C$59,DO25+1),0)</f>
        <v>0</v>
      </c>
      <c r="DQ29" s="77">
        <f>DQ24*IFERROR(INDEX(SUP_C3_EXPANSION!$C$20:$C$59,DP25+1),0)</f>
        <v>0</v>
      </c>
      <c r="DR29" s="77">
        <f>DR24*IFERROR(INDEX(SUP_C3_EXPANSION!$C$20:$C$59,DQ25+1),0)</f>
        <v>0</v>
      </c>
      <c r="DS29" s="77">
        <f>DS24*IFERROR(INDEX(SUP_C3_EXPANSION!$C$20:$C$59,DR25+1),0)</f>
        <v>0</v>
      </c>
    </row>
    <row r="30" spans="1:123" ht="15" customHeight="1" x14ac:dyDescent="0.2">
      <c r="B30" s="37" t="s">
        <v>1019</v>
      </c>
      <c r="D30" s="77">
        <f>0</f>
        <v>0</v>
      </c>
      <c r="E30" s="77">
        <f>E24*IFERROR(INDEX(SUP_C3_EXPANSION!$E$20:$E$59,D25+1),0)</f>
        <v>0</v>
      </c>
      <c r="F30" s="77">
        <f>F24*IFERROR(INDEX(SUP_C3_EXPANSION!$E$20:$E$59,E25+1),0)</f>
        <v>0</v>
      </c>
      <c r="G30" s="77">
        <f>G24*IFERROR(INDEX(SUP_C3_EXPANSION!$E$20:$E$59,F25+1),0)</f>
        <v>0</v>
      </c>
      <c r="H30" s="77">
        <f>H24*IFERROR(INDEX(SUP_C3_EXPANSION!$E$20:$E$59,G25+1),0)</f>
        <v>0</v>
      </c>
      <c r="I30" s="77">
        <f>I24*IFERROR(INDEX(SUP_C3_EXPANSION!$E$20:$E$59,H25+1),0)</f>
        <v>0</v>
      </c>
      <c r="J30" s="77">
        <f>J24*IFERROR(INDEX(SUP_C3_EXPANSION!$E$20:$E$59,I25+1),0)</f>
        <v>0</v>
      </c>
      <c r="K30" s="77">
        <f>K24*IFERROR(INDEX(SUP_C3_EXPANSION!$E$20:$E$59,J25+1),0)</f>
        <v>0</v>
      </c>
      <c r="L30" s="77">
        <f>L24*IFERROR(INDEX(SUP_C3_EXPANSION!$E$20:$E$59,K25+1),0)</f>
        <v>0</v>
      </c>
      <c r="M30" s="77">
        <f>M24*IFERROR(INDEX(SUP_C3_EXPANSION!$E$20:$E$59,L25+1),0)</f>
        <v>0</v>
      </c>
      <c r="N30" s="77">
        <f>N24*IFERROR(INDEX(SUP_C3_EXPANSION!$E$20:$E$59,M25+1),0)</f>
        <v>0</v>
      </c>
      <c r="O30" s="77">
        <f>O24*IFERROR(INDEX(SUP_C3_EXPANSION!$E$20:$E$59,N25+1),0)</f>
        <v>0</v>
      </c>
      <c r="P30" s="77">
        <f>P24*IFERROR(INDEX(SUP_C3_EXPANSION!$E$20:$E$59,O25+1),0)</f>
        <v>0</v>
      </c>
      <c r="Q30" s="77">
        <f>Q24*IFERROR(INDEX(SUP_C3_EXPANSION!$E$20:$E$59,P25+1),0)</f>
        <v>4145</v>
      </c>
      <c r="R30" s="77">
        <f>R24*IFERROR(INDEX(SUP_C3_EXPANSION!$E$20:$E$59,Q25+1),0)</f>
        <v>0</v>
      </c>
      <c r="S30" s="77">
        <f>S24*IFERROR(INDEX(SUP_C3_EXPANSION!$E$20:$E$59,R25+1),0)</f>
        <v>4145</v>
      </c>
      <c r="T30" s="77">
        <f>T24*IFERROR(INDEX(SUP_C3_EXPANSION!$E$20:$E$59,S25+1),0)</f>
        <v>4145</v>
      </c>
      <c r="U30" s="77">
        <f>U24*IFERROR(INDEX(SUP_C3_EXPANSION!$E$20:$E$59,T25+1),0)</f>
        <v>0</v>
      </c>
      <c r="V30" s="77">
        <f>V24*IFERROR(INDEX(SUP_C3_EXPANSION!$E$20:$E$59,U25+1),0)</f>
        <v>0</v>
      </c>
      <c r="W30" s="77">
        <f>W24*IFERROR(INDEX(SUP_C3_EXPANSION!$E$20:$E$59,V25+1),0)</f>
        <v>0</v>
      </c>
      <c r="X30" s="77">
        <f>X24*IFERROR(INDEX(SUP_C3_EXPANSION!$E$20:$E$59,W25+1),0)</f>
        <v>0</v>
      </c>
      <c r="Y30" s="77">
        <f>Y24*IFERROR(INDEX(SUP_C3_EXPANSION!$E$20:$E$59,X25+1),0)</f>
        <v>0</v>
      </c>
      <c r="Z30" s="77">
        <f>Z24*IFERROR(INDEX(SUP_C3_EXPANSION!$E$20:$E$59,Y25+1),0)</f>
        <v>0</v>
      </c>
      <c r="AA30" s="77">
        <f>AA24*IFERROR(INDEX(SUP_C3_EXPANSION!$E$20:$E$59,Z25+1),0)</f>
        <v>0</v>
      </c>
      <c r="AB30" s="77">
        <f>AB24*IFERROR(INDEX(SUP_C3_EXPANSION!$E$20:$E$59,AA25+1),0)</f>
        <v>0</v>
      </c>
      <c r="AC30" s="77">
        <f>AC24*IFERROR(INDEX(SUP_C3_EXPANSION!$E$20:$E$59,AB25+1),0)</f>
        <v>5715</v>
      </c>
      <c r="AD30" s="77">
        <f>AD24*IFERROR(INDEX(SUP_C3_EXPANSION!$E$20:$E$59,AC25+1),0)</f>
        <v>4145</v>
      </c>
      <c r="AE30" s="77">
        <f>AE24*IFERROR(INDEX(SUP_C3_EXPANSION!$E$20:$E$59,AD25+1),0)</f>
        <v>0</v>
      </c>
      <c r="AF30" s="77">
        <f>AF24*IFERROR(INDEX(SUP_C3_EXPANSION!$E$20:$E$59,AE25+1),0)</f>
        <v>4145</v>
      </c>
      <c r="AG30" s="77">
        <f>AG24*IFERROR(INDEX(SUP_C3_EXPANSION!$E$20:$E$59,AF25+1),0)</f>
        <v>4145</v>
      </c>
      <c r="AH30" s="77">
        <f>AH24*IFERROR(INDEX(SUP_C3_EXPANSION!$E$20:$E$59,AG25+1),0)</f>
        <v>0</v>
      </c>
      <c r="AI30" s="77">
        <f>AI24*IFERROR(INDEX(SUP_C3_EXPANSION!$E$20:$E$59,AH25+1),0)</f>
        <v>0</v>
      </c>
      <c r="AJ30" s="77">
        <f>AJ24*IFERROR(INDEX(SUP_C3_EXPANSION!$E$20:$E$59,AI25+1),0)</f>
        <v>5715</v>
      </c>
      <c r="AK30" s="77">
        <f>AK24*IFERROR(INDEX(SUP_C3_EXPANSION!$E$20:$E$59,AJ25+1),0)</f>
        <v>4145</v>
      </c>
      <c r="AL30" s="77">
        <f>AL24*IFERROR(INDEX(SUP_C3_EXPANSION!$E$20:$E$59,AK25+1),0)</f>
        <v>4145</v>
      </c>
      <c r="AM30" s="77">
        <f>AM24*IFERROR(INDEX(SUP_C3_EXPANSION!$E$20:$E$59,AL25+1),0)</f>
        <v>4145</v>
      </c>
      <c r="AN30" s="77">
        <f>AN24*IFERROR(INDEX(SUP_C3_EXPANSION!$E$20:$E$59,AM25+1),0)</f>
        <v>0</v>
      </c>
      <c r="AO30" s="77">
        <f>AO24*IFERROR(INDEX(SUP_C3_EXPANSION!$E$20:$E$59,AN25+1),0)</f>
        <v>5715</v>
      </c>
      <c r="AP30" s="77">
        <f>AP24*IFERROR(INDEX(SUP_C3_EXPANSION!$E$20:$E$59,AO25+1),0)</f>
        <v>0</v>
      </c>
      <c r="AQ30" s="77">
        <f>AQ24*IFERROR(INDEX(SUP_C3_EXPANSION!$E$20:$E$59,AP25+1),0)</f>
        <v>4145</v>
      </c>
      <c r="AR30" s="77">
        <f>AR24*IFERROR(INDEX(SUP_C3_EXPANSION!$E$20:$E$59,AQ25+1),0)</f>
        <v>4145</v>
      </c>
      <c r="AS30" s="77">
        <f>AS24*IFERROR(INDEX(SUP_C3_EXPANSION!$E$20:$E$59,AR25+1),0)</f>
        <v>0</v>
      </c>
      <c r="AT30" s="77">
        <f>AT24*IFERROR(INDEX(SUP_C3_EXPANSION!$E$20:$E$59,AS25+1),0)</f>
        <v>0</v>
      </c>
      <c r="AU30" s="77">
        <f>AU24*IFERROR(INDEX(SUP_C3_EXPANSION!$E$20:$E$59,AT25+1),0)</f>
        <v>0</v>
      </c>
      <c r="AV30" s="77">
        <f>AV24*IFERROR(INDEX(SUP_C3_EXPANSION!$E$20:$E$59,AU25+1),0)</f>
        <v>0</v>
      </c>
      <c r="AW30" s="77">
        <f>AW24*IFERROR(INDEX(SUP_C3_EXPANSION!$E$20:$E$59,AV25+1),0)</f>
        <v>0</v>
      </c>
      <c r="AX30" s="77">
        <f>AX24*IFERROR(INDEX(SUP_C3_EXPANSION!$E$20:$E$59,AW25+1),0)</f>
        <v>0</v>
      </c>
      <c r="AY30" s="77">
        <f>AY24*IFERROR(INDEX(SUP_C3_EXPANSION!$E$20:$E$59,AX25+1),0)</f>
        <v>0</v>
      </c>
      <c r="AZ30" s="77">
        <f>AZ24*IFERROR(INDEX(SUP_C3_EXPANSION!$E$20:$E$59,AY25+1),0)</f>
        <v>0</v>
      </c>
      <c r="BA30" s="77">
        <f>BA24*IFERROR(INDEX(SUP_C3_EXPANSION!$E$20:$E$59,AZ25+1),0)</f>
        <v>18645</v>
      </c>
      <c r="BB30" s="77">
        <f>BB24*IFERROR(INDEX(SUP_C3_EXPANSION!$E$20:$E$59,BA25+1),0)</f>
        <v>4145</v>
      </c>
      <c r="BC30" s="77">
        <f>BC24*IFERROR(INDEX(SUP_C3_EXPANSION!$E$20:$E$59,BB25+1),0)</f>
        <v>5715</v>
      </c>
      <c r="BD30" s="77">
        <f>BD24*IFERROR(INDEX(SUP_C3_EXPANSION!$E$20:$E$59,BC25+1),0)</f>
        <v>4145</v>
      </c>
      <c r="BE30" s="77">
        <f>BE24*IFERROR(INDEX(SUP_C3_EXPANSION!$E$20:$E$59,BD25+1),0)</f>
        <v>4145</v>
      </c>
      <c r="BF30" s="77">
        <f>BF24*IFERROR(INDEX(SUP_C3_EXPANSION!$E$20:$E$59,BE25+1),0)</f>
        <v>4145</v>
      </c>
      <c r="BG30" s="77">
        <f>BG24*IFERROR(INDEX(SUP_C3_EXPANSION!$E$20:$E$59,BF25+1),0)</f>
        <v>5715</v>
      </c>
      <c r="BH30" s="77">
        <f>BH24*IFERROR(INDEX(SUP_C3_EXPANSION!$E$20:$E$59,BG25+1),0)</f>
        <v>4145</v>
      </c>
      <c r="BI30" s="77">
        <f>BI24*IFERROR(INDEX(SUP_C3_EXPANSION!$E$20:$E$59,BH25+1),0)</f>
        <v>4145</v>
      </c>
      <c r="BJ30" s="77">
        <f>BJ24*IFERROR(INDEX(SUP_C3_EXPANSION!$E$20:$E$59,BI25+1),0)</f>
        <v>4145</v>
      </c>
      <c r="BK30" s="77">
        <f>BK24*IFERROR(INDEX(SUP_C3_EXPANSION!$E$20:$E$59,BJ25+1),0)</f>
        <v>5715</v>
      </c>
      <c r="BL30" s="77">
        <f>BL24*IFERROR(INDEX(SUP_C3_EXPANSION!$E$20:$E$59,BK25+1),0)</f>
        <v>4145</v>
      </c>
      <c r="BM30" s="77">
        <f>BM24*IFERROR(INDEX(SUP_C3_EXPANSION!$E$20:$E$59,BL25+1),0)</f>
        <v>4145</v>
      </c>
      <c r="BN30" s="77">
        <f>BN24*IFERROR(INDEX(SUP_C3_EXPANSION!$E$20:$E$59,BM25+1),0)</f>
        <v>4145</v>
      </c>
      <c r="BO30" s="77">
        <f>BO24*IFERROR(INDEX(SUP_C3_EXPANSION!$E$20:$E$59,BN25+1),0)</f>
        <v>5715</v>
      </c>
      <c r="BP30" s="77">
        <f>BP24*IFERROR(INDEX(SUP_C3_EXPANSION!$E$20:$E$59,BO25+1),0)</f>
        <v>18645</v>
      </c>
      <c r="BQ30" s="77">
        <f>BQ24*IFERROR(INDEX(SUP_C3_EXPANSION!$E$20:$E$59,BP25+1),0)</f>
        <v>4145</v>
      </c>
      <c r="BR30" s="77">
        <f>BR24*IFERROR(INDEX(SUP_C3_EXPANSION!$E$20:$E$59,BQ25+1),0)</f>
        <v>4145</v>
      </c>
      <c r="BS30" s="77">
        <f>BS24*IFERROR(INDEX(SUP_C3_EXPANSION!$E$20:$E$59,BR25+1),0)</f>
        <v>4145</v>
      </c>
      <c r="BT30" s="77">
        <f>BT24*IFERROR(INDEX(SUP_C3_EXPANSION!$E$20:$E$59,BS25+1),0)</f>
        <v>5715</v>
      </c>
      <c r="BU30" s="77">
        <f>BU24*IFERROR(INDEX(SUP_C3_EXPANSION!$E$20:$E$59,BT25+1),0)</f>
        <v>4145</v>
      </c>
      <c r="BV30" s="77">
        <f>BV24*IFERROR(INDEX(SUP_C3_EXPANSION!$E$20:$E$59,BU25+1),0)</f>
        <v>4145</v>
      </c>
      <c r="BW30" s="77">
        <f>BW24*IFERROR(INDEX(SUP_C3_EXPANSION!$E$20:$E$59,BV25+1),0)</f>
        <v>4145</v>
      </c>
      <c r="BX30" s="77">
        <f>BX24*IFERROR(INDEX(SUP_C3_EXPANSION!$E$20:$E$59,BW25+1),0)</f>
        <v>5715</v>
      </c>
      <c r="BY30" s="77">
        <f>BY24*IFERROR(INDEX(SUP_C3_EXPANSION!$E$20:$E$59,BX25+1),0)</f>
        <v>4145</v>
      </c>
      <c r="BZ30" s="77">
        <f>BZ24*IFERROR(INDEX(SUP_C3_EXPANSION!$E$20:$E$59,BY25+1),0)</f>
        <v>4145</v>
      </c>
      <c r="CA30" s="77">
        <f>CA24*IFERROR(INDEX(SUP_C3_EXPANSION!$E$20:$E$59,BZ25+1),0)</f>
        <v>0</v>
      </c>
      <c r="CB30" s="77">
        <f>CB24*IFERROR(INDEX(SUP_C3_EXPANSION!$E$20:$E$59,CA25+1),0)</f>
        <v>0</v>
      </c>
      <c r="CC30" s="77">
        <f>CC24*IFERROR(INDEX(SUP_C3_EXPANSION!$E$20:$E$59,CB25+1),0)</f>
        <v>0</v>
      </c>
      <c r="CD30" s="77">
        <f>CD24*IFERROR(INDEX(SUP_C3_EXPANSION!$E$20:$E$59,CC25+1),0)</f>
        <v>0</v>
      </c>
      <c r="CE30" s="77">
        <f>CE24*IFERROR(INDEX(SUP_C3_EXPANSION!$E$20:$E$59,CD25+1),0)</f>
        <v>0</v>
      </c>
      <c r="CF30" s="77">
        <f>CF24*IFERROR(INDEX(SUP_C3_EXPANSION!$E$20:$E$59,CE25+1),0)</f>
        <v>0</v>
      </c>
      <c r="CG30" s="77">
        <f>CG24*IFERROR(INDEX(SUP_C3_EXPANSION!$E$20:$E$59,CF25+1),0)</f>
        <v>0</v>
      </c>
      <c r="CH30" s="77">
        <f>CH24*IFERROR(INDEX(SUP_C3_EXPANSION!$E$20:$E$59,CG25+1),0)</f>
        <v>0</v>
      </c>
      <c r="CI30" s="77">
        <f>CI24*IFERROR(INDEX(SUP_C3_EXPANSION!$E$20:$E$59,CH25+1),0)</f>
        <v>0</v>
      </c>
      <c r="CJ30" s="77">
        <f>CJ24*IFERROR(INDEX(SUP_C3_EXPANSION!$E$20:$E$59,CI25+1),0)</f>
        <v>0</v>
      </c>
      <c r="CK30" s="77">
        <f>CK24*IFERROR(INDEX(SUP_C3_EXPANSION!$E$20:$E$59,CJ25+1),0)</f>
        <v>0</v>
      </c>
      <c r="CL30" s="77">
        <f>CL24*IFERROR(INDEX(SUP_C3_EXPANSION!$E$20:$E$59,CK25+1),0)</f>
        <v>0</v>
      </c>
      <c r="CM30" s="77">
        <f>CM24*IFERROR(INDEX(SUP_C3_EXPANSION!$E$20:$E$59,CL25+1),0)</f>
        <v>0</v>
      </c>
      <c r="CN30" s="77">
        <f>CN24*IFERROR(INDEX(SUP_C3_EXPANSION!$E$20:$E$59,CM25+1),0)</f>
        <v>0</v>
      </c>
      <c r="CO30" s="77">
        <f>CO24*IFERROR(INDEX(SUP_C3_EXPANSION!$E$20:$E$59,CN25+1),0)</f>
        <v>0</v>
      </c>
      <c r="CP30" s="77">
        <f>CP24*IFERROR(INDEX(SUP_C3_EXPANSION!$E$20:$E$59,CO25+1),0)</f>
        <v>0</v>
      </c>
      <c r="CQ30" s="77">
        <f>CQ24*IFERROR(INDEX(SUP_C3_EXPANSION!$E$20:$E$59,CP25+1),0)</f>
        <v>0</v>
      </c>
      <c r="CR30" s="77">
        <f>CR24*IFERROR(INDEX(SUP_C3_EXPANSION!$E$20:$E$59,CQ25+1),0)</f>
        <v>0</v>
      </c>
      <c r="CS30" s="77">
        <f>CS24*IFERROR(INDEX(SUP_C3_EXPANSION!$E$20:$E$59,CR25+1),0)</f>
        <v>0</v>
      </c>
      <c r="CT30" s="77">
        <f>CT24*IFERROR(INDEX(SUP_C3_EXPANSION!$E$20:$E$59,CS25+1),0)</f>
        <v>0</v>
      </c>
      <c r="CU30" s="77">
        <f>CU24*IFERROR(INDEX(SUP_C3_EXPANSION!$E$20:$E$59,CT25+1),0)</f>
        <v>0</v>
      </c>
      <c r="CV30" s="77">
        <f>CV24*IFERROR(INDEX(SUP_C3_EXPANSION!$E$20:$E$59,CU25+1),0)</f>
        <v>0</v>
      </c>
      <c r="CW30" s="77">
        <f>CW24*IFERROR(INDEX(SUP_C3_EXPANSION!$E$20:$E$59,CV25+1),0)</f>
        <v>0</v>
      </c>
      <c r="CX30" s="77">
        <f>CX24*IFERROR(INDEX(SUP_C3_EXPANSION!$E$20:$E$59,CW25+1),0)</f>
        <v>0</v>
      </c>
      <c r="CY30" s="77">
        <f>CY24*IFERROR(INDEX(SUP_C3_EXPANSION!$E$20:$E$59,CX25+1),0)</f>
        <v>0</v>
      </c>
      <c r="CZ30" s="77">
        <f>CZ24*IFERROR(INDEX(SUP_C3_EXPANSION!$E$20:$E$59,CY25+1),0)</f>
        <v>0</v>
      </c>
      <c r="DA30" s="77">
        <f>DA24*IFERROR(INDEX(SUP_C3_EXPANSION!$E$20:$E$59,CZ25+1),0)</f>
        <v>0</v>
      </c>
      <c r="DB30" s="77">
        <f>DB24*IFERROR(INDEX(SUP_C3_EXPANSION!$E$20:$E$59,DA25+1),0)</f>
        <v>0</v>
      </c>
      <c r="DC30" s="77">
        <f>DC24*IFERROR(INDEX(SUP_C3_EXPANSION!$E$20:$E$59,DB25+1),0)</f>
        <v>0</v>
      </c>
      <c r="DD30" s="77">
        <f>DD24*IFERROR(INDEX(SUP_C3_EXPANSION!$E$20:$E$59,DC25+1),0)</f>
        <v>0</v>
      </c>
      <c r="DE30" s="77">
        <f>DE24*IFERROR(INDEX(SUP_C3_EXPANSION!$E$20:$E$59,DD25+1),0)</f>
        <v>0</v>
      </c>
      <c r="DF30" s="77">
        <f>DF24*IFERROR(INDEX(SUP_C3_EXPANSION!$E$20:$E$59,DE25+1),0)</f>
        <v>0</v>
      </c>
      <c r="DG30" s="77">
        <f>DG24*IFERROR(INDEX(SUP_C3_EXPANSION!$E$20:$E$59,DF25+1),0)</f>
        <v>0</v>
      </c>
      <c r="DH30" s="77">
        <f>DH24*IFERROR(INDEX(SUP_C3_EXPANSION!$E$20:$E$59,DG25+1),0)</f>
        <v>0</v>
      </c>
      <c r="DI30" s="77">
        <f>DI24*IFERROR(INDEX(SUP_C3_EXPANSION!$E$20:$E$59,DH25+1),0)</f>
        <v>0</v>
      </c>
      <c r="DJ30" s="77">
        <f>DJ24*IFERROR(INDEX(SUP_C3_EXPANSION!$E$20:$E$59,DI25+1),0)</f>
        <v>0</v>
      </c>
      <c r="DK30" s="77">
        <f>DK24*IFERROR(INDEX(SUP_C3_EXPANSION!$E$20:$E$59,DJ25+1),0)</f>
        <v>0</v>
      </c>
      <c r="DL30" s="77">
        <f>DL24*IFERROR(INDEX(SUP_C3_EXPANSION!$E$20:$E$59,DK25+1),0)</f>
        <v>0</v>
      </c>
      <c r="DM30" s="77">
        <f>DM24*IFERROR(INDEX(SUP_C3_EXPANSION!$E$20:$E$59,DL25+1),0)</f>
        <v>0</v>
      </c>
      <c r="DN30" s="77">
        <f>DN24*IFERROR(INDEX(SUP_C3_EXPANSION!$E$20:$E$59,DM25+1),0)</f>
        <v>0</v>
      </c>
      <c r="DO30" s="77">
        <f>DO24*IFERROR(INDEX(SUP_C3_EXPANSION!$E$20:$E$59,DN25+1),0)</f>
        <v>0</v>
      </c>
      <c r="DP30" s="77">
        <f>DP24*IFERROR(INDEX(SUP_C3_EXPANSION!$E$20:$E$59,DO25+1),0)</f>
        <v>0</v>
      </c>
      <c r="DQ30" s="77">
        <f>DQ24*IFERROR(INDEX(SUP_C3_EXPANSION!$E$20:$E$59,DP25+1),0)</f>
        <v>0</v>
      </c>
      <c r="DR30" s="77">
        <f>DR24*IFERROR(INDEX(SUP_C3_EXPANSION!$E$20:$E$59,DQ25+1),0)</f>
        <v>0</v>
      </c>
      <c r="DS30" s="77">
        <f>DS24*IFERROR(INDEX(SUP_C3_EXPANSION!$E$20:$E$59,DR25+1),0)</f>
        <v>0</v>
      </c>
    </row>
    <row r="32" spans="1:123" ht="15" customHeight="1" x14ac:dyDescent="0.2">
      <c r="B32" t="s">
        <v>1020</v>
      </c>
      <c r="C32" s="83">
        <f>SUP_CONTROL!$C$21-10-SUP_CONTROL!$C$12</f>
        <v>40</v>
      </c>
    </row>
    <row r="34" spans="1:123" ht="15" customHeight="1" x14ac:dyDescent="0.2">
      <c r="A34" s="25" t="s">
        <v>1021</v>
      </c>
      <c r="B34" s="26"/>
      <c r="C34" s="26"/>
    </row>
    <row r="35" spans="1:123" ht="15" customHeight="1" x14ac:dyDescent="0.2">
      <c r="B35" s="20" t="s">
        <v>1022</v>
      </c>
      <c r="D35" s="83">
        <f>SUP_CONTROL!$C$11*(CAPA1_PILOTO!D8+CAPA1_PILOTO!D9)+SUP_CONTROL!$C$12*CAPA2_FLAGSHIP!D6+D25</f>
        <v>0</v>
      </c>
      <c r="E35" s="83">
        <f>SUP_CONTROL!$C$11*(CAPA1_PILOTO!E8+CAPA1_PILOTO!E9)+SUP_CONTROL!$C$12*CAPA2_FLAGSHIP!E6+E25</f>
        <v>0</v>
      </c>
      <c r="F35" s="83">
        <f>SUP_CONTROL!$C$11*(CAPA1_PILOTO!F8+CAPA1_PILOTO!F9)+SUP_CONTROL!$C$12*CAPA2_FLAGSHIP!F6+F25</f>
        <v>0</v>
      </c>
      <c r="G35" s="83">
        <f>SUP_CONTROL!$C$11*(CAPA1_PILOTO!G8+CAPA1_PILOTO!G9)+SUP_CONTROL!$C$12*CAPA2_FLAGSHIP!G6+G25</f>
        <v>2</v>
      </c>
      <c r="H35" s="83">
        <f>SUP_CONTROL!$C$11*(CAPA1_PILOTO!H8+CAPA1_PILOTO!H9)+SUP_CONTROL!$C$12*CAPA2_FLAGSHIP!H6+H25</f>
        <v>4</v>
      </c>
      <c r="I35" s="83">
        <f>SUP_CONTROL!$C$11*(CAPA1_PILOTO!I8+CAPA1_PILOTO!I9)+SUP_CONTROL!$C$12*CAPA2_FLAGSHIP!I6+I25</f>
        <v>6</v>
      </c>
      <c r="J35" s="83">
        <f>SUP_CONTROL!$C$11*(CAPA1_PILOTO!J8+CAPA1_PILOTO!J9)+SUP_CONTROL!$C$12*CAPA2_FLAGSHIP!J6+J25</f>
        <v>8</v>
      </c>
      <c r="K35" s="83">
        <f>SUP_CONTROL!$C$11*(CAPA1_PILOTO!K8+CAPA1_PILOTO!K9)+SUP_CONTROL!$C$12*CAPA2_FLAGSHIP!K6+K25</f>
        <v>10</v>
      </c>
      <c r="L35" s="83">
        <f>SUP_CONTROL!$C$11*(CAPA1_PILOTO!L8+CAPA1_PILOTO!L9)+SUP_CONTROL!$C$12*CAPA2_FLAGSHIP!L6+L25</f>
        <v>10</v>
      </c>
      <c r="M35" s="83">
        <f>SUP_CONTROL!$C$11*(CAPA1_PILOTO!M8+CAPA1_PILOTO!M9)+SUP_CONTROL!$C$12*CAPA2_FLAGSHIP!M6+M25</f>
        <v>10</v>
      </c>
      <c r="N35" s="83">
        <f>SUP_CONTROL!$C$11*(CAPA1_PILOTO!N8+CAPA1_PILOTO!N9)+SUP_CONTROL!$C$12*CAPA2_FLAGSHIP!N6+N25</f>
        <v>10</v>
      </c>
      <c r="O35" s="83">
        <f>SUP_CONTROL!$C$11*(CAPA1_PILOTO!O8+CAPA1_PILOTO!O9)+SUP_CONTROL!$C$12*CAPA2_FLAGSHIP!O6+O25</f>
        <v>10</v>
      </c>
      <c r="P35" s="83">
        <f>SUP_CONTROL!$C$11*(CAPA1_PILOTO!P8+CAPA1_PILOTO!P9)+SUP_CONTROL!$C$12*CAPA2_FLAGSHIP!P6+P25</f>
        <v>10</v>
      </c>
      <c r="Q35" s="83">
        <f>SUP_CONTROL!$C$11*(CAPA1_PILOTO!Q8+CAPA1_PILOTO!Q9)+SUP_CONTROL!$C$12*CAPA2_FLAGSHIP!Q6+Q25</f>
        <v>11</v>
      </c>
      <c r="R35" s="83">
        <f>SUP_CONTROL!$C$11*(CAPA1_PILOTO!R8+CAPA1_PILOTO!R9)+SUP_CONTROL!$C$12*CAPA2_FLAGSHIP!R6+R25</f>
        <v>11</v>
      </c>
      <c r="S35" s="83">
        <f>SUP_CONTROL!$C$11*(CAPA1_PILOTO!S8+CAPA1_PILOTO!S9)+SUP_CONTROL!$C$12*CAPA2_FLAGSHIP!S6+S25</f>
        <v>12</v>
      </c>
      <c r="T35" s="83">
        <f>SUP_CONTROL!$C$11*(CAPA1_PILOTO!T8+CAPA1_PILOTO!T9)+SUP_CONTROL!$C$12*CAPA2_FLAGSHIP!T6+T25</f>
        <v>13</v>
      </c>
      <c r="U35" s="83">
        <f>SUP_CONTROL!$C$11*(CAPA1_PILOTO!U8+CAPA1_PILOTO!U9)+SUP_CONTROL!$C$12*CAPA2_FLAGSHIP!U6+U25</f>
        <v>13</v>
      </c>
      <c r="V35" s="83">
        <f>SUP_CONTROL!$C$11*(CAPA1_PILOTO!V8+CAPA1_PILOTO!V9)+SUP_CONTROL!$C$12*CAPA2_FLAGSHIP!V6+V25</f>
        <v>13</v>
      </c>
      <c r="W35" s="83">
        <f>SUP_CONTROL!$C$11*(CAPA1_PILOTO!W8+CAPA1_PILOTO!W9)+SUP_CONTROL!$C$12*CAPA2_FLAGSHIP!W6+W25</f>
        <v>13</v>
      </c>
      <c r="X35" s="83">
        <f>SUP_CONTROL!$C$11*(CAPA1_PILOTO!X8+CAPA1_PILOTO!X9)+SUP_CONTROL!$C$12*CAPA2_FLAGSHIP!X6+X25</f>
        <v>13</v>
      </c>
      <c r="Y35" s="83">
        <f>SUP_CONTROL!$C$11*(CAPA1_PILOTO!Y8+CAPA1_PILOTO!Y9)+SUP_CONTROL!$C$12*CAPA2_FLAGSHIP!Y6+Y25</f>
        <v>13</v>
      </c>
      <c r="Z35" s="83">
        <f>SUP_CONTROL!$C$11*(CAPA1_PILOTO!Z8+CAPA1_PILOTO!Z9)+SUP_CONTROL!$C$12*CAPA2_FLAGSHIP!Z6+Z25</f>
        <v>13</v>
      </c>
      <c r="AA35" s="83">
        <f>SUP_CONTROL!$C$11*(CAPA1_PILOTO!AA8+CAPA1_PILOTO!AA9)+SUP_CONTROL!$C$12*CAPA2_FLAGSHIP!AA6+AA25</f>
        <v>13</v>
      </c>
      <c r="AB35" s="83">
        <f>SUP_CONTROL!$C$11*(CAPA1_PILOTO!AB8+CAPA1_PILOTO!AB9)+SUP_CONTROL!$C$12*CAPA2_FLAGSHIP!AB6+AB25</f>
        <v>13</v>
      </c>
      <c r="AC35" s="83">
        <f>SUP_CONTROL!$C$11*(CAPA1_PILOTO!AC8+CAPA1_PILOTO!AC9)+SUP_CONTROL!$C$12*CAPA2_FLAGSHIP!AC6+AC25</f>
        <v>14</v>
      </c>
      <c r="AD35" s="83">
        <f>SUP_CONTROL!$C$11*(CAPA1_PILOTO!AD8+CAPA1_PILOTO!AD9)+SUP_CONTROL!$C$12*CAPA2_FLAGSHIP!AD6+AD25</f>
        <v>15</v>
      </c>
      <c r="AE35" s="83">
        <f>SUP_CONTROL!$C$11*(CAPA1_PILOTO!AE8+CAPA1_PILOTO!AE9)+SUP_CONTROL!$C$12*CAPA2_FLAGSHIP!AE6+AE25</f>
        <v>15</v>
      </c>
      <c r="AF35" s="83">
        <f>SUP_CONTROL!$C$11*(CAPA1_PILOTO!AF8+CAPA1_PILOTO!AF9)+SUP_CONTROL!$C$12*CAPA2_FLAGSHIP!AF6+AF25</f>
        <v>16</v>
      </c>
      <c r="AG35" s="83">
        <f>SUP_CONTROL!$C$11*(CAPA1_PILOTO!AG8+CAPA1_PILOTO!AG9)+SUP_CONTROL!$C$12*CAPA2_FLAGSHIP!AG6+AG25</f>
        <v>17</v>
      </c>
      <c r="AH35" s="83">
        <f>SUP_CONTROL!$C$11*(CAPA1_PILOTO!AH8+CAPA1_PILOTO!AH9)+SUP_CONTROL!$C$12*CAPA2_FLAGSHIP!AH6+AH25</f>
        <v>17</v>
      </c>
      <c r="AI35" s="83">
        <f>SUP_CONTROL!$C$11*(CAPA1_PILOTO!AI8+CAPA1_PILOTO!AI9)+SUP_CONTROL!$C$12*CAPA2_FLAGSHIP!AI6+AI25</f>
        <v>17</v>
      </c>
      <c r="AJ35" s="83">
        <f>SUP_CONTROL!$C$11*(CAPA1_PILOTO!AJ8+CAPA1_PILOTO!AJ9)+SUP_CONTROL!$C$12*CAPA2_FLAGSHIP!AJ6+AJ25</f>
        <v>18</v>
      </c>
      <c r="AK35" s="83">
        <f>SUP_CONTROL!$C$11*(CAPA1_PILOTO!AK8+CAPA1_PILOTO!AK9)+SUP_CONTROL!$C$12*CAPA2_FLAGSHIP!AK6+AK25</f>
        <v>19</v>
      </c>
      <c r="AL35" s="83">
        <f>SUP_CONTROL!$C$11*(CAPA1_PILOTO!AL8+CAPA1_PILOTO!AL9)+SUP_CONTROL!$C$12*CAPA2_FLAGSHIP!AL6+AL25</f>
        <v>20</v>
      </c>
      <c r="AM35" s="83">
        <f>SUP_CONTROL!$C$11*(CAPA1_PILOTO!AM8+CAPA1_PILOTO!AM9)+SUP_CONTROL!$C$12*CAPA2_FLAGSHIP!AM6+AM25</f>
        <v>21</v>
      </c>
      <c r="AN35" s="83">
        <f>SUP_CONTROL!$C$11*(CAPA1_PILOTO!AN8+CAPA1_PILOTO!AN9)+SUP_CONTROL!$C$12*CAPA2_FLAGSHIP!AN6+AN25</f>
        <v>21</v>
      </c>
      <c r="AO35" s="83">
        <f>SUP_CONTROL!$C$11*(CAPA1_PILOTO!AO8+CAPA1_PILOTO!AO9)+SUP_CONTROL!$C$12*CAPA2_FLAGSHIP!AO6+AO25</f>
        <v>22</v>
      </c>
      <c r="AP35" s="83">
        <f>SUP_CONTROL!$C$11*(CAPA1_PILOTO!AP8+CAPA1_PILOTO!AP9)+SUP_CONTROL!$C$12*CAPA2_FLAGSHIP!AP6+AP25</f>
        <v>22</v>
      </c>
      <c r="AQ35" s="83">
        <f>SUP_CONTROL!$C$11*(CAPA1_PILOTO!AQ8+CAPA1_PILOTO!AQ9)+SUP_CONTROL!$C$12*CAPA2_FLAGSHIP!AQ6+AQ25</f>
        <v>23</v>
      </c>
      <c r="AR35" s="83">
        <f>SUP_CONTROL!$C$11*(CAPA1_PILOTO!AR8+CAPA1_PILOTO!AR9)+SUP_CONTROL!$C$12*CAPA2_FLAGSHIP!AR6+AR25</f>
        <v>24</v>
      </c>
      <c r="AS35" s="83">
        <f>SUP_CONTROL!$C$11*(CAPA1_PILOTO!AS8+CAPA1_PILOTO!AS9)+SUP_CONTROL!$C$12*CAPA2_FLAGSHIP!AS6+AS25</f>
        <v>24</v>
      </c>
      <c r="AT35" s="83">
        <f>SUP_CONTROL!$C$11*(CAPA1_PILOTO!AT8+CAPA1_PILOTO!AT9)+SUP_CONTROL!$C$12*CAPA2_FLAGSHIP!AT6+AT25</f>
        <v>24</v>
      </c>
      <c r="AU35" s="83">
        <f>SUP_CONTROL!$C$11*(CAPA1_PILOTO!AU8+CAPA1_PILOTO!AU9)+SUP_CONTROL!$C$12*CAPA2_FLAGSHIP!AU6+AU25</f>
        <v>24</v>
      </c>
      <c r="AV35" s="83">
        <f>SUP_CONTROL!$C$11*(CAPA1_PILOTO!AV8+CAPA1_PILOTO!AV9)+SUP_CONTROL!$C$12*CAPA2_FLAGSHIP!AV6+AV25</f>
        <v>24</v>
      </c>
      <c r="AW35" s="83">
        <f>SUP_CONTROL!$C$11*(CAPA1_PILOTO!AW8+CAPA1_PILOTO!AW9)+SUP_CONTROL!$C$12*CAPA2_FLAGSHIP!AW6+AW25</f>
        <v>24</v>
      </c>
      <c r="AX35" s="83">
        <f>SUP_CONTROL!$C$11*(CAPA1_PILOTO!AX8+CAPA1_PILOTO!AX9)+SUP_CONTROL!$C$12*CAPA2_FLAGSHIP!AX6+AX25</f>
        <v>24</v>
      </c>
      <c r="AY35" s="83">
        <f>SUP_CONTROL!$C$11*(CAPA1_PILOTO!AY8+CAPA1_PILOTO!AY9)+SUP_CONTROL!$C$12*CAPA2_FLAGSHIP!AY6+AY25</f>
        <v>24</v>
      </c>
      <c r="AZ35" s="83">
        <f>SUP_CONTROL!$C$11*(CAPA1_PILOTO!AZ8+CAPA1_PILOTO!AZ9)+SUP_CONTROL!$C$12*CAPA2_FLAGSHIP!AZ6+AZ25</f>
        <v>24</v>
      </c>
      <c r="BA35" s="83">
        <f>SUP_CONTROL!$C$11*(CAPA1_PILOTO!BA8+CAPA1_PILOTO!BA9)+SUP_CONTROL!$C$12*CAPA2_FLAGSHIP!BA6+BA25</f>
        <v>25</v>
      </c>
      <c r="BB35" s="83">
        <f>SUP_CONTROL!$C$11*(CAPA1_PILOTO!BB8+CAPA1_PILOTO!BB9)+SUP_CONTROL!$C$12*CAPA2_FLAGSHIP!BB6+BB25</f>
        <v>26</v>
      </c>
      <c r="BC35" s="83">
        <f>SUP_CONTROL!$C$11*(CAPA1_PILOTO!BC8+CAPA1_PILOTO!BC9)+SUP_CONTROL!$C$12*CAPA2_FLAGSHIP!BC6+BC25</f>
        <v>27</v>
      </c>
      <c r="BD35" s="83">
        <f>SUP_CONTROL!$C$11*(CAPA1_PILOTO!BD8+CAPA1_PILOTO!BD9)+SUP_CONTROL!$C$12*CAPA2_FLAGSHIP!BD6+BD25</f>
        <v>28</v>
      </c>
      <c r="BE35" s="83">
        <f>SUP_CONTROL!$C$11*(CAPA1_PILOTO!BE8+CAPA1_PILOTO!BE9)+SUP_CONTROL!$C$12*CAPA2_FLAGSHIP!BE6+BE25</f>
        <v>29</v>
      </c>
      <c r="BF35" s="83">
        <f>SUP_CONTROL!$C$11*(CAPA1_PILOTO!BF8+CAPA1_PILOTO!BF9)+SUP_CONTROL!$C$12*CAPA2_FLAGSHIP!BF6+BF25</f>
        <v>30</v>
      </c>
      <c r="BG35" s="83">
        <f>SUP_CONTROL!$C$11*(CAPA1_PILOTO!BG8+CAPA1_PILOTO!BG9)+SUP_CONTROL!$C$12*CAPA2_FLAGSHIP!BG6+BG25</f>
        <v>31</v>
      </c>
      <c r="BH35" s="83">
        <f>SUP_CONTROL!$C$11*(CAPA1_PILOTO!BH8+CAPA1_PILOTO!BH9)+SUP_CONTROL!$C$12*CAPA2_FLAGSHIP!BH6+BH25</f>
        <v>32</v>
      </c>
      <c r="BI35" s="83">
        <f>SUP_CONTROL!$C$11*(CAPA1_PILOTO!BI8+CAPA1_PILOTO!BI9)+SUP_CONTROL!$C$12*CAPA2_FLAGSHIP!BI6+BI25</f>
        <v>33</v>
      </c>
      <c r="BJ35" s="83">
        <f>SUP_CONTROL!$C$11*(CAPA1_PILOTO!BJ8+CAPA1_PILOTO!BJ9)+SUP_CONTROL!$C$12*CAPA2_FLAGSHIP!BJ6+BJ25</f>
        <v>34</v>
      </c>
      <c r="BK35" s="83">
        <f>SUP_CONTROL!$C$11*(CAPA1_PILOTO!BK8+CAPA1_PILOTO!BK9)+SUP_CONTROL!$C$12*CAPA2_FLAGSHIP!BK6+BK25</f>
        <v>35</v>
      </c>
      <c r="BL35" s="83">
        <f>SUP_CONTROL!$C$11*(CAPA1_PILOTO!BL8+CAPA1_PILOTO!BL9)+SUP_CONTROL!$C$12*CAPA2_FLAGSHIP!BL6+BL25</f>
        <v>36</v>
      </c>
      <c r="BM35" s="83">
        <f>SUP_CONTROL!$C$11*(CAPA1_PILOTO!BM8+CAPA1_PILOTO!BM9)+SUP_CONTROL!$C$12*CAPA2_FLAGSHIP!BM6+BM25</f>
        <v>37</v>
      </c>
      <c r="BN35" s="83">
        <f>SUP_CONTROL!$C$11*(CAPA1_PILOTO!BN8+CAPA1_PILOTO!BN9)+SUP_CONTROL!$C$12*CAPA2_FLAGSHIP!BN6+BN25</f>
        <v>38</v>
      </c>
      <c r="BO35" s="83">
        <f>SUP_CONTROL!$C$11*(CAPA1_PILOTO!BO8+CAPA1_PILOTO!BO9)+SUP_CONTROL!$C$12*CAPA2_FLAGSHIP!BO6+BO25</f>
        <v>39</v>
      </c>
      <c r="BP35" s="83">
        <f>SUP_CONTROL!$C$11*(CAPA1_PILOTO!BP8+CAPA1_PILOTO!BP9)+SUP_CONTROL!$C$12*CAPA2_FLAGSHIP!BP6+BP25</f>
        <v>40</v>
      </c>
      <c r="BQ35" s="83">
        <f>SUP_CONTROL!$C$11*(CAPA1_PILOTO!BQ8+CAPA1_PILOTO!BQ9)+SUP_CONTROL!$C$12*CAPA2_FLAGSHIP!BQ6+BQ25</f>
        <v>41</v>
      </c>
      <c r="BR35" s="83">
        <f>SUP_CONTROL!$C$11*(CAPA1_PILOTO!BR8+CAPA1_PILOTO!BR9)+SUP_CONTROL!$C$12*CAPA2_FLAGSHIP!BR6+BR25</f>
        <v>42</v>
      </c>
      <c r="BS35" s="83">
        <f>SUP_CONTROL!$C$11*(CAPA1_PILOTO!BS8+CAPA1_PILOTO!BS9)+SUP_CONTROL!$C$12*CAPA2_FLAGSHIP!BS6+BS25</f>
        <v>43</v>
      </c>
      <c r="BT35" s="83">
        <f>SUP_CONTROL!$C$11*(CAPA1_PILOTO!BT8+CAPA1_PILOTO!BT9)+SUP_CONTROL!$C$12*CAPA2_FLAGSHIP!BT6+BT25</f>
        <v>44</v>
      </c>
      <c r="BU35" s="83">
        <f>SUP_CONTROL!$C$11*(CAPA1_PILOTO!BU8+CAPA1_PILOTO!BU9)+SUP_CONTROL!$C$12*CAPA2_FLAGSHIP!BU6+BU25</f>
        <v>45</v>
      </c>
      <c r="BV35" s="83">
        <f>SUP_CONTROL!$C$11*(CAPA1_PILOTO!BV8+CAPA1_PILOTO!BV9)+SUP_CONTROL!$C$12*CAPA2_FLAGSHIP!BV6+BV25</f>
        <v>46</v>
      </c>
      <c r="BW35" s="83">
        <f>SUP_CONTROL!$C$11*(CAPA1_PILOTO!BW8+CAPA1_PILOTO!BW9)+SUP_CONTROL!$C$12*CAPA2_FLAGSHIP!BW6+BW25</f>
        <v>47</v>
      </c>
      <c r="BX35" s="83">
        <f>SUP_CONTROL!$C$11*(CAPA1_PILOTO!BX8+CAPA1_PILOTO!BX9)+SUP_CONTROL!$C$12*CAPA2_FLAGSHIP!BX6+BX25</f>
        <v>48</v>
      </c>
      <c r="BY35" s="83">
        <f>SUP_CONTROL!$C$11*(CAPA1_PILOTO!BY8+CAPA1_PILOTO!BY9)+SUP_CONTROL!$C$12*CAPA2_FLAGSHIP!BY6+BY25</f>
        <v>49</v>
      </c>
      <c r="BZ35" s="83">
        <f>SUP_CONTROL!$C$11*(CAPA1_PILOTO!BZ8+CAPA1_PILOTO!BZ9)+SUP_CONTROL!$C$12*CAPA2_FLAGSHIP!BZ6+BZ25</f>
        <v>50</v>
      </c>
      <c r="CA35" s="83">
        <f>SUP_CONTROL!$C$11*(CAPA1_PILOTO!CA8+CAPA1_PILOTO!CA9)+SUP_CONTROL!$C$12*CAPA2_FLAGSHIP!CA6+CA25</f>
        <v>50</v>
      </c>
      <c r="CB35" s="83">
        <f>SUP_CONTROL!$C$11*(CAPA1_PILOTO!CB8+CAPA1_PILOTO!CB9)+SUP_CONTROL!$C$12*CAPA2_FLAGSHIP!CB6+CB25</f>
        <v>50</v>
      </c>
      <c r="CC35" s="83">
        <f>SUP_CONTROL!$C$11*(CAPA1_PILOTO!CC8+CAPA1_PILOTO!CC9)+SUP_CONTROL!$C$12*CAPA2_FLAGSHIP!CC6+CC25</f>
        <v>50</v>
      </c>
      <c r="CD35" s="83">
        <f>SUP_CONTROL!$C$11*(CAPA1_PILOTO!CD8+CAPA1_PILOTO!CD9)+SUP_CONTROL!$C$12*CAPA2_FLAGSHIP!CD6+CD25</f>
        <v>50</v>
      </c>
      <c r="CE35" s="83">
        <f>SUP_CONTROL!$C$11*(CAPA1_PILOTO!CE8+CAPA1_PILOTO!CE9)+SUP_CONTROL!$C$12*CAPA2_FLAGSHIP!CE6+CE25</f>
        <v>50</v>
      </c>
      <c r="CF35" s="83">
        <f>SUP_CONTROL!$C$11*(CAPA1_PILOTO!CF8+CAPA1_PILOTO!CF9)+SUP_CONTROL!$C$12*CAPA2_FLAGSHIP!CF6+CF25</f>
        <v>50</v>
      </c>
      <c r="CG35" s="83">
        <f>SUP_CONTROL!$C$11*(CAPA1_PILOTO!CG8+CAPA1_PILOTO!CG9)+SUP_CONTROL!$C$12*CAPA2_FLAGSHIP!CG6+CG25</f>
        <v>50</v>
      </c>
      <c r="CH35" s="83">
        <f>SUP_CONTROL!$C$11*(CAPA1_PILOTO!CH8+CAPA1_PILOTO!CH9)+SUP_CONTROL!$C$12*CAPA2_FLAGSHIP!CH6+CH25</f>
        <v>50</v>
      </c>
      <c r="CI35" s="83">
        <f>SUP_CONTROL!$C$11*(CAPA1_PILOTO!CI8+CAPA1_PILOTO!CI9)+SUP_CONTROL!$C$12*CAPA2_FLAGSHIP!CI6+CI25</f>
        <v>50</v>
      </c>
      <c r="CJ35" s="83">
        <f>SUP_CONTROL!$C$11*(CAPA1_PILOTO!CJ8+CAPA1_PILOTO!CJ9)+SUP_CONTROL!$C$12*CAPA2_FLAGSHIP!CJ6+CJ25</f>
        <v>50</v>
      </c>
      <c r="CK35" s="83">
        <f>SUP_CONTROL!$C$11*(CAPA1_PILOTO!CK8+CAPA1_PILOTO!CK9)+SUP_CONTROL!$C$12*CAPA2_FLAGSHIP!CK6+CK25</f>
        <v>50</v>
      </c>
      <c r="CL35" s="83">
        <f>SUP_CONTROL!$C$11*(CAPA1_PILOTO!CL8+CAPA1_PILOTO!CL9)+SUP_CONTROL!$C$12*CAPA2_FLAGSHIP!CL6+CL25</f>
        <v>50</v>
      </c>
      <c r="CM35" s="83">
        <f>SUP_CONTROL!$C$11*(CAPA1_PILOTO!CM8+CAPA1_PILOTO!CM9)+SUP_CONTROL!$C$12*CAPA2_FLAGSHIP!CM6+CM25</f>
        <v>50</v>
      </c>
      <c r="CN35" s="83">
        <f>SUP_CONTROL!$C$11*(CAPA1_PILOTO!CN8+CAPA1_PILOTO!CN9)+SUP_CONTROL!$C$12*CAPA2_FLAGSHIP!CN6+CN25</f>
        <v>50</v>
      </c>
      <c r="CO35" s="83">
        <f>SUP_CONTROL!$C$11*(CAPA1_PILOTO!CO8+CAPA1_PILOTO!CO9)+SUP_CONTROL!$C$12*CAPA2_FLAGSHIP!CO6+CO25</f>
        <v>50</v>
      </c>
      <c r="CP35" s="83">
        <f>SUP_CONTROL!$C$11*(CAPA1_PILOTO!CP8+CAPA1_PILOTO!CP9)+SUP_CONTROL!$C$12*CAPA2_FLAGSHIP!CP6+CP25</f>
        <v>50</v>
      </c>
      <c r="CQ35" s="83">
        <f>SUP_CONTROL!$C$11*(CAPA1_PILOTO!CQ8+CAPA1_PILOTO!CQ9)+SUP_CONTROL!$C$12*CAPA2_FLAGSHIP!CQ6+CQ25</f>
        <v>50</v>
      </c>
      <c r="CR35" s="83">
        <f>SUP_CONTROL!$C$11*(CAPA1_PILOTO!CR8+CAPA1_PILOTO!CR9)+SUP_CONTROL!$C$12*CAPA2_FLAGSHIP!CR6+CR25</f>
        <v>50</v>
      </c>
      <c r="CS35" s="83">
        <f>SUP_CONTROL!$C$11*(CAPA1_PILOTO!CS8+CAPA1_PILOTO!CS9)+SUP_CONTROL!$C$12*CAPA2_FLAGSHIP!CS6+CS25</f>
        <v>50</v>
      </c>
      <c r="CT35" s="83">
        <f>SUP_CONTROL!$C$11*(CAPA1_PILOTO!CT8+CAPA1_PILOTO!CT9)+SUP_CONTROL!$C$12*CAPA2_FLAGSHIP!CT6+CT25</f>
        <v>50</v>
      </c>
      <c r="CU35" s="83">
        <f>SUP_CONTROL!$C$11*(CAPA1_PILOTO!CU8+CAPA1_PILOTO!CU9)+SUP_CONTROL!$C$12*CAPA2_FLAGSHIP!CU6+CU25</f>
        <v>50</v>
      </c>
      <c r="CV35" s="83">
        <f>SUP_CONTROL!$C$11*(CAPA1_PILOTO!CV8+CAPA1_PILOTO!CV9)+SUP_CONTROL!$C$12*CAPA2_FLAGSHIP!CV6+CV25</f>
        <v>50</v>
      </c>
      <c r="CW35" s="83">
        <f>SUP_CONTROL!$C$11*(CAPA1_PILOTO!CW8+CAPA1_PILOTO!CW9)+SUP_CONTROL!$C$12*CAPA2_FLAGSHIP!CW6+CW25</f>
        <v>50</v>
      </c>
      <c r="CX35" s="83">
        <f>SUP_CONTROL!$C$11*(CAPA1_PILOTO!CX8+CAPA1_PILOTO!CX9)+SUP_CONTROL!$C$12*CAPA2_FLAGSHIP!CX6+CX25</f>
        <v>50</v>
      </c>
      <c r="CY35" s="83">
        <f>SUP_CONTROL!$C$11*(CAPA1_PILOTO!CY8+CAPA1_PILOTO!CY9)+SUP_CONTROL!$C$12*CAPA2_FLAGSHIP!CY6+CY25</f>
        <v>50</v>
      </c>
      <c r="CZ35" s="83">
        <f>SUP_CONTROL!$C$11*(CAPA1_PILOTO!CZ8+CAPA1_PILOTO!CZ9)+SUP_CONTROL!$C$12*CAPA2_FLAGSHIP!CZ6+CZ25</f>
        <v>50</v>
      </c>
      <c r="DA35" s="83">
        <f>SUP_CONTROL!$C$11*(CAPA1_PILOTO!DA8+CAPA1_PILOTO!DA9)+SUP_CONTROL!$C$12*CAPA2_FLAGSHIP!DA6+DA25</f>
        <v>50</v>
      </c>
      <c r="DB35" s="83">
        <f>SUP_CONTROL!$C$11*(CAPA1_PILOTO!DB8+CAPA1_PILOTO!DB9)+SUP_CONTROL!$C$12*CAPA2_FLAGSHIP!DB6+DB25</f>
        <v>50</v>
      </c>
      <c r="DC35" s="83">
        <f>SUP_CONTROL!$C$11*(CAPA1_PILOTO!DC8+CAPA1_PILOTO!DC9)+SUP_CONTROL!$C$12*CAPA2_FLAGSHIP!DC6+DC25</f>
        <v>50</v>
      </c>
      <c r="DD35" s="83">
        <f>SUP_CONTROL!$C$11*(CAPA1_PILOTO!DD8+CAPA1_PILOTO!DD9)+SUP_CONTROL!$C$12*CAPA2_FLAGSHIP!DD6+DD25</f>
        <v>50</v>
      </c>
      <c r="DE35" s="83">
        <f>SUP_CONTROL!$C$11*(CAPA1_PILOTO!DE8+CAPA1_PILOTO!DE9)+SUP_CONTROL!$C$12*CAPA2_FLAGSHIP!DE6+DE25</f>
        <v>50</v>
      </c>
      <c r="DF35" s="83">
        <f>SUP_CONTROL!$C$11*(CAPA1_PILOTO!DF8+CAPA1_PILOTO!DF9)+SUP_CONTROL!$C$12*CAPA2_FLAGSHIP!DF6+DF25</f>
        <v>50</v>
      </c>
      <c r="DG35" s="83">
        <f>SUP_CONTROL!$C$11*(CAPA1_PILOTO!DG8+CAPA1_PILOTO!DG9)+SUP_CONTROL!$C$12*CAPA2_FLAGSHIP!DG6+DG25</f>
        <v>50</v>
      </c>
      <c r="DH35" s="83">
        <f>SUP_CONTROL!$C$11*(CAPA1_PILOTO!DH8+CAPA1_PILOTO!DH9)+SUP_CONTROL!$C$12*CAPA2_FLAGSHIP!DH6+DH25</f>
        <v>50</v>
      </c>
      <c r="DI35" s="83">
        <f>SUP_CONTROL!$C$11*(CAPA1_PILOTO!DI8+CAPA1_PILOTO!DI9)+SUP_CONTROL!$C$12*CAPA2_FLAGSHIP!DI6+DI25</f>
        <v>50</v>
      </c>
      <c r="DJ35" s="83">
        <f>SUP_CONTROL!$C$11*(CAPA1_PILOTO!DJ8+CAPA1_PILOTO!DJ9)+SUP_CONTROL!$C$12*CAPA2_FLAGSHIP!DJ6+DJ25</f>
        <v>50</v>
      </c>
      <c r="DK35" s="83">
        <f>SUP_CONTROL!$C$11*(CAPA1_PILOTO!DK8+CAPA1_PILOTO!DK9)+SUP_CONTROL!$C$12*CAPA2_FLAGSHIP!DK6+DK25</f>
        <v>50</v>
      </c>
      <c r="DL35" s="83">
        <f>SUP_CONTROL!$C$11*(CAPA1_PILOTO!DL8+CAPA1_PILOTO!DL9)+SUP_CONTROL!$C$12*CAPA2_FLAGSHIP!DL6+DL25</f>
        <v>50</v>
      </c>
      <c r="DM35" s="83">
        <f>SUP_CONTROL!$C$11*(CAPA1_PILOTO!DM8+CAPA1_PILOTO!DM9)+SUP_CONTROL!$C$12*CAPA2_FLAGSHIP!DM6+DM25</f>
        <v>50</v>
      </c>
      <c r="DN35" s="83">
        <f>SUP_CONTROL!$C$11*(CAPA1_PILOTO!DN8+CAPA1_PILOTO!DN9)+SUP_CONTROL!$C$12*CAPA2_FLAGSHIP!DN6+DN25</f>
        <v>50</v>
      </c>
      <c r="DO35" s="83">
        <f>SUP_CONTROL!$C$11*(CAPA1_PILOTO!DO8+CAPA1_PILOTO!DO9)+SUP_CONTROL!$C$12*CAPA2_FLAGSHIP!DO6+DO25</f>
        <v>50</v>
      </c>
      <c r="DP35" s="83">
        <f>SUP_CONTROL!$C$11*(CAPA1_PILOTO!DP8+CAPA1_PILOTO!DP9)+SUP_CONTROL!$C$12*CAPA2_FLAGSHIP!DP6+DP25</f>
        <v>50</v>
      </c>
      <c r="DQ35" s="83">
        <f>SUP_CONTROL!$C$11*(CAPA1_PILOTO!DQ8+CAPA1_PILOTO!DQ9)+SUP_CONTROL!$C$12*CAPA2_FLAGSHIP!DQ6+DQ25</f>
        <v>50</v>
      </c>
      <c r="DR35" s="83">
        <f>SUP_CONTROL!$C$11*(CAPA1_PILOTO!DR8+CAPA1_PILOTO!DR9)+SUP_CONTROL!$C$12*CAPA2_FLAGSHIP!DR6+DR25</f>
        <v>50</v>
      </c>
      <c r="DS35" s="83">
        <f>SUP_CONTROL!$C$11*(CAPA1_PILOTO!DS8+CAPA1_PILOTO!DS9)+SUP_CONTROL!$C$12*CAPA2_FLAGSHIP!DS6+DS25</f>
        <v>50</v>
      </c>
    </row>
    <row r="36" spans="1:123" ht="15" customHeight="1" x14ac:dyDescent="0.2">
      <c r="B36" s="37" t="s">
        <v>1023</v>
      </c>
      <c r="D36" s="89">
        <f>IFERROR(INDEX(SUP_C3_EXPANSION!$C$12:$K$12,MATCH(D35,SUP_C3_EXPANSION!$C$9:$K$9,1)),1)</f>
        <v>1</v>
      </c>
      <c r="E36" s="89">
        <f>IFERROR(INDEX(SUP_C3_EXPANSION!$C$12:$K$12,MATCH(E35,SUP_C3_EXPANSION!$C$9:$K$9,1)),1)</f>
        <v>1</v>
      </c>
      <c r="F36" s="89">
        <f>IFERROR(INDEX(SUP_C3_EXPANSION!$C$12:$K$12,MATCH(F35,SUP_C3_EXPANSION!$C$9:$K$9,1)),1)</f>
        <v>1</v>
      </c>
      <c r="G36" s="89">
        <f>IFERROR(INDEX(SUP_C3_EXPANSION!$C$12:$K$12,MATCH(G35,SUP_C3_EXPANSION!$C$9:$K$9,1)),1)</f>
        <v>1</v>
      </c>
      <c r="H36" s="89">
        <f>IFERROR(INDEX(SUP_C3_EXPANSION!$C$12:$K$12,MATCH(H35,SUP_C3_EXPANSION!$C$9:$K$9,1)),1)</f>
        <v>1</v>
      </c>
      <c r="I36" s="89">
        <f>IFERROR(INDEX(SUP_C3_EXPANSION!$C$12:$K$12,MATCH(I35,SUP_C3_EXPANSION!$C$9:$K$9,1)),1)</f>
        <v>1</v>
      </c>
      <c r="J36" s="89">
        <f>IFERROR(INDEX(SUP_C3_EXPANSION!$C$12:$K$12,MATCH(J35,SUP_C3_EXPANSION!$C$9:$K$9,1)),1)</f>
        <v>1</v>
      </c>
      <c r="K36" s="89">
        <f>IFERROR(INDEX(SUP_C3_EXPANSION!$C$12:$K$12,MATCH(K35,SUP_C3_EXPANSION!$C$9:$K$9,1)),1)</f>
        <v>1</v>
      </c>
      <c r="L36" s="89">
        <f>IFERROR(INDEX(SUP_C3_EXPANSION!$C$12:$K$12,MATCH(L35,SUP_C3_EXPANSION!$C$9:$K$9,1)),1)</f>
        <v>1</v>
      </c>
      <c r="M36" s="89">
        <f>IFERROR(INDEX(SUP_C3_EXPANSION!$C$12:$K$12,MATCH(M35,SUP_C3_EXPANSION!$C$9:$K$9,1)),1)</f>
        <v>1</v>
      </c>
      <c r="N36" s="89">
        <f>IFERROR(INDEX(SUP_C3_EXPANSION!$C$12:$K$12,MATCH(N35,SUP_C3_EXPANSION!$C$9:$K$9,1)),1)</f>
        <v>1</v>
      </c>
      <c r="O36" s="89">
        <f>IFERROR(INDEX(SUP_C3_EXPANSION!$C$12:$K$12,MATCH(O35,SUP_C3_EXPANSION!$C$9:$K$9,1)),1)</f>
        <v>1</v>
      </c>
      <c r="P36" s="89">
        <f>IFERROR(INDEX(SUP_C3_EXPANSION!$C$12:$K$12,MATCH(P35,SUP_C3_EXPANSION!$C$9:$K$9,1)),1)</f>
        <v>1</v>
      </c>
      <c r="Q36" s="89">
        <f>IFERROR(INDEX(SUP_C3_EXPANSION!$C$12:$K$12,MATCH(Q35,SUP_C3_EXPANSION!$C$9:$K$9,1)),1)</f>
        <v>1</v>
      </c>
      <c r="R36" s="89">
        <f>IFERROR(INDEX(SUP_C3_EXPANSION!$C$12:$K$12,MATCH(R35,SUP_C3_EXPANSION!$C$9:$K$9,1)),1)</f>
        <v>1</v>
      </c>
      <c r="S36" s="89">
        <f>IFERROR(INDEX(SUP_C3_EXPANSION!$C$12:$K$12,MATCH(S35,SUP_C3_EXPANSION!$C$9:$K$9,1)),1)</f>
        <v>1</v>
      </c>
      <c r="T36" s="89">
        <f>IFERROR(INDEX(SUP_C3_EXPANSION!$C$12:$K$12,MATCH(T35,SUP_C3_EXPANSION!$C$9:$K$9,1)),1)</f>
        <v>1</v>
      </c>
      <c r="U36" s="89">
        <f>IFERROR(INDEX(SUP_C3_EXPANSION!$C$12:$K$12,MATCH(U35,SUP_C3_EXPANSION!$C$9:$K$9,1)),1)</f>
        <v>1</v>
      </c>
      <c r="V36" s="89">
        <f>IFERROR(INDEX(SUP_C3_EXPANSION!$C$12:$K$12,MATCH(V35,SUP_C3_EXPANSION!$C$9:$K$9,1)),1)</f>
        <v>1</v>
      </c>
      <c r="W36" s="89">
        <f>IFERROR(INDEX(SUP_C3_EXPANSION!$C$12:$K$12,MATCH(W35,SUP_C3_EXPANSION!$C$9:$K$9,1)),1)</f>
        <v>1</v>
      </c>
      <c r="X36" s="89">
        <f>IFERROR(INDEX(SUP_C3_EXPANSION!$C$12:$K$12,MATCH(X35,SUP_C3_EXPANSION!$C$9:$K$9,1)),1)</f>
        <v>1</v>
      </c>
      <c r="Y36" s="89">
        <f>IFERROR(INDEX(SUP_C3_EXPANSION!$C$12:$K$12,MATCH(Y35,SUP_C3_EXPANSION!$C$9:$K$9,1)),1)</f>
        <v>1</v>
      </c>
      <c r="Z36" s="89">
        <f>IFERROR(INDEX(SUP_C3_EXPANSION!$C$12:$K$12,MATCH(Z35,SUP_C3_EXPANSION!$C$9:$K$9,1)),1)</f>
        <v>1</v>
      </c>
      <c r="AA36" s="89">
        <f>IFERROR(INDEX(SUP_C3_EXPANSION!$C$12:$K$12,MATCH(AA35,SUP_C3_EXPANSION!$C$9:$K$9,1)),1)</f>
        <v>1</v>
      </c>
      <c r="AB36" s="89">
        <f>IFERROR(INDEX(SUP_C3_EXPANSION!$C$12:$K$12,MATCH(AB35,SUP_C3_EXPANSION!$C$9:$K$9,1)),1)</f>
        <v>1</v>
      </c>
      <c r="AC36" s="89">
        <f>IFERROR(INDEX(SUP_C3_EXPANSION!$C$12:$K$12,MATCH(AC35,SUP_C3_EXPANSION!$C$9:$K$9,1)),1)</f>
        <v>1</v>
      </c>
      <c r="AD36" s="89">
        <f>IFERROR(INDEX(SUP_C3_EXPANSION!$C$12:$K$12,MATCH(AD35,SUP_C3_EXPANSION!$C$9:$K$9,1)),1)</f>
        <v>0.97</v>
      </c>
      <c r="AE36" s="89">
        <f>IFERROR(INDEX(SUP_C3_EXPANSION!$C$12:$K$12,MATCH(AE35,SUP_C3_EXPANSION!$C$9:$K$9,1)),1)</f>
        <v>0.97</v>
      </c>
      <c r="AF36" s="89">
        <f>IFERROR(INDEX(SUP_C3_EXPANSION!$C$12:$K$12,MATCH(AF35,SUP_C3_EXPANSION!$C$9:$K$9,1)),1)</f>
        <v>0.97</v>
      </c>
      <c r="AG36" s="89">
        <f>IFERROR(INDEX(SUP_C3_EXPANSION!$C$12:$K$12,MATCH(AG35,SUP_C3_EXPANSION!$C$9:$K$9,1)),1)</f>
        <v>0.97</v>
      </c>
      <c r="AH36" s="89">
        <f>IFERROR(INDEX(SUP_C3_EXPANSION!$C$12:$K$12,MATCH(AH35,SUP_C3_EXPANSION!$C$9:$K$9,1)),1)</f>
        <v>0.97</v>
      </c>
      <c r="AI36" s="89">
        <f>IFERROR(INDEX(SUP_C3_EXPANSION!$C$12:$K$12,MATCH(AI35,SUP_C3_EXPANSION!$C$9:$K$9,1)),1)</f>
        <v>0.97</v>
      </c>
      <c r="AJ36" s="89">
        <f>IFERROR(INDEX(SUP_C3_EXPANSION!$C$12:$K$12,MATCH(AJ35,SUP_C3_EXPANSION!$C$9:$K$9,1)),1)</f>
        <v>0.97</v>
      </c>
      <c r="AK36" s="89">
        <f>IFERROR(INDEX(SUP_C3_EXPANSION!$C$12:$K$12,MATCH(AK35,SUP_C3_EXPANSION!$C$9:$K$9,1)),1)</f>
        <v>0.97</v>
      </c>
      <c r="AL36" s="89">
        <f>IFERROR(INDEX(SUP_C3_EXPANSION!$C$12:$K$12,MATCH(AL35,SUP_C3_EXPANSION!$C$9:$K$9,1)),1)</f>
        <v>0.94499999999999995</v>
      </c>
      <c r="AM36" s="89">
        <f>IFERROR(INDEX(SUP_C3_EXPANSION!$C$12:$K$12,MATCH(AM35,SUP_C3_EXPANSION!$C$9:$K$9,1)),1)</f>
        <v>0.94499999999999995</v>
      </c>
      <c r="AN36" s="89">
        <f>IFERROR(INDEX(SUP_C3_EXPANSION!$C$12:$K$12,MATCH(AN35,SUP_C3_EXPANSION!$C$9:$K$9,1)),1)</f>
        <v>0.94499999999999995</v>
      </c>
      <c r="AO36" s="89">
        <f>IFERROR(INDEX(SUP_C3_EXPANSION!$C$12:$K$12,MATCH(AO35,SUP_C3_EXPANSION!$C$9:$K$9,1)),1)</f>
        <v>0.94499999999999995</v>
      </c>
      <c r="AP36" s="89">
        <f>IFERROR(INDEX(SUP_C3_EXPANSION!$C$12:$K$12,MATCH(AP35,SUP_C3_EXPANSION!$C$9:$K$9,1)),1)</f>
        <v>0.94499999999999995</v>
      </c>
      <c r="AQ36" s="89">
        <f>IFERROR(INDEX(SUP_C3_EXPANSION!$C$12:$K$12,MATCH(AQ35,SUP_C3_EXPANSION!$C$9:$K$9,1)),1)</f>
        <v>0.94499999999999995</v>
      </c>
      <c r="AR36" s="89">
        <f>IFERROR(INDEX(SUP_C3_EXPANSION!$C$12:$K$12,MATCH(AR35,SUP_C3_EXPANSION!$C$9:$K$9,1)),1)</f>
        <v>0.94499999999999995</v>
      </c>
      <c r="AS36" s="89">
        <f>IFERROR(INDEX(SUP_C3_EXPANSION!$C$12:$K$12,MATCH(AS35,SUP_C3_EXPANSION!$C$9:$K$9,1)),1)</f>
        <v>0.94499999999999995</v>
      </c>
      <c r="AT36" s="89">
        <f>IFERROR(INDEX(SUP_C3_EXPANSION!$C$12:$K$12,MATCH(AT35,SUP_C3_EXPANSION!$C$9:$K$9,1)),1)</f>
        <v>0.94499999999999995</v>
      </c>
      <c r="AU36" s="89">
        <f>IFERROR(INDEX(SUP_C3_EXPANSION!$C$12:$K$12,MATCH(AU35,SUP_C3_EXPANSION!$C$9:$K$9,1)),1)</f>
        <v>0.94499999999999995</v>
      </c>
      <c r="AV36" s="89">
        <f>IFERROR(INDEX(SUP_C3_EXPANSION!$C$12:$K$12,MATCH(AV35,SUP_C3_EXPANSION!$C$9:$K$9,1)),1)</f>
        <v>0.94499999999999995</v>
      </c>
      <c r="AW36" s="89">
        <f>IFERROR(INDEX(SUP_C3_EXPANSION!$C$12:$K$12,MATCH(AW35,SUP_C3_EXPANSION!$C$9:$K$9,1)),1)</f>
        <v>0.94499999999999995</v>
      </c>
      <c r="AX36" s="89">
        <f>IFERROR(INDEX(SUP_C3_EXPANSION!$C$12:$K$12,MATCH(AX35,SUP_C3_EXPANSION!$C$9:$K$9,1)),1)</f>
        <v>0.94499999999999995</v>
      </c>
      <c r="AY36" s="89">
        <f>IFERROR(INDEX(SUP_C3_EXPANSION!$C$12:$K$12,MATCH(AY35,SUP_C3_EXPANSION!$C$9:$K$9,1)),1)</f>
        <v>0.94499999999999995</v>
      </c>
      <c r="AZ36" s="89">
        <f>IFERROR(INDEX(SUP_C3_EXPANSION!$C$12:$K$12,MATCH(AZ35,SUP_C3_EXPANSION!$C$9:$K$9,1)),1)</f>
        <v>0.94499999999999995</v>
      </c>
      <c r="BA36" s="89">
        <f>IFERROR(INDEX(SUP_C3_EXPANSION!$C$12:$K$12,MATCH(BA35,SUP_C3_EXPANSION!$C$9:$K$9,1)),1)</f>
        <v>0.92</v>
      </c>
      <c r="BB36" s="89">
        <f>IFERROR(INDEX(SUP_C3_EXPANSION!$C$12:$K$12,MATCH(BB35,SUP_C3_EXPANSION!$C$9:$K$9,1)),1)</f>
        <v>0.92</v>
      </c>
      <c r="BC36" s="89">
        <f>IFERROR(INDEX(SUP_C3_EXPANSION!$C$12:$K$12,MATCH(BC35,SUP_C3_EXPANSION!$C$9:$K$9,1)),1)</f>
        <v>0.92</v>
      </c>
      <c r="BD36" s="89">
        <f>IFERROR(INDEX(SUP_C3_EXPANSION!$C$12:$K$12,MATCH(BD35,SUP_C3_EXPANSION!$C$9:$K$9,1)),1)</f>
        <v>0.92</v>
      </c>
      <c r="BE36" s="89">
        <f>IFERROR(INDEX(SUP_C3_EXPANSION!$C$12:$K$12,MATCH(BE35,SUP_C3_EXPANSION!$C$9:$K$9,1)),1)</f>
        <v>0.92</v>
      </c>
      <c r="BF36" s="89">
        <f>IFERROR(INDEX(SUP_C3_EXPANSION!$C$12:$K$12,MATCH(BF35,SUP_C3_EXPANSION!$C$9:$K$9,1)),1)</f>
        <v>0.9</v>
      </c>
      <c r="BG36" s="89">
        <f>IFERROR(INDEX(SUP_C3_EXPANSION!$C$12:$K$12,MATCH(BG35,SUP_C3_EXPANSION!$C$9:$K$9,1)),1)</f>
        <v>0.9</v>
      </c>
      <c r="BH36" s="89">
        <f>IFERROR(INDEX(SUP_C3_EXPANSION!$C$12:$K$12,MATCH(BH35,SUP_C3_EXPANSION!$C$9:$K$9,1)),1)</f>
        <v>0.9</v>
      </c>
      <c r="BI36" s="89">
        <f>IFERROR(INDEX(SUP_C3_EXPANSION!$C$12:$K$12,MATCH(BI35,SUP_C3_EXPANSION!$C$9:$K$9,1)),1)</f>
        <v>0.9</v>
      </c>
      <c r="BJ36" s="89">
        <f>IFERROR(INDEX(SUP_C3_EXPANSION!$C$12:$K$12,MATCH(BJ35,SUP_C3_EXPANSION!$C$9:$K$9,1)),1)</f>
        <v>0.9</v>
      </c>
      <c r="BK36" s="89">
        <f>IFERROR(INDEX(SUP_C3_EXPANSION!$C$12:$K$12,MATCH(BK35,SUP_C3_EXPANSION!$C$9:$K$9,1)),1)</f>
        <v>0.88</v>
      </c>
      <c r="BL36" s="89">
        <f>IFERROR(INDEX(SUP_C3_EXPANSION!$C$12:$K$12,MATCH(BL35,SUP_C3_EXPANSION!$C$9:$K$9,1)),1)</f>
        <v>0.88</v>
      </c>
      <c r="BM36" s="89">
        <f>IFERROR(INDEX(SUP_C3_EXPANSION!$C$12:$K$12,MATCH(BM35,SUP_C3_EXPANSION!$C$9:$K$9,1)),1)</f>
        <v>0.88</v>
      </c>
      <c r="BN36" s="89">
        <f>IFERROR(INDEX(SUP_C3_EXPANSION!$C$12:$K$12,MATCH(BN35,SUP_C3_EXPANSION!$C$9:$K$9,1)),1)</f>
        <v>0.88</v>
      </c>
      <c r="BO36" s="89">
        <f>IFERROR(INDEX(SUP_C3_EXPANSION!$C$12:$K$12,MATCH(BO35,SUP_C3_EXPANSION!$C$9:$K$9,1)),1)</f>
        <v>0.88</v>
      </c>
      <c r="BP36" s="89">
        <f>IFERROR(INDEX(SUP_C3_EXPANSION!$C$12:$K$12,MATCH(BP35,SUP_C3_EXPANSION!$C$9:$K$9,1)),1)</f>
        <v>0.86499999999999999</v>
      </c>
      <c r="BQ36" s="89">
        <f>IFERROR(INDEX(SUP_C3_EXPANSION!$C$12:$K$12,MATCH(BQ35,SUP_C3_EXPANSION!$C$9:$K$9,1)),1)</f>
        <v>0.86499999999999999</v>
      </c>
      <c r="BR36" s="89">
        <f>IFERROR(INDEX(SUP_C3_EXPANSION!$C$12:$K$12,MATCH(BR35,SUP_C3_EXPANSION!$C$9:$K$9,1)),1)</f>
        <v>0.86499999999999999</v>
      </c>
      <c r="BS36" s="89">
        <f>IFERROR(INDEX(SUP_C3_EXPANSION!$C$12:$K$12,MATCH(BS35,SUP_C3_EXPANSION!$C$9:$K$9,1)),1)</f>
        <v>0.86499999999999999</v>
      </c>
      <c r="BT36" s="89">
        <f>IFERROR(INDEX(SUP_C3_EXPANSION!$C$12:$K$12,MATCH(BT35,SUP_C3_EXPANSION!$C$9:$K$9,1)),1)</f>
        <v>0.86499999999999999</v>
      </c>
      <c r="BU36" s="89">
        <f>IFERROR(INDEX(SUP_C3_EXPANSION!$C$12:$K$12,MATCH(BU35,SUP_C3_EXPANSION!$C$9:$K$9,1)),1)</f>
        <v>0.85</v>
      </c>
      <c r="BV36" s="89">
        <f>IFERROR(INDEX(SUP_C3_EXPANSION!$C$12:$K$12,MATCH(BV35,SUP_C3_EXPANSION!$C$9:$K$9,1)),1)</f>
        <v>0.85</v>
      </c>
      <c r="BW36" s="89">
        <f>IFERROR(INDEX(SUP_C3_EXPANSION!$C$12:$K$12,MATCH(BW35,SUP_C3_EXPANSION!$C$9:$K$9,1)),1)</f>
        <v>0.85</v>
      </c>
      <c r="BX36" s="89">
        <f>IFERROR(INDEX(SUP_C3_EXPANSION!$C$12:$K$12,MATCH(BX35,SUP_C3_EXPANSION!$C$9:$K$9,1)),1)</f>
        <v>0.85</v>
      </c>
      <c r="BY36" s="89">
        <f>IFERROR(INDEX(SUP_C3_EXPANSION!$C$12:$K$12,MATCH(BY35,SUP_C3_EXPANSION!$C$9:$K$9,1)),1)</f>
        <v>0.85</v>
      </c>
      <c r="BZ36" s="89">
        <f>IFERROR(INDEX(SUP_C3_EXPANSION!$C$12:$K$12,MATCH(BZ35,SUP_C3_EXPANSION!$C$9:$K$9,1)),1)</f>
        <v>0.84</v>
      </c>
      <c r="CA36" s="89">
        <f>IFERROR(INDEX(SUP_C3_EXPANSION!$C$12:$K$12,MATCH(CA35,SUP_C3_EXPANSION!$C$9:$K$9,1)),1)</f>
        <v>0.84</v>
      </c>
      <c r="CB36" s="89">
        <f>IFERROR(INDEX(SUP_C3_EXPANSION!$C$12:$K$12,MATCH(CB35,SUP_C3_EXPANSION!$C$9:$K$9,1)),1)</f>
        <v>0.84</v>
      </c>
      <c r="CC36" s="89">
        <f>IFERROR(INDEX(SUP_C3_EXPANSION!$C$12:$K$12,MATCH(CC35,SUP_C3_EXPANSION!$C$9:$K$9,1)),1)</f>
        <v>0.84</v>
      </c>
      <c r="CD36" s="89">
        <f>IFERROR(INDEX(SUP_C3_EXPANSION!$C$12:$K$12,MATCH(CD35,SUP_C3_EXPANSION!$C$9:$K$9,1)),1)</f>
        <v>0.84</v>
      </c>
      <c r="CE36" s="89">
        <f>IFERROR(INDEX(SUP_C3_EXPANSION!$C$12:$K$12,MATCH(CE35,SUP_C3_EXPANSION!$C$9:$K$9,1)),1)</f>
        <v>0.84</v>
      </c>
      <c r="CF36" s="89">
        <f>IFERROR(INDEX(SUP_C3_EXPANSION!$C$12:$K$12,MATCH(CF35,SUP_C3_EXPANSION!$C$9:$K$9,1)),1)</f>
        <v>0.84</v>
      </c>
      <c r="CG36" s="89">
        <f>IFERROR(INDEX(SUP_C3_EXPANSION!$C$12:$K$12,MATCH(CG35,SUP_C3_EXPANSION!$C$9:$K$9,1)),1)</f>
        <v>0.84</v>
      </c>
      <c r="CH36" s="89">
        <f>IFERROR(INDEX(SUP_C3_EXPANSION!$C$12:$K$12,MATCH(CH35,SUP_C3_EXPANSION!$C$9:$K$9,1)),1)</f>
        <v>0.84</v>
      </c>
      <c r="CI36" s="89">
        <f>IFERROR(INDEX(SUP_C3_EXPANSION!$C$12:$K$12,MATCH(CI35,SUP_C3_EXPANSION!$C$9:$K$9,1)),1)</f>
        <v>0.84</v>
      </c>
      <c r="CJ36" s="89">
        <f>IFERROR(INDEX(SUP_C3_EXPANSION!$C$12:$K$12,MATCH(CJ35,SUP_C3_EXPANSION!$C$9:$K$9,1)),1)</f>
        <v>0.84</v>
      </c>
      <c r="CK36" s="89">
        <f>IFERROR(INDEX(SUP_C3_EXPANSION!$C$12:$K$12,MATCH(CK35,SUP_C3_EXPANSION!$C$9:$K$9,1)),1)</f>
        <v>0.84</v>
      </c>
      <c r="CL36" s="89">
        <f>IFERROR(INDEX(SUP_C3_EXPANSION!$C$12:$K$12,MATCH(CL35,SUP_C3_EXPANSION!$C$9:$K$9,1)),1)</f>
        <v>0.84</v>
      </c>
      <c r="CM36" s="89">
        <f>IFERROR(INDEX(SUP_C3_EXPANSION!$C$12:$K$12,MATCH(CM35,SUP_C3_EXPANSION!$C$9:$K$9,1)),1)</f>
        <v>0.84</v>
      </c>
      <c r="CN36" s="89">
        <f>IFERROR(INDEX(SUP_C3_EXPANSION!$C$12:$K$12,MATCH(CN35,SUP_C3_EXPANSION!$C$9:$K$9,1)),1)</f>
        <v>0.84</v>
      </c>
      <c r="CO36" s="89">
        <f>IFERROR(INDEX(SUP_C3_EXPANSION!$C$12:$K$12,MATCH(CO35,SUP_C3_EXPANSION!$C$9:$K$9,1)),1)</f>
        <v>0.84</v>
      </c>
      <c r="CP36" s="89">
        <f>IFERROR(INDEX(SUP_C3_EXPANSION!$C$12:$K$12,MATCH(CP35,SUP_C3_EXPANSION!$C$9:$K$9,1)),1)</f>
        <v>0.84</v>
      </c>
      <c r="CQ36" s="89">
        <f>IFERROR(INDEX(SUP_C3_EXPANSION!$C$12:$K$12,MATCH(CQ35,SUP_C3_EXPANSION!$C$9:$K$9,1)),1)</f>
        <v>0.84</v>
      </c>
      <c r="CR36" s="89">
        <f>IFERROR(INDEX(SUP_C3_EXPANSION!$C$12:$K$12,MATCH(CR35,SUP_C3_EXPANSION!$C$9:$K$9,1)),1)</f>
        <v>0.84</v>
      </c>
      <c r="CS36" s="89">
        <f>IFERROR(INDEX(SUP_C3_EXPANSION!$C$12:$K$12,MATCH(CS35,SUP_C3_EXPANSION!$C$9:$K$9,1)),1)</f>
        <v>0.84</v>
      </c>
      <c r="CT36" s="89">
        <f>IFERROR(INDEX(SUP_C3_EXPANSION!$C$12:$K$12,MATCH(CT35,SUP_C3_EXPANSION!$C$9:$K$9,1)),1)</f>
        <v>0.84</v>
      </c>
      <c r="CU36" s="89">
        <f>IFERROR(INDEX(SUP_C3_EXPANSION!$C$12:$K$12,MATCH(CU35,SUP_C3_EXPANSION!$C$9:$K$9,1)),1)</f>
        <v>0.84</v>
      </c>
      <c r="CV36" s="89">
        <f>IFERROR(INDEX(SUP_C3_EXPANSION!$C$12:$K$12,MATCH(CV35,SUP_C3_EXPANSION!$C$9:$K$9,1)),1)</f>
        <v>0.84</v>
      </c>
      <c r="CW36" s="89">
        <f>IFERROR(INDEX(SUP_C3_EXPANSION!$C$12:$K$12,MATCH(CW35,SUP_C3_EXPANSION!$C$9:$K$9,1)),1)</f>
        <v>0.84</v>
      </c>
      <c r="CX36" s="89">
        <f>IFERROR(INDEX(SUP_C3_EXPANSION!$C$12:$K$12,MATCH(CX35,SUP_C3_EXPANSION!$C$9:$K$9,1)),1)</f>
        <v>0.84</v>
      </c>
      <c r="CY36" s="89">
        <f>IFERROR(INDEX(SUP_C3_EXPANSION!$C$12:$K$12,MATCH(CY35,SUP_C3_EXPANSION!$C$9:$K$9,1)),1)</f>
        <v>0.84</v>
      </c>
      <c r="CZ36" s="89">
        <f>IFERROR(INDEX(SUP_C3_EXPANSION!$C$12:$K$12,MATCH(CZ35,SUP_C3_EXPANSION!$C$9:$K$9,1)),1)</f>
        <v>0.84</v>
      </c>
      <c r="DA36" s="89">
        <f>IFERROR(INDEX(SUP_C3_EXPANSION!$C$12:$K$12,MATCH(DA35,SUP_C3_EXPANSION!$C$9:$K$9,1)),1)</f>
        <v>0.84</v>
      </c>
      <c r="DB36" s="89">
        <f>IFERROR(INDEX(SUP_C3_EXPANSION!$C$12:$K$12,MATCH(DB35,SUP_C3_EXPANSION!$C$9:$K$9,1)),1)</f>
        <v>0.84</v>
      </c>
      <c r="DC36" s="89">
        <f>IFERROR(INDEX(SUP_C3_EXPANSION!$C$12:$K$12,MATCH(DC35,SUP_C3_EXPANSION!$C$9:$K$9,1)),1)</f>
        <v>0.84</v>
      </c>
      <c r="DD36" s="89">
        <f>IFERROR(INDEX(SUP_C3_EXPANSION!$C$12:$K$12,MATCH(DD35,SUP_C3_EXPANSION!$C$9:$K$9,1)),1)</f>
        <v>0.84</v>
      </c>
      <c r="DE36" s="89">
        <f>IFERROR(INDEX(SUP_C3_EXPANSION!$C$12:$K$12,MATCH(DE35,SUP_C3_EXPANSION!$C$9:$K$9,1)),1)</f>
        <v>0.84</v>
      </c>
      <c r="DF36" s="89">
        <f>IFERROR(INDEX(SUP_C3_EXPANSION!$C$12:$K$12,MATCH(DF35,SUP_C3_EXPANSION!$C$9:$K$9,1)),1)</f>
        <v>0.84</v>
      </c>
      <c r="DG36" s="89">
        <f>IFERROR(INDEX(SUP_C3_EXPANSION!$C$12:$K$12,MATCH(DG35,SUP_C3_EXPANSION!$C$9:$K$9,1)),1)</f>
        <v>0.84</v>
      </c>
      <c r="DH36" s="89">
        <f>IFERROR(INDEX(SUP_C3_EXPANSION!$C$12:$K$12,MATCH(DH35,SUP_C3_EXPANSION!$C$9:$K$9,1)),1)</f>
        <v>0.84</v>
      </c>
      <c r="DI36" s="89">
        <f>IFERROR(INDEX(SUP_C3_EXPANSION!$C$12:$K$12,MATCH(DI35,SUP_C3_EXPANSION!$C$9:$K$9,1)),1)</f>
        <v>0.84</v>
      </c>
      <c r="DJ36" s="89">
        <f>IFERROR(INDEX(SUP_C3_EXPANSION!$C$12:$K$12,MATCH(DJ35,SUP_C3_EXPANSION!$C$9:$K$9,1)),1)</f>
        <v>0.84</v>
      </c>
      <c r="DK36" s="89">
        <f>IFERROR(INDEX(SUP_C3_EXPANSION!$C$12:$K$12,MATCH(DK35,SUP_C3_EXPANSION!$C$9:$K$9,1)),1)</f>
        <v>0.84</v>
      </c>
      <c r="DL36" s="89">
        <f>IFERROR(INDEX(SUP_C3_EXPANSION!$C$12:$K$12,MATCH(DL35,SUP_C3_EXPANSION!$C$9:$K$9,1)),1)</f>
        <v>0.84</v>
      </c>
      <c r="DM36" s="89">
        <f>IFERROR(INDEX(SUP_C3_EXPANSION!$C$12:$K$12,MATCH(DM35,SUP_C3_EXPANSION!$C$9:$K$9,1)),1)</f>
        <v>0.84</v>
      </c>
      <c r="DN36" s="89">
        <f>IFERROR(INDEX(SUP_C3_EXPANSION!$C$12:$K$12,MATCH(DN35,SUP_C3_EXPANSION!$C$9:$K$9,1)),1)</f>
        <v>0.84</v>
      </c>
      <c r="DO36" s="89">
        <f>IFERROR(INDEX(SUP_C3_EXPANSION!$C$12:$K$12,MATCH(DO35,SUP_C3_EXPANSION!$C$9:$K$9,1)),1)</f>
        <v>0.84</v>
      </c>
      <c r="DP36" s="89">
        <f>IFERROR(INDEX(SUP_C3_EXPANSION!$C$12:$K$12,MATCH(DP35,SUP_C3_EXPANSION!$C$9:$K$9,1)),1)</f>
        <v>0.84</v>
      </c>
      <c r="DQ36" s="89">
        <f>IFERROR(INDEX(SUP_C3_EXPANSION!$C$12:$K$12,MATCH(DQ35,SUP_C3_EXPANSION!$C$9:$K$9,1)),1)</f>
        <v>0.84</v>
      </c>
      <c r="DR36" s="89">
        <f>IFERROR(INDEX(SUP_C3_EXPANSION!$C$12:$K$12,MATCH(DR35,SUP_C3_EXPANSION!$C$9:$K$9,1)),1)</f>
        <v>0.84</v>
      </c>
      <c r="DS36" s="89">
        <f>IFERROR(INDEX(SUP_C3_EXPANSION!$C$12:$K$12,MATCH(DS35,SUP_C3_EXPANSION!$C$9:$K$9,1)),1)</f>
        <v>0.84</v>
      </c>
    </row>
    <row r="38" spans="1:123" ht="15" customHeight="1" x14ac:dyDescent="0.2">
      <c r="B38" s="37" t="s">
        <v>1024</v>
      </c>
      <c r="D38" s="88">
        <f>SUM(CAPA3_PDV_DETALLE!D8:D47)</f>
        <v>0</v>
      </c>
      <c r="E38" s="88">
        <f>SUM(CAPA3_PDV_DETALLE!E8:E47)</f>
        <v>0</v>
      </c>
      <c r="F38" s="88">
        <f>SUM(CAPA3_PDV_DETALLE!F8:F47)</f>
        <v>0</v>
      </c>
      <c r="G38" s="88">
        <f>SUM(CAPA3_PDV_DETALLE!G8:G47)</f>
        <v>0</v>
      </c>
      <c r="H38" s="88">
        <f>SUM(CAPA3_PDV_DETALLE!H8:H47)</f>
        <v>0</v>
      </c>
      <c r="I38" s="88">
        <f>SUM(CAPA3_PDV_DETALLE!I8:I47)</f>
        <v>0</v>
      </c>
      <c r="J38" s="88">
        <f>SUM(CAPA3_PDV_DETALLE!J8:J47)</f>
        <v>0</v>
      </c>
      <c r="K38" s="88">
        <f>SUM(CAPA3_PDV_DETALLE!K8:K47)</f>
        <v>0</v>
      </c>
      <c r="L38" s="88">
        <f>SUM(CAPA3_PDV_DETALLE!L8:L47)</f>
        <v>0</v>
      </c>
      <c r="M38" s="88">
        <f>SUM(CAPA3_PDV_DETALLE!M8:M47)</f>
        <v>0</v>
      </c>
      <c r="N38" s="88">
        <f>SUM(CAPA3_PDV_DETALLE!N8:N47)</f>
        <v>0</v>
      </c>
      <c r="O38" s="88">
        <f>SUM(CAPA3_PDV_DETALLE!O8:O47)</f>
        <v>0</v>
      </c>
      <c r="P38" s="88">
        <f>SUM(CAPA3_PDV_DETALLE!P8:P47)</f>
        <v>0</v>
      </c>
      <c r="Q38" s="88">
        <f>SUM(CAPA3_PDV_DETALLE!Q8:Q47)</f>
        <v>0</v>
      </c>
      <c r="R38" s="88">
        <f>SUM(CAPA3_PDV_DETALLE!R8:R47)</f>
        <v>0</v>
      </c>
      <c r="S38" s="88">
        <f>SUM(CAPA3_PDV_DETALLE!S8:S47)</f>
        <v>0</v>
      </c>
      <c r="T38" s="88">
        <f>SUM(CAPA3_PDV_DETALLE!T8:T47)</f>
        <v>2188.5500000000002</v>
      </c>
      <c r="U38" s="88">
        <f>SUM(CAPA3_PDV_DETALLE!U8:U47)</f>
        <v>2693.6000000000004</v>
      </c>
      <c r="V38" s="88">
        <f>SUM(CAPA3_PDV_DETALLE!V8:V47)</f>
        <v>5218.8500000000004</v>
      </c>
      <c r="W38" s="88">
        <f>SUM(CAPA3_PDV_DETALLE!W8:W47)</f>
        <v>8249.1500000000015</v>
      </c>
      <c r="X38" s="88">
        <f>SUM(CAPA3_PDV_DETALLE!X8:X47)</f>
        <v>9090.9000000000015</v>
      </c>
      <c r="Y38" s="88">
        <f>SUM(CAPA3_PDV_DETALLE!Y8:Y47)</f>
        <v>9764.2999999999993</v>
      </c>
      <c r="Z38" s="88">
        <f>SUM(CAPA3_PDV_DETALLE!Z8:Z47)</f>
        <v>10101</v>
      </c>
      <c r="AA38" s="88">
        <f>SUM(CAPA3_PDV_DETALLE!AA8:AA47)</f>
        <v>10101</v>
      </c>
      <c r="AB38" s="88">
        <f>SUM(CAPA3_PDV_DETALLE!AB8:AB47)</f>
        <v>10101</v>
      </c>
      <c r="AC38" s="88">
        <f>SUM(CAPA3_PDV_DETALLE!AC8:AC47)</f>
        <v>10101</v>
      </c>
      <c r="AD38" s="88">
        <f>SUM(CAPA3_PDV_DETALLE!AD8:AD47)</f>
        <v>9797.9699999999993</v>
      </c>
      <c r="AE38" s="88">
        <f>SUM(CAPA3_PDV_DETALLE!AE8:AE47)</f>
        <v>9797.9699999999993</v>
      </c>
      <c r="AF38" s="88">
        <f>SUM(CAPA3_PDV_DETALLE!AF8:AF47)</f>
        <v>12557.73155</v>
      </c>
      <c r="AG38" s="88">
        <f>SUM(CAPA3_PDV_DETALLE!AG8:AG47)</f>
        <v>15317.4931</v>
      </c>
      <c r="AH38" s="88">
        <f>SUM(CAPA3_PDV_DETALLE!AH8:AH47)</f>
        <v>16231.970300000001</v>
      </c>
      <c r="AI38" s="88">
        <f>SUM(CAPA3_PDV_DETALLE!AI8:AI47)</f>
        <v>19106.041499999999</v>
      </c>
      <c r="AJ38" s="88">
        <f>SUM(CAPA3_PDV_DETALLE!AJ8:AJ47)</f>
        <v>22045.432500000003</v>
      </c>
      <c r="AK38" s="88">
        <f>SUM(CAPA3_PDV_DETALLE!AK8:AK47)</f>
        <v>22861.93</v>
      </c>
      <c r="AL38" s="88">
        <f>SUM(CAPA3_PDV_DETALLE!AL8:AL47)</f>
        <v>22909.067999999999</v>
      </c>
      <c r="AM38" s="88">
        <f>SUM(CAPA3_PDV_DETALLE!AM8:AM47)</f>
        <v>25915.883174999999</v>
      </c>
      <c r="AN38" s="88">
        <f>SUM(CAPA3_PDV_DETALLE!AN8:AN47)</f>
        <v>28604.516849999996</v>
      </c>
      <c r="AO38" s="88">
        <f>SUM(CAPA3_PDV_DETALLE!AO8:AO47)</f>
        <v>31563.604799999997</v>
      </c>
      <c r="AP38" s="88">
        <f>SUM(CAPA3_PDV_DETALLE!AP8:AP47)</f>
        <v>34840.874250000001</v>
      </c>
      <c r="AQ38" s="88">
        <f>SUM(CAPA3_PDV_DETALLE!AQ8:AQ47)</f>
        <v>35954.509499999993</v>
      </c>
      <c r="AR38" s="88">
        <f>SUM(CAPA3_PDV_DETALLE!AR8:AR47)</f>
        <v>39279.506174999995</v>
      </c>
      <c r="AS38" s="88">
        <f>SUM(CAPA3_PDV_DETALLE!AS8:AS47)</f>
        <v>40218.141599999995</v>
      </c>
      <c r="AT38" s="88">
        <f>SUM(CAPA3_PDV_DETALLE!AT8:AT47)</f>
        <v>42699.957300000002</v>
      </c>
      <c r="AU38" s="88">
        <f>SUM(CAPA3_PDV_DETALLE!AU8:AU47)</f>
        <v>45659.045249999996</v>
      </c>
      <c r="AV38" s="88">
        <f>SUM(CAPA3_PDV_DETALLE!AV8:AV47)</f>
        <v>46454.498999999989</v>
      </c>
      <c r="AW38" s="88">
        <f>SUM(CAPA3_PDV_DETALLE!AW8:AW47)</f>
        <v>47090.861999999994</v>
      </c>
      <c r="AX38" s="88">
        <f>SUM(CAPA3_PDV_DETALLE!AX8:AX47)</f>
        <v>47409.0435</v>
      </c>
      <c r="AY38" s="88">
        <f>SUM(CAPA3_PDV_DETALLE!AY8:AY47)</f>
        <v>47409.0435</v>
      </c>
      <c r="AZ38" s="88">
        <f>SUM(CAPA3_PDV_DETALLE!AZ8:AZ47)</f>
        <v>47409.0435</v>
      </c>
      <c r="BA38" s="88">
        <f>SUM(CAPA3_PDV_DETALLE!BA8:BA47)</f>
        <v>46154.836000000003</v>
      </c>
      <c r="BB38" s="88">
        <f>SUM(CAPA3_PDV_DETALLE!BB8:BB47)</f>
        <v>46154.836000000003</v>
      </c>
      <c r="BC38" s="88">
        <f>SUM(CAPA3_PDV_DETALLE!BC8:BC47)</f>
        <v>46154.836000000003</v>
      </c>
      <c r="BD38" s="88">
        <f>SUM(CAPA3_PDV_DETALLE!BD8:BD47)</f>
        <v>50181.768000000004</v>
      </c>
      <c r="BE38" s="88">
        <f>SUM(CAPA3_PDV_DETALLE!BE8:BE47)</f>
        <v>53124.526000000005</v>
      </c>
      <c r="BF38" s="88">
        <f>SUM(CAPA3_PDV_DETALLE!BF8:BF47)</f>
        <v>55590.853499999997</v>
      </c>
      <c r="BG38" s="88">
        <f>SUM(CAPA3_PDV_DETALLE!BG8:BG47)</f>
        <v>59060.546999999999</v>
      </c>
      <c r="BH38" s="88">
        <f>SUM(CAPA3_PDV_DETALLE!BH8:BH47)</f>
        <v>62181.756000000001</v>
      </c>
      <c r="BI38" s="88">
        <f>SUM(CAPA3_PDV_DETALLE!BI8:BI47)</f>
        <v>65302.964999999997</v>
      </c>
      <c r="BJ38" s="88">
        <f>SUM(CAPA3_PDV_DETALLE!BJ8:BJ47)</f>
        <v>68924.173500000004</v>
      </c>
      <c r="BK38" s="88">
        <f>SUM(CAPA3_PDV_DETALLE!BK8:BK47)</f>
        <v>70488.818399999989</v>
      </c>
      <c r="BL38" s="88">
        <f>SUM(CAPA3_PDV_DETALLE!BL8:BL47)</f>
        <v>73540.667199999996</v>
      </c>
      <c r="BM38" s="88">
        <f>SUM(CAPA3_PDV_DETALLE!BM8:BM47)</f>
        <v>76592.516000000003</v>
      </c>
      <c r="BN38" s="88">
        <f>SUM(CAPA3_PDV_DETALLE!BN8:BN47)</f>
        <v>80133.253200000006</v>
      </c>
      <c r="BO38" s="88">
        <f>SUM(CAPA3_PDV_DETALLE!BO8:BO47)</f>
        <v>83229.546400000021</v>
      </c>
      <c r="BP38" s="88">
        <f>SUM(CAPA3_PDV_DETALLE!BP8:BP47)</f>
        <v>84810.689600000027</v>
      </c>
      <c r="BQ38" s="88">
        <f>SUM(CAPA3_PDV_DETALLE!BQ8:BQ47)</f>
        <v>87810.518250000023</v>
      </c>
      <c r="BR38" s="88">
        <f>SUM(CAPA3_PDV_DETALLE!BR8:BR47)</f>
        <v>91290.90197500003</v>
      </c>
      <c r="BS38" s="88">
        <f>SUM(CAPA3_PDV_DETALLE!BS8:BS47)</f>
        <v>96227.51320000003</v>
      </c>
      <c r="BT38" s="88">
        <f>SUM(CAPA3_PDV_DETALLE!BT8:BT47)</f>
        <v>99664.210100000026</v>
      </c>
      <c r="BU38" s="88">
        <f>SUM(CAPA3_PDV_DETALLE!BU8:BU47)</f>
        <v>101169.93249999998</v>
      </c>
      <c r="BV38" s="88">
        <f>SUM(CAPA3_PDV_DETALLE!BV8:BV47)</f>
        <v>104318.07749999998</v>
      </c>
      <c r="BW38" s="88">
        <f>SUM(CAPA3_PDV_DETALLE!BW8:BW47)</f>
        <v>107738.10774999998</v>
      </c>
      <c r="BX38" s="88">
        <f>SUM(CAPA3_PDV_DETALLE!BX8:BX47)</f>
        <v>110728.84549999998</v>
      </c>
      <c r="BY38" s="88">
        <f>SUM(CAPA3_PDV_DETALLE!BY8:BY47)</f>
        <v>113676.65399999997</v>
      </c>
      <c r="BZ38" s="88">
        <f>SUM(CAPA3_PDV_DETALLE!BZ8:BZ47)</f>
        <v>117090.79199999996</v>
      </c>
      <c r="CA38" s="88">
        <f>SUM(CAPA3_PDV_DETALLE!CA8:CA47)</f>
        <v>120894.82859999996</v>
      </c>
      <c r="CB38" s="88">
        <f>SUM(CAPA3_PDV_DETALLE!CB8:CB47)</f>
        <v>124133.20919999997</v>
      </c>
      <c r="CC38" s="88">
        <f>SUM(CAPA3_PDV_DETALLE!CC8:CC47)</f>
        <v>125490.78359999995</v>
      </c>
      <c r="CD38" s="88">
        <f>SUM(CAPA3_PDV_DETALLE!CD8:CD47)</f>
        <v>126141.28799999996</v>
      </c>
      <c r="CE38" s="88">
        <f>SUM(CAPA3_PDV_DETALLE!CE8:CE47)</f>
        <v>126424.11599999995</v>
      </c>
      <c r="CF38" s="88">
        <f>SUM(CAPA3_PDV_DETALLE!CF8:CF47)</f>
        <v>126424.11599999995</v>
      </c>
      <c r="CG38" s="88">
        <f>SUM(CAPA3_PDV_DETALLE!CG8:CG47)</f>
        <v>126424.11599999995</v>
      </c>
      <c r="CH38" s="88">
        <f>SUM(CAPA3_PDV_DETALLE!CH8:CH47)</f>
        <v>126424.11599999995</v>
      </c>
      <c r="CI38" s="88">
        <f>SUM(CAPA3_PDV_DETALLE!CI8:CI47)</f>
        <v>126424.11599999995</v>
      </c>
      <c r="CJ38" s="88">
        <f>SUM(CAPA3_PDV_DETALLE!CJ8:CJ47)</f>
        <v>126424.11599999995</v>
      </c>
      <c r="CK38" s="88">
        <f>SUM(CAPA3_PDV_DETALLE!CK8:CK47)</f>
        <v>126424.11599999995</v>
      </c>
      <c r="CL38" s="88">
        <f>SUM(CAPA3_PDV_DETALLE!CL8:CL47)</f>
        <v>126424.11599999995</v>
      </c>
      <c r="CM38" s="88">
        <f>SUM(CAPA3_PDV_DETALLE!CM8:CM47)</f>
        <v>126424.11599999995</v>
      </c>
      <c r="CN38" s="88">
        <f>SUM(CAPA3_PDV_DETALLE!CN8:CN47)</f>
        <v>126424.11599999995</v>
      </c>
      <c r="CO38" s="88">
        <f>SUM(CAPA3_PDV_DETALLE!CO8:CO47)</f>
        <v>126424.11599999995</v>
      </c>
      <c r="CP38" s="88">
        <f>SUM(CAPA3_PDV_DETALLE!CP8:CP47)</f>
        <v>126424.11599999995</v>
      </c>
      <c r="CQ38" s="88">
        <f>SUM(CAPA3_PDV_DETALLE!CQ8:CQ47)</f>
        <v>126424.11599999995</v>
      </c>
      <c r="CR38" s="88">
        <f>SUM(CAPA3_PDV_DETALLE!CR8:CR47)</f>
        <v>126424.11599999995</v>
      </c>
      <c r="CS38" s="88">
        <f>SUM(CAPA3_PDV_DETALLE!CS8:CS47)</f>
        <v>126424.11599999995</v>
      </c>
      <c r="CT38" s="88">
        <f>SUM(CAPA3_PDV_DETALLE!CT8:CT47)</f>
        <v>126424.11599999995</v>
      </c>
      <c r="CU38" s="88">
        <f>SUM(CAPA3_PDV_DETALLE!CU8:CU47)</f>
        <v>126424.11599999995</v>
      </c>
      <c r="CV38" s="88">
        <f>SUM(CAPA3_PDV_DETALLE!CV8:CV47)</f>
        <v>126424.11599999995</v>
      </c>
      <c r="CW38" s="88">
        <f>SUM(CAPA3_PDV_DETALLE!CW8:CW47)</f>
        <v>126424.11599999995</v>
      </c>
      <c r="CX38" s="88">
        <f>SUM(CAPA3_PDV_DETALLE!CX8:CX47)</f>
        <v>126424.11599999995</v>
      </c>
      <c r="CY38" s="88">
        <f>SUM(CAPA3_PDV_DETALLE!CY8:CY47)</f>
        <v>126424.11599999995</v>
      </c>
      <c r="CZ38" s="88">
        <f>SUM(CAPA3_PDV_DETALLE!CZ8:CZ47)</f>
        <v>126424.11599999995</v>
      </c>
      <c r="DA38" s="88">
        <f>SUM(CAPA3_PDV_DETALLE!DA8:DA47)</f>
        <v>126424.11599999995</v>
      </c>
      <c r="DB38" s="88">
        <f>SUM(CAPA3_PDV_DETALLE!DB8:DB47)</f>
        <v>126424.11599999995</v>
      </c>
      <c r="DC38" s="88">
        <f>SUM(CAPA3_PDV_DETALLE!DC8:DC47)</f>
        <v>126424.11599999995</v>
      </c>
      <c r="DD38" s="88">
        <f>SUM(CAPA3_PDV_DETALLE!DD8:DD47)</f>
        <v>126424.11599999995</v>
      </c>
      <c r="DE38" s="88">
        <f>SUM(CAPA3_PDV_DETALLE!DE8:DE47)</f>
        <v>126424.11599999995</v>
      </c>
      <c r="DF38" s="88">
        <f>SUM(CAPA3_PDV_DETALLE!DF8:DF47)</f>
        <v>126424.11599999995</v>
      </c>
      <c r="DG38" s="88">
        <f>SUM(CAPA3_PDV_DETALLE!DG8:DG47)</f>
        <v>126424.11599999995</v>
      </c>
      <c r="DH38" s="88">
        <f>SUM(CAPA3_PDV_DETALLE!DH8:DH47)</f>
        <v>126424.11599999995</v>
      </c>
      <c r="DI38" s="88">
        <f>SUM(CAPA3_PDV_DETALLE!DI8:DI47)</f>
        <v>126424.11599999995</v>
      </c>
      <c r="DJ38" s="88">
        <f>SUM(CAPA3_PDV_DETALLE!DJ8:DJ47)</f>
        <v>126424.11599999995</v>
      </c>
      <c r="DK38" s="88">
        <f>SUM(CAPA3_PDV_DETALLE!DK8:DK47)</f>
        <v>126424.11599999995</v>
      </c>
      <c r="DL38" s="88">
        <f>SUM(CAPA3_PDV_DETALLE!DL8:DL47)</f>
        <v>126424.11599999995</v>
      </c>
      <c r="DM38" s="88">
        <f>SUM(CAPA3_PDV_DETALLE!DM8:DM47)</f>
        <v>126424.11599999995</v>
      </c>
      <c r="DN38" s="88">
        <f>SUM(CAPA3_PDV_DETALLE!DN8:DN47)</f>
        <v>126424.11599999995</v>
      </c>
      <c r="DO38" s="88">
        <f>SUM(CAPA3_PDV_DETALLE!DO8:DO47)</f>
        <v>126424.11599999995</v>
      </c>
      <c r="DP38" s="88">
        <f>SUM(CAPA3_PDV_DETALLE!DP8:DP47)</f>
        <v>126424.11599999995</v>
      </c>
      <c r="DQ38" s="88">
        <f>SUM(CAPA3_PDV_DETALLE!DQ8:DQ47)</f>
        <v>126424.11599999995</v>
      </c>
      <c r="DR38" s="88">
        <f>SUM(CAPA3_PDV_DETALLE!DR8:DR47)</f>
        <v>126424.11599999995</v>
      </c>
      <c r="DS38" s="88">
        <f>SUM(CAPA3_PDV_DETALLE!DS8:DS47)</f>
        <v>126424.11599999995</v>
      </c>
    </row>
    <row r="39" spans="1:123" ht="15" customHeight="1" x14ac:dyDescent="0.2">
      <c r="B39" s="37" t="s">
        <v>1025</v>
      </c>
      <c r="D39" s="77">
        <f>D38*SUP_CONTROL!$C$26</f>
        <v>0</v>
      </c>
      <c r="E39" s="77">
        <f>E38*SUP_CONTROL!$C$26</f>
        <v>0</v>
      </c>
      <c r="F39" s="77">
        <f>F38*SUP_CONTROL!$C$26</f>
        <v>0</v>
      </c>
      <c r="G39" s="77">
        <f>G38*SUP_CONTROL!$C$26</f>
        <v>0</v>
      </c>
      <c r="H39" s="77">
        <f>H38*SUP_CONTROL!$C$26</f>
        <v>0</v>
      </c>
      <c r="I39" s="77">
        <f>I38*SUP_CONTROL!$C$26</f>
        <v>0</v>
      </c>
      <c r="J39" s="77">
        <f>J38*SUP_CONTROL!$C$26</f>
        <v>0</v>
      </c>
      <c r="K39" s="77">
        <f>K38*SUP_CONTROL!$C$26</f>
        <v>0</v>
      </c>
      <c r="L39" s="77">
        <f>L38*SUP_CONTROL!$C$26</f>
        <v>0</v>
      </c>
      <c r="M39" s="77">
        <f>M38*SUP_CONTROL!$C$26</f>
        <v>0</v>
      </c>
      <c r="N39" s="77">
        <f>N38*SUP_CONTROL!$C$26</f>
        <v>0</v>
      </c>
      <c r="O39" s="77">
        <f>O38*SUP_CONTROL!$C$26</f>
        <v>0</v>
      </c>
      <c r="P39" s="77">
        <f>P38*SUP_CONTROL!$C$26</f>
        <v>0</v>
      </c>
      <c r="Q39" s="77">
        <f>Q38*SUP_CONTROL!$C$26</f>
        <v>0</v>
      </c>
      <c r="R39" s="77">
        <f>R38*SUP_CONTROL!$C$26</f>
        <v>0</v>
      </c>
      <c r="S39" s="77">
        <f>S38*SUP_CONTROL!$C$26</f>
        <v>0</v>
      </c>
      <c r="T39" s="77">
        <f>T38*SUP_CONTROL!$C$26</f>
        <v>28402.742121729509</v>
      </c>
      <c r="U39" s="77">
        <f>U38*SUP_CONTROL!$C$26</f>
        <v>34957.221072897861</v>
      </c>
      <c r="V39" s="77">
        <f>V38*SUP_CONTROL!$C$26</f>
        <v>67729.615828739596</v>
      </c>
      <c r="W39" s="77">
        <f>W38*SUP_CONTROL!$C$26</f>
        <v>107056.4895357497</v>
      </c>
      <c r="X39" s="77">
        <f>X38*SUP_CONTROL!$C$26</f>
        <v>117980.62112103029</v>
      </c>
      <c r="Y39" s="77">
        <f>Y38*SUP_CONTROL!$C$26</f>
        <v>126719.92638925472</v>
      </c>
      <c r="Z39" s="77">
        <f>Z38*SUP_CONTROL!$C$26</f>
        <v>131089.57902336697</v>
      </c>
      <c r="AA39" s="77">
        <f>AA38*SUP_CONTROL!$C$26</f>
        <v>131089.57902336697</v>
      </c>
      <c r="AB39" s="77">
        <f>AB38*SUP_CONTROL!$C$26</f>
        <v>131089.57902336697</v>
      </c>
      <c r="AC39" s="77">
        <f>AC38*SUP_CONTROL!$C$26</f>
        <v>131089.57902336697</v>
      </c>
      <c r="AD39" s="77">
        <f>AD38*SUP_CONTROL!$C$26</f>
        <v>127156.89165266595</v>
      </c>
      <c r="AE39" s="77">
        <f>AE38*SUP_CONTROL!$C$26</f>
        <v>127156.89165266595</v>
      </c>
      <c r="AF39" s="77">
        <f>AF38*SUP_CONTROL!$C$26</f>
        <v>162972.74946816688</v>
      </c>
      <c r="AG39" s="77">
        <f>AG38*SUP_CONTROL!$C$26</f>
        <v>198788.60728366778</v>
      </c>
      <c r="AH39" s="77">
        <f>AH38*SUP_CONTROL!$C$26</f>
        <v>210656.58383791661</v>
      </c>
      <c r="AI39" s="77">
        <f>AI38*SUP_CONTROL!$C$26</f>
        <v>247955.9387226986</v>
      </c>
      <c r="AJ39" s="77">
        <f>AJ38*SUP_CONTROL!$C$26</f>
        <v>286103.0062184984</v>
      </c>
      <c r="AK39" s="77">
        <f>AK38*SUP_CONTROL!$C$26</f>
        <v>296699.41385622055</v>
      </c>
      <c r="AL39" s="77">
        <f>AL38*SUP_CONTROL!$C$26</f>
        <v>297311.16522499628</v>
      </c>
      <c r="AM39" s="77">
        <f>AM38*SUP_CONTROL!$C$26</f>
        <v>336333.25566077704</v>
      </c>
      <c r="AN39" s="77">
        <f>AN38*SUP_CONTROL!$C$26</f>
        <v>371226.02435732167</v>
      </c>
      <c r="AO39" s="77">
        <f>AO38*SUP_CONTROL!$C$26</f>
        <v>409628.71653221705</v>
      </c>
      <c r="AP39" s="77">
        <f>AP38*SUP_CONTROL!$C$26</f>
        <v>452160.73044634849</v>
      </c>
      <c r="AQ39" s="77">
        <f>AQ38*SUP_CONTROL!$C$26</f>
        <v>466613.35653367458</v>
      </c>
      <c r="AR39" s="77">
        <f>AR38*SUP_CONTROL!$C$26</f>
        <v>509764.76870869147</v>
      </c>
      <c r="AS39" s="77">
        <f>AS38*SUP_CONTROL!$C$26</f>
        <v>521946.26783943782</v>
      </c>
      <c r="AT39" s="77">
        <f>AT38*SUP_CONTROL!$C$26</f>
        <v>554154.97740547918</v>
      </c>
      <c r="AU39" s="77">
        <f>AU38*SUP_CONTROL!$C$26</f>
        <v>592557.6695803745</v>
      </c>
      <c r="AV39" s="77">
        <f>AV38*SUP_CONTROL!$C$26</f>
        <v>602880.97392846446</v>
      </c>
      <c r="AW39" s="77">
        <f>AW38*SUP_CONTROL!$C$26</f>
        <v>611139.61740693671</v>
      </c>
      <c r="AX39" s="77">
        <f>AX38*SUP_CONTROL!$C$26</f>
        <v>615268.93914617284</v>
      </c>
      <c r="AY39" s="77">
        <f>AY38*SUP_CONTROL!$C$26</f>
        <v>615268.93914617284</v>
      </c>
      <c r="AZ39" s="77">
        <f>AZ38*SUP_CONTROL!$C$26</f>
        <v>615268.93914617284</v>
      </c>
      <c r="BA39" s="77">
        <f>BA38*SUP_CONTROL!$C$26</f>
        <v>598991.98308410484</v>
      </c>
      <c r="BB39" s="77">
        <f>BB38*SUP_CONTROL!$C$26</f>
        <v>598991.98308410484</v>
      </c>
      <c r="BC39" s="77">
        <f>BC38*SUP_CONTROL!$C$26</f>
        <v>598991.98308410484</v>
      </c>
      <c r="BD39" s="77">
        <f>BD38*SUP_CONTROL!$C$26</f>
        <v>651253.02858808707</v>
      </c>
      <c r="BE39" s="77">
        <f>BE38*SUP_CONTROL!$C$26</f>
        <v>689443.79261022806</v>
      </c>
      <c r="BF39" s="77">
        <f>BF38*SUP_CONTROL!$C$26</f>
        <v>721451.49815510004</v>
      </c>
      <c r="BG39" s="77">
        <f>BG38*SUP_CONTROL!$C$26</f>
        <v>766480.76854962658</v>
      </c>
      <c r="BH39" s="77">
        <f>BH38*SUP_CONTROL!$C$26</f>
        <v>806987.44846784696</v>
      </c>
      <c r="BI39" s="77">
        <f>BI38*SUP_CONTROL!$C$26</f>
        <v>847494.12838606734</v>
      </c>
      <c r="BJ39" s="77">
        <f>BJ38*SUP_CONTROL!$C$26</f>
        <v>894489.7424659445</v>
      </c>
      <c r="BK39" s="77">
        <f>BK38*SUP_CONTROL!$C$26</f>
        <v>914795.51825666381</v>
      </c>
      <c r="BL39" s="77">
        <f>BL38*SUP_CONTROL!$C$26</f>
        <v>954402.04973225726</v>
      </c>
      <c r="BM39" s="77">
        <f>BM38*SUP_CONTROL!$C$26</f>
        <v>994008.5812078506</v>
      </c>
      <c r="BN39" s="77">
        <f>BN38*SUP_CONTROL!$C$26</f>
        <v>1039959.8483081749</v>
      </c>
      <c r="BO39" s="77">
        <f>BO38*SUP_CONTROL!$C$26</f>
        <v>1080143.1739314711</v>
      </c>
      <c r="BP39" s="77">
        <f>BP38*SUP_CONTROL!$C$26</f>
        <v>1100663.0627012623</v>
      </c>
      <c r="BQ39" s="77">
        <f>BQ38*SUP_CONTROL!$C$26</f>
        <v>1139594.4828448852</v>
      </c>
      <c r="BR39" s="77">
        <f>BR38*SUP_CONTROL!$C$26</f>
        <v>1184762.4897105447</v>
      </c>
      <c r="BS39" s="77">
        <f>BS38*SUP_CONTROL!$C$26</f>
        <v>1248829.2442187399</v>
      </c>
      <c r="BT39" s="77">
        <f>BT38*SUP_CONTROL!$C$26</f>
        <v>1293430.2886551234</v>
      </c>
      <c r="BU39" s="77">
        <f>BU38*SUP_CONTROL!$C$26</f>
        <v>1312971.3752348726</v>
      </c>
      <c r="BV39" s="77">
        <f>BV38*SUP_CONTROL!$C$26</f>
        <v>1353827.627363822</v>
      </c>
      <c r="BW39" s="77">
        <f>BW38*SUP_CONTROL!$C$26</f>
        <v>1398212.373994817</v>
      </c>
      <c r="BX39" s="77">
        <f>BX38*SUP_CONTROL!$C$26</f>
        <v>1437025.8135173188</v>
      </c>
      <c r="BY39" s="77">
        <f>BY38*SUP_CONTROL!$C$26</f>
        <v>1475282.1223289713</v>
      </c>
      <c r="BZ39" s="77">
        <f>BZ38*SUP_CONTROL!$C$26</f>
        <v>1519590.4000388694</v>
      </c>
      <c r="CA39" s="77">
        <f>CA38*SUP_CONTROL!$C$26</f>
        <v>1568958.7354990693</v>
      </c>
      <c r="CB39" s="77">
        <f>CB38*SUP_CONTROL!$C$26</f>
        <v>1610986.0545339608</v>
      </c>
      <c r="CC39" s="77">
        <f>CC38*SUP_CONTROL!$C$26</f>
        <v>1628604.4939547011</v>
      </c>
      <c r="CD39" s="77">
        <f>CD38*SUP_CONTROL!$C$26</f>
        <v>1637046.662843806</v>
      </c>
      <c r="CE39" s="77">
        <f>CE38*SUP_CONTROL!$C$26</f>
        <v>1640717.1710564601</v>
      </c>
      <c r="CF39" s="77">
        <f>CF38*SUP_CONTROL!$C$26</f>
        <v>1640717.1710564601</v>
      </c>
      <c r="CG39" s="77">
        <f>CG38*SUP_CONTROL!$C$26</f>
        <v>1640717.1710564601</v>
      </c>
      <c r="CH39" s="77">
        <f>CH38*SUP_CONTROL!$C$26</f>
        <v>1640717.1710564601</v>
      </c>
      <c r="CI39" s="77">
        <f>CI38*SUP_CONTROL!$C$26</f>
        <v>1640717.1710564601</v>
      </c>
      <c r="CJ39" s="77">
        <f>CJ38*SUP_CONTROL!$C$26</f>
        <v>1640717.1710564601</v>
      </c>
      <c r="CK39" s="77">
        <f>CK38*SUP_CONTROL!$C$26</f>
        <v>1640717.1710564601</v>
      </c>
      <c r="CL39" s="77">
        <f>CL38*SUP_CONTROL!$C$26</f>
        <v>1640717.1710564601</v>
      </c>
      <c r="CM39" s="77">
        <f>CM38*SUP_CONTROL!$C$26</f>
        <v>1640717.1710564601</v>
      </c>
      <c r="CN39" s="77">
        <f>CN38*SUP_CONTROL!$C$26</f>
        <v>1640717.1710564601</v>
      </c>
      <c r="CO39" s="77">
        <f>CO38*SUP_CONTROL!$C$26</f>
        <v>1640717.1710564601</v>
      </c>
      <c r="CP39" s="77">
        <f>CP38*SUP_CONTROL!$C$26</f>
        <v>1640717.1710564601</v>
      </c>
      <c r="CQ39" s="77">
        <f>CQ38*SUP_CONTROL!$C$26</f>
        <v>1640717.1710564601</v>
      </c>
      <c r="CR39" s="77">
        <f>CR38*SUP_CONTROL!$C$26</f>
        <v>1640717.1710564601</v>
      </c>
      <c r="CS39" s="77">
        <f>CS38*SUP_CONTROL!$C$26</f>
        <v>1640717.1710564601</v>
      </c>
      <c r="CT39" s="77">
        <f>CT38*SUP_CONTROL!$C$26</f>
        <v>1640717.1710564601</v>
      </c>
      <c r="CU39" s="77">
        <f>CU38*SUP_CONTROL!$C$26</f>
        <v>1640717.1710564601</v>
      </c>
      <c r="CV39" s="77">
        <f>CV38*SUP_CONTROL!$C$26</f>
        <v>1640717.1710564601</v>
      </c>
      <c r="CW39" s="77">
        <f>CW38*SUP_CONTROL!$C$26</f>
        <v>1640717.1710564601</v>
      </c>
      <c r="CX39" s="77">
        <f>CX38*SUP_CONTROL!$C$26</f>
        <v>1640717.1710564601</v>
      </c>
      <c r="CY39" s="77">
        <f>CY38*SUP_CONTROL!$C$26</f>
        <v>1640717.1710564601</v>
      </c>
      <c r="CZ39" s="77">
        <f>CZ38*SUP_CONTROL!$C$26</f>
        <v>1640717.1710564601</v>
      </c>
      <c r="DA39" s="77">
        <f>DA38*SUP_CONTROL!$C$26</f>
        <v>1640717.1710564601</v>
      </c>
      <c r="DB39" s="77">
        <f>DB38*SUP_CONTROL!$C$26</f>
        <v>1640717.1710564601</v>
      </c>
      <c r="DC39" s="77">
        <f>DC38*SUP_CONTROL!$C$26</f>
        <v>1640717.1710564601</v>
      </c>
      <c r="DD39" s="77">
        <f>DD38*SUP_CONTROL!$C$26</f>
        <v>1640717.1710564601</v>
      </c>
      <c r="DE39" s="77">
        <f>DE38*SUP_CONTROL!$C$26</f>
        <v>1640717.1710564601</v>
      </c>
      <c r="DF39" s="77">
        <f>DF38*SUP_CONTROL!$C$26</f>
        <v>1640717.1710564601</v>
      </c>
      <c r="DG39" s="77">
        <f>DG38*SUP_CONTROL!$C$26</f>
        <v>1640717.1710564601</v>
      </c>
      <c r="DH39" s="77">
        <f>DH38*SUP_CONTROL!$C$26</f>
        <v>1640717.1710564601</v>
      </c>
      <c r="DI39" s="77">
        <f>DI38*SUP_CONTROL!$C$26</f>
        <v>1640717.1710564601</v>
      </c>
      <c r="DJ39" s="77">
        <f>DJ38*SUP_CONTROL!$C$26</f>
        <v>1640717.1710564601</v>
      </c>
      <c r="DK39" s="77">
        <f>DK38*SUP_CONTROL!$C$26</f>
        <v>1640717.1710564601</v>
      </c>
      <c r="DL39" s="77">
        <f>DL38*SUP_CONTROL!$C$26</f>
        <v>1640717.1710564601</v>
      </c>
      <c r="DM39" s="77">
        <f>DM38*SUP_CONTROL!$C$26</f>
        <v>1640717.1710564601</v>
      </c>
      <c r="DN39" s="77">
        <f>DN38*SUP_CONTROL!$C$26</f>
        <v>1640717.1710564601</v>
      </c>
      <c r="DO39" s="77">
        <f>DO38*SUP_CONTROL!$C$26</f>
        <v>1640717.1710564601</v>
      </c>
      <c r="DP39" s="77">
        <f>DP38*SUP_CONTROL!$C$26</f>
        <v>1640717.1710564601</v>
      </c>
      <c r="DQ39" s="77">
        <f>DQ38*SUP_CONTROL!$C$26</f>
        <v>1640717.1710564601</v>
      </c>
      <c r="DR39" s="77">
        <f>DR38*SUP_CONTROL!$C$26</f>
        <v>1640717.1710564601</v>
      </c>
      <c r="DS39" s="77">
        <f>DS38*SUP_CONTROL!$C$26</f>
        <v>1640717.1710564601</v>
      </c>
    </row>
    <row r="40" spans="1:123" ht="15" customHeight="1" x14ac:dyDescent="0.2">
      <c r="B40" s="37" t="s">
        <v>939</v>
      </c>
      <c r="D40" s="77">
        <f>D38*SUP_CONTROL!$C$27</f>
        <v>0</v>
      </c>
      <c r="E40" s="77">
        <f>E38*SUP_CONTROL!$C$27</f>
        <v>0</v>
      </c>
      <c r="F40" s="77">
        <f>F38*SUP_CONTROL!$C$27</f>
        <v>0</v>
      </c>
      <c r="G40" s="77">
        <f>G38*SUP_CONTROL!$C$27</f>
        <v>0</v>
      </c>
      <c r="H40" s="77">
        <f>H38*SUP_CONTROL!$C$27</f>
        <v>0</v>
      </c>
      <c r="I40" s="77">
        <f>I38*SUP_CONTROL!$C$27</f>
        <v>0</v>
      </c>
      <c r="J40" s="77">
        <f>J38*SUP_CONTROL!$C$27</f>
        <v>0</v>
      </c>
      <c r="K40" s="77">
        <f>K38*SUP_CONTROL!$C$27</f>
        <v>0</v>
      </c>
      <c r="L40" s="77">
        <f>L38*SUP_CONTROL!$C$27</f>
        <v>0</v>
      </c>
      <c r="M40" s="77">
        <f>M38*SUP_CONTROL!$C$27</f>
        <v>0</v>
      </c>
      <c r="N40" s="77">
        <f>N38*SUP_CONTROL!$C$27</f>
        <v>0</v>
      </c>
      <c r="O40" s="77">
        <f>O38*SUP_CONTROL!$C$27</f>
        <v>0</v>
      </c>
      <c r="P40" s="77">
        <f>P38*SUP_CONTROL!$C$27</f>
        <v>0</v>
      </c>
      <c r="Q40" s="77">
        <f>Q38*SUP_CONTROL!$C$27</f>
        <v>0</v>
      </c>
      <c r="R40" s="77">
        <f>R38*SUP_CONTROL!$C$27</f>
        <v>0</v>
      </c>
      <c r="S40" s="77">
        <f>S38*SUP_CONTROL!$C$27</f>
        <v>0</v>
      </c>
      <c r="T40" s="77">
        <f>T38*SUP_CONTROL!$C$27</f>
        <v>13275.405408261702</v>
      </c>
      <c r="U40" s="77">
        <f>U38*SUP_CONTROL!$C$27</f>
        <v>16338.960502475942</v>
      </c>
      <c r="V40" s="77">
        <f>V38*SUP_CONTROL!$C$27</f>
        <v>31656.735973547136</v>
      </c>
      <c r="W40" s="77">
        <f>W38*SUP_CONTROL!$C$27</f>
        <v>50038.066538832572</v>
      </c>
      <c r="X40" s="77">
        <f>X38*SUP_CONTROL!$C$27</f>
        <v>55143.991695856304</v>
      </c>
      <c r="Y40" s="77">
        <f>Y38*SUP_CONTROL!$C$27</f>
        <v>59228.731821475281</v>
      </c>
      <c r="Z40" s="77">
        <f>Z38*SUP_CONTROL!$C$27</f>
        <v>61271.101884284777</v>
      </c>
      <c r="AA40" s="77">
        <f>AA38*SUP_CONTROL!$C$27</f>
        <v>61271.101884284777</v>
      </c>
      <c r="AB40" s="77">
        <f>AB38*SUP_CONTROL!$C$27</f>
        <v>61271.101884284777</v>
      </c>
      <c r="AC40" s="77">
        <f>AC38*SUP_CONTROL!$C$27</f>
        <v>61271.101884284777</v>
      </c>
      <c r="AD40" s="77">
        <f>AD38*SUP_CONTROL!$C$27</f>
        <v>59432.968827756231</v>
      </c>
      <c r="AE40" s="77">
        <f>AE38*SUP_CONTROL!$C$27</f>
        <v>59432.968827756231</v>
      </c>
      <c r="AF40" s="77">
        <f>AF38*SUP_CONTROL!$C$27</f>
        <v>76173.255047574232</v>
      </c>
      <c r="AG40" s="77">
        <f>AG38*SUP_CONTROL!$C$27</f>
        <v>92913.54126739224</v>
      </c>
      <c r="AH40" s="77">
        <f>AH38*SUP_CONTROL!$C$27</f>
        <v>98460.618357982836</v>
      </c>
      <c r="AI40" s="77">
        <f>AI38*SUP_CONTROL!$C$27</f>
        <v>115894.28921412464</v>
      </c>
      <c r="AJ40" s="77">
        <f>AJ38*SUP_CONTROL!$C$27</f>
        <v>133724.17986245154</v>
      </c>
      <c r="AK40" s="77">
        <f>AK38*SUP_CONTROL!$C$27</f>
        <v>138676.92726476456</v>
      </c>
      <c r="AL40" s="77">
        <f>AL38*SUP_CONTROL!$C$27</f>
        <v>138962.85907355786</v>
      </c>
      <c r="AM40" s="77">
        <f>AM38*SUP_CONTROL!$C$27</f>
        <v>157201.73432696232</v>
      </c>
      <c r="AN40" s="77">
        <f>AN38*SUP_CONTROL!$C$27</f>
        <v>173510.56987101183</v>
      </c>
      <c r="AO40" s="77">
        <f>AO38*SUP_CONTROL!$C$27</f>
        <v>191459.93916801305</v>
      </c>
      <c r="AP40" s="77">
        <f>AP38*SUP_CONTROL!$C$27</f>
        <v>211339.34817436925</v>
      </c>
      <c r="AQ40" s="77">
        <f>AQ38*SUP_CONTROL!$C$27</f>
        <v>218094.48715711161</v>
      </c>
      <c r="AR40" s="77">
        <f>AR38*SUP_CONTROL!$C$27</f>
        <v>238263.40211987105</v>
      </c>
      <c r="AS40" s="77">
        <f>AS38*SUP_CONTROL!$C$27</f>
        <v>243957.01926246824</v>
      </c>
      <c r="AT40" s="77">
        <f>AT38*SUP_CONTROL!$C$27</f>
        <v>259011.32899543704</v>
      </c>
      <c r="AU40" s="77">
        <f>AU38*SUP_CONTROL!$C$27</f>
        <v>276960.69829243823</v>
      </c>
      <c r="AV40" s="77">
        <f>AV38*SUP_CONTROL!$C$27</f>
        <v>281785.79756582563</v>
      </c>
      <c r="AW40" s="77">
        <f>AW38*SUP_CONTROL!$C$27</f>
        <v>285645.8769845356</v>
      </c>
      <c r="AX40" s="77">
        <f>AX38*SUP_CONTROL!$C$27</f>
        <v>287575.91669389058</v>
      </c>
      <c r="AY40" s="77">
        <f>AY38*SUP_CONTROL!$C$27</f>
        <v>287575.91669389058</v>
      </c>
      <c r="AZ40" s="77">
        <f>AZ38*SUP_CONTROL!$C$27</f>
        <v>287575.91669389058</v>
      </c>
      <c r="BA40" s="77">
        <f>BA38*SUP_CONTROL!$C$27</f>
        <v>279968.08820992522</v>
      </c>
      <c r="BB40" s="77">
        <f>BB38*SUP_CONTROL!$C$27</f>
        <v>279968.08820992522</v>
      </c>
      <c r="BC40" s="77">
        <f>BC38*SUP_CONTROL!$C$27</f>
        <v>279968.08820992522</v>
      </c>
      <c r="BD40" s="77">
        <f>BD38*SUP_CONTROL!$C$27</f>
        <v>304394.83416112681</v>
      </c>
      <c r="BE40" s="77">
        <f>BE38*SUP_CONTROL!$C$27</f>
        <v>322245.14851008175</v>
      </c>
      <c r="BF40" s="77">
        <f>BF38*SUP_CONTROL!$C$27</f>
        <v>337205.50922016124</v>
      </c>
      <c r="BG40" s="77">
        <f>BG38*SUP_CONTROL!$C$27</f>
        <v>358252.13271741307</v>
      </c>
      <c r="BH40" s="77">
        <f>BH38*SUP_CONTROL!$C$27</f>
        <v>377184.9031996571</v>
      </c>
      <c r="BI40" s="77">
        <f>BI38*SUP_CONTROL!$C$27</f>
        <v>396117.67368190107</v>
      </c>
      <c r="BJ40" s="77">
        <f>BJ38*SUP_CONTROL!$C$27</f>
        <v>418083.36370741721</v>
      </c>
      <c r="BK40" s="77">
        <f>BK38*SUP_CONTROL!$C$27</f>
        <v>427574.25738929282</v>
      </c>
      <c r="BL40" s="77">
        <f>BL38*SUP_CONTROL!$C$27</f>
        <v>446086.29963859811</v>
      </c>
      <c r="BM40" s="77">
        <f>BM38*SUP_CONTROL!$C$27</f>
        <v>464598.34188790334</v>
      </c>
      <c r="BN40" s="77">
        <f>BN38*SUP_CONTROL!$C$27</f>
        <v>486075.90546840802</v>
      </c>
      <c r="BO40" s="77">
        <f>BO38*SUP_CONTROL!$C$27</f>
        <v>504857.54056600417</v>
      </c>
      <c r="BP40" s="77">
        <f>BP38*SUP_CONTROL!$C$27</f>
        <v>514448.51038095762</v>
      </c>
      <c r="BQ40" s="77">
        <f>BQ38*SUP_CONTROL!$C$27</f>
        <v>532645.0064555587</v>
      </c>
      <c r="BR40" s="77">
        <f>BR38*SUP_CONTROL!$C$27</f>
        <v>553756.47520230478</v>
      </c>
      <c r="BS40" s="77">
        <f>BS38*SUP_CONTROL!$C$27</f>
        <v>583701.19447070186</v>
      </c>
      <c r="BT40" s="77">
        <f>BT38*SUP_CONTROL!$C$27</f>
        <v>604547.6657017984</v>
      </c>
      <c r="BU40" s="77">
        <f>BU38*SUP_CONTROL!$C$27</f>
        <v>613681.14462268213</v>
      </c>
      <c r="BV40" s="77">
        <f>BV38*SUP_CONTROL!$C$27</f>
        <v>632777.30470995093</v>
      </c>
      <c r="BW40" s="77">
        <f>BW38*SUP_CONTROL!$C$27</f>
        <v>653522.67862293834</v>
      </c>
      <c r="BX40" s="77">
        <f>BX38*SUP_CONTROL!$C$27</f>
        <v>671664.03070584359</v>
      </c>
      <c r="BY40" s="77">
        <f>BY38*SUP_CONTROL!$C$27</f>
        <v>689544.98060574068</v>
      </c>
      <c r="BZ40" s="77">
        <f>BZ38*SUP_CONTROL!$C$27</f>
        <v>710254.61304262886</v>
      </c>
      <c r="CA40" s="77">
        <f>CA38*SUP_CONTROL!$C$27</f>
        <v>733329.31001225056</v>
      </c>
      <c r="CB40" s="77">
        <f>CB38*SUP_CONTROL!$C$27</f>
        <v>752972.82527635223</v>
      </c>
      <c r="CC40" s="77">
        <f>CC38*SUP_CONTROL!$C$27</f>
        <v>761207.66136959998</v>
      </c>
      <c r="CD40" s="77">
        <f>CD38*SUP_CONTROL!$C$27</f>
        <v>765153.52033094806</v>
      </c>
      <c r="CE40" s="77">
        <f>CE38*SUP_CONTROL!$C$27</f>
        <v>766869.11118370795</v>
      </c>
      <c r="CF40" s="77">
        <f>CF38*SUP_CONTROL!$C$27</f>
        <v>766869.11118370795</v>
      </c>
      <c r="CG40" s="77">
        <f>CG38*SUP_CONTROL!$C$27</f>
        <v>766869.11118370795</v>
      </c>
      <c r="CH40" s="77">
        <f>CH38*SUP_CONTROL!$C$27</f>
        <v>766869.11118370795</v>
      </c>
      <c r="CI40" s="77">
        <f>CI38*SUP_CONTROL!$C$27</f>
        <v>766869.11118370795</v>
      </c>
      <c r="CJ40" s="77">
        <f>CJ38*SUP_CONTROL!$C$27</f>
        <v>766869.11118370795</v>
      </c>
      <c r="CK40" s="77">
        <f>CK38*SUP_CONTROL!$C$27</f>
        <v>766869.11118370795</v>
      </c>
      <c r="CL40" s="77">
        <f>CL38*SUP_CONTROL!$C$27</f>
        <v>766869.11118370795</v>
      </c>
      <c r="CM40" s="77">
        <f>CM38*SUP_CONTROL!$C$27</f>
        <v>766869.11118370795</v>
      </c>
      <c r="CN40" s="77">
        <f>CN38*SUP_CONTROL!$C$27</f>
        <v>766869.11118370795</v>
      </c>
      <c r="CO40" s="77">
        <f>CO38*SUP_CONTROL!$C$27</f>
        <v>766869.11118370795</v>
      </c>
      <c r="CP40" s="77">
        <f>CP38*SUP_CONTROL!$C$27</f>
        <v>766869.11118370795</v>
      </c>
      <c r="CQ40" s="77">
        <f>CQ38*SUP_CONTROL!$C$27</f>
        <v>766869.11118370795</v>
      </c>
      <c r="CR40" s="77">
        <f>CR38*SUP_CONTROL!$C$27</f>
        <v>766869.11118370795</v>
      </c>
      <c r="CS40" s="77">
        <f>CS38*SUP_CONTROL!$C$27</f>
        <v>766869.11118370795</v>
      </c>
      <c r="CT40" s="77">
        <f>CT38*SUP_CONTROL!$C$27</f>
        <v>766869.11118370795</v>
      </c>
      <c r="CU40" s="77">
        <f>CU38*SUP_CONTROL!$C$27</f>
        <v>766869.11118370795</v>
      </c>
      <c r="CV40" s="77">
        <f>CV38*SUP_CONTROL!$C$27</f>
        <v>766869.11118370795</v>
      </c>
      <c r="CW40" s="77">
        <f>CW38*SUP_CONTROL!$C$27</f>
        <v>766869.11118370795</v>
      </c>
      <c r="CX40" s="77">
        <f>CX38*SUP_CONTROL!$C$27</f>
        <v>766869.11118370795</v>
      </c>
      <c r="CY40" s="77">
        <f>CY38*SUP_CONTROL!$C$27</f>
        <v>766869.11118370795</v>
      </c>
      <c r="CZ40" s="77">
        <f>CZ38*SUP_CONTROL!$C$27</f>
        <v>766869.11118370795</v>
      </c>
      <c r="DA40" s="77">
        <f>DA38*SUP_CONTROL!$C$27</f>
        <v>766869.11118370795</v>
      </c>
      <c r="DB40" s="77">
        <f>DB38*SUP_CONTROL!$C$27</f>
        <v>766869.11118370795</v>
      </c>
      <c r="DC40" s="77">
        <f>DC38*SUP_CONTROL!$C$27</f>
        <v>766869.11118370795</v>
      </c>
      <c r="DD40" s="77">
        <f>DD38*SUP_CONTROL!$C$27</f>
        <v>766869.11118370795</v>
      </c>
      <c r="DE40" s="77">
        <f>DE38*SUP_CONTROL!$C$27</f>
        <v>766869.11118370795</v>
      </c>
      <c r="DF40" s="77">
        <f>DF38*SUP_CONTROL!$C$27</f>
        <v>766869.11118370795</v>
      </c>
      <c r="DG40" s="77">
        <f>DG38*SUP_CONTROL!$C$27</f>
        <v>766869.11118370795</v>
      </c>
      <c r="DH40" s="77">
        <f>DH38*SUP_CONTROL!$C$27</f>
        <v>766869.11118370795</v>
      </c>
      <c r="DI40" s="77">
        <f>DI38*SUP_CONTROL!$C$27</f>
        <v>766869.11118370795</v>
      </c>
      <c r="DJ40" s="77">
        <f>DJ38*SUP_CONTROL!$C$27</f>
        <v>766869.11118370795</v>
      </c>
      <c r="DK40" s="77">
        <f>DK38*SUP_CONTROL!$C$27</f>
        <v>766869.11118370795</v>
      </c>
      <c r="DL40" s="77">
        <f>DL38*SUP_CONTROL!$C$27</f>
        <v>766869.11118370795</v>
      </c>
      <c r="DM40" s="77">
        <f>DM38*SUP_CONTROL!$C$27</f>
        <v>766869.11118370795</v>
      </c>
      <c r="DN40" s="77">
        <f>DN38*SUP_CONTROL!$C$27</f>
        <v>766869.11118370795</v>
      </c>
      <c r="DO40" s="77">
        <f>DO38*SUP_CONTROL!$C$27</f>
        <v>766869.11118370795</v>
      </c>
      <c r="DP40" s="77">
        <f>DP38*SUP_CONTROL!$C$27</f>
        <v>766869.11118370795</v>
      </c>
      <c r="DQ40" s="77">
        <f>DQ38*SUP_CONTROL!$C$27</f>
        <v>766869.11118370795</v>
      </c>
      <c r="DR40" s="77">
        <f>DR38*SUP_CONTROL!$C$27</f>
        <v>766869.11118370795</v>
      </c>
      <c r="DS40" s="77">
        <f>DS38*SUP_CONTROL!$C$27</f>
        <v>766869.11118370795</v>
      </c>
    </row>
    <row r="41" spans="1:123" ht="15" customHeight="1" x14ac:dyDescent="0.2">
      <c r="B41" s="37" t="s">
        <v>1026</v>
      </c>
      <c r="D41" s="88">
        <f>D38*SUP_CONTROL!$C$28</f>
        <v>0</v>
      </c>
      <c r="E41" s="88">
        <f>E38*SUP_CONTROL!$C$28</f>
        <v>0</v>
      </c>
      <c r="F41" s="88">
        <f>F38*SUP_CONTROL!$C$28</f>
        <v>0</v>
      </c>
      <c r="G41" s="88">
        <f>G38*SUP_CONTROL!$C$28</f>
        <v>0</v>
      </c>
      <c r="H41" s="88">
        <f>H38*SUP_CONTROL!$C$28</f>
        <v>0</v>
      </c>
      <c r="I41" s="88">
        <f>I38*SUP_CONTROL!$C$28</f>
        <v>0</v>
      </c>
      <c r="J41" s="88">
        <f>J38*SUP_CONTROL!$C$28</f>
        <v>0</v>
      </c>
      <c r="K41" s="88">
        <f>K38*SUP_CONTROL!$C$28</f>
        <v>0</v>
      </c>
      <c r="L41" s="88">
        <f>L38*SUP_CONTROL!$C$28</f>
        <v>0</v>
      </c>
      <c r="M41" s="88">
        <f>M38*SUP_CONTROL!$C$28</f>
        <v>0</v>
      </c>
      <c r="N41" s="88">
        <f>N38*SUP_CONTROL!$C$28</f>
        <v>0</v>
      </c>
      <c r="O41" s="88">
        <f>O38*SUP_CONTROL!$C$28</f>
        <v>0</v>
      </c>
      <c r="P41" s="88">
        <f>P38*SUP_CONTROL!$C$28</f>
        <v>0</v>
      </c>
      <c r="Q41" s="88">
        <f>Q38*SUP_CONTROL!$C$28</f>
        <v>0</v>
      </c>
      <c r="R41" s="88">
        <f>R38*SUP_CONTROL!$C$28</f>
        <v>0</v>
      </c>
      <c r="S41" s="88">
        <f>S38*SUP_CONTROL!$C$28</f>
        <v>0</v>
      </c>
      <c r="T41" s="88">
        <f>T38*SUP_CONTROL!$C$28</f>
        <v>4377.1000000000004</v>
      </c>
      <c r="U41" s="88">
        <f>U38*SUP_CONTROL!$C$28</f>
        <v>5387.2000000000007</v>
      </c>
      <c r="V41" s="88">
        <f>V38*SUP_CONTROL!$C$28</f>
        <v>10437.700000000001</v>
      </c>
      <c r="W41" s="88">
        <f>W38*SUP_CONTROL!$C$28</f>
        <v>16498.300000000003</v>
      </c>
      <c r="X41" s="88">
        <f>X38*SUP_CONTROL!$C$28</f>
        <v>18181.800000000003</v>
      </c>
      <c r="Y41" s="88">
        <f>Y38*SUP_CONTROL!$C$28</f>
        <v>19528.599999999999</v>
      </c>
      <c r="Z41" s="88">
        <f>Z38*SUP_CONTROL!$C$28</f>
        <v>20202</v>
      </c>
      <c r="AA41" s="88">
        <f>AA38*SUP_CONTROL!$C$28</f>
        <v>20202</v>
      </c>
      <c r="AB41" s="88">
        <f>AB38*SUP_CONTROL!$C$28</f>
        <v>20202</v>
      </c>
      <c r="AC41" s="88">
        <f>AC38*SUP_CONTROL!$C$28</f>
        <v>20202</v>
      </c>
      <c r="AD41" s="88">
        <f>AD38*SUP_CONTROL!$C$28</f>
        <v>19595.939999999999</v>
      </c>
      <c r="AE41" s="88">
        <f>AE38*SUP_CONTROL!$C$28</f>
        <v>19595.939999999999</v>
      </c>
      <c r="AF41" s="88">
        <f>AF38*SUP_CONTROL!$C$28</f>
        <v>25115.463100000001</v>
      </c>
      <c r="AG41" s="88">
        <f>AG38*SUP_CONTROL!$C$28</f>
        <v>30634.986199999999</v>
      </c>
      <c r="AH41" s="88">
        <f>AH38*SUP_CONTROL!$C$28</f>
        <v>32463.940600000002</v>
      </c>
      <c r="AI41" s="88">
        <f>AI38*SUP_CONTROL!$C$28</f>
        <v>38212.082999999999</v>
      </c>
      <c r="AJ41" s="88">
        <f>AJ38*SUP_CONTROL!$C$28</f>
        <v>44090.865000000005</v>
      </c>
      <c r="AK41" s="88">
        <f>AK38*SUP_CONTROL!$C$28</f>
        <v>45723.86</v>
      </c>
      <c r="AL41" s="88">
        <f>AL38*SUP_CONTROL!$C$28</f>
        <v>45818.135999999999</v>
      </c>
      <c r="AM41" s="88">
        <f>AM38*SUP_CONTROL!$C$28</f>
        <v>51831.766349999998</v>
      </c>
      <c r="AN41" s="88">
        <f>AN38*SUP_CONTROL!$C$28</f>
        <v>57209.033699999993</v>
      </c>
      <c r="AO41" s="88">
        <f>AO38*SUP_CONTROL!$C$28</f>
        <v>63127.209599999995</v>
      </c>
      <c r="AP41" s="88">
        <f>AP38*SUP_CONTROL!$C$28</f>
        <v>69681.748500000002</v>
      </c>
      <c r="AQ41" s="88">
        <f>AQ38*SUP_CONTROL!$C$28</f>
        <v>71909.018999999986</v>
      </c>
      <c r="AR41" s="88">
        <f>AR38*SUP_CONTROL!$C$28</f>
        <v>78559.01234999999</v>
      </c>
      <c r="AS41" s="88">
        <f>AS38*SUP_CONTROL!$C$28</f>
        <v>80436.283199999991</v>
      </c>
      <c r="AT41" s="88">
        <f>AT38*SUP_CONTROL!$C$28</f>
        <v>85399.914600000004</v>
      </c>
      <c r="AU41" s="88">
        <f>AU38*SUP_CONTROL!$C$28</f>
        <v>91318.090499999991</v>
      </c>
      <c r="AV41" s="88">
        <f>AV38*SUP_CONTROL!$C$28</f>
        <v>92908.997999999978</v>
      </c>
      <c r="AW41" s="88">
        <f>AW38*SUP_CONTROL!$C$28</f>
        <v>94181.723999999987</v>
      </c>
      <c r="AX41" s="88">
        <f>AX38*SUP_CONTROL!$C$28</f>
        <v>94818.087</v>
      </c>
      <c r="AY41" s="88">
        <f>AY38*SUP_CONTROL!$C$28</f>
        <v>94818.087</v>
      </c>
      <c r="AZ41" s="88">
        <f>AZ38*SUP_CONTROL!$C$28</f>
        <v>94818.087</v>
      </c>
      <c r="BA41" s="88">
        <f>BA38*SUP_CONTROL!$C$28</f>
        <v>92309.672000000006</v>
      </c>
      <c r="BB41" s="88">
        <f>BB38*SUP_CONTROL!$C$28</f>
        <v>92309.672000000006</v>
      </c>
      <c r="BC41" s="88">
        <f>BC38*SUP_CONTROL!$C$28</f>
        <v>92309.672000000006</v>
      </c>
      <c r="BD41" s="88">
        <f>BD38*SUP_CONTROL!$C$28</f>
        <v>100363.53600000001</v>
      </c>
      <c r="BE41" s="88">
        <f>BE38*SUP_CONTROL!$C$28</f>
        <v>106249.05200000001</v>
      </c>
      <c r="BF41" s="88">
        <f>BF38*SUP_CONTROL!$C$28</f>
        <v>111181.70699999999</v>
      </c>
      <c r="BG41" s="88">
        <f>BG38*SUP_CONTROL!$C$28</f>
        <v>118121.094</v>
      </c>
      <c r="BH41" s="88">
        <f>BH38*SUP_CONTROL!$C$28</f>
        <v>124363.512</v>
      </c>
      <c r="BI41" s="88">
        <f>BI38*SUP_CONTROL!$C$28</f>
        <v>130605.93</v>
      </c>
      <c r="BJ41" s="88">
        <f>BJ38*SUP_CONTROL!$C$28</f>
        <v>137848.34700000001</v>
      </c>
      <c r="BK41" s="88">
        <f>BK38*SUP_CONTROL!$C$28</f>
        <v>140977.63679999998</v>
      </c>
      <c r="BL41" s="88">
        <f>BL38*SUP_CONTROL!$C$28</f>
        <v>147081.33439999999</v>
      </c>
      <c r="BM41" s="88">
        <f>BM38*SUP_CONTROL!$C$28</f>
        <v>153185.03200000001</v>
      </c>
      <c r="BN41" s="88">
        <f>BN38*SUP_CONTROL!$C$28</f>
        <v>160266.50640000001</v>
      </c>
      <c r="BO41" s="88">
        <f>BO38*SUP_CONTROL!$C$28</f>
        <v>166459.09280000004</v>
      </c>
      <c r="BP41" s="88">
        <f>BP38*SUP_CONTROL!$C$28</f>
        <v>169621.37920000005</v>
      </c>
      <c r="BQ41" s="88">
        <f>BQ38*SUP_CONTROL!$C$28</f>
        <v>175621.03650000005</v>
      </c>
      <c r="BR41" s="88">
        <f>BR38*SUP_CONTROL!$C$28</f>
        <v>182581.80395000006</v>
      </c>
      <c r="BS41" s="88">
        <f>BS38*SUP_CONTROL!$C$28</f>
        <v>192455.02640000006</v>
      </c>
      <c r="BT41" s="88">
        <f>BT38*SUP_CONTROL!$C$28</f>
        <v>199328.42020000005</v>
      </c>
      <c r="BU41" s="88">
        <f>BU38*SUP_CONTROL!$C$28</f>
        <v>202339.86499999996</v>
      </c>
      <c r="BV41" s="88">
        <f>BV38*SUP_CONTROL!$C$28</f>
        <v>208636.15499999997</v>
      </c>
      <c r="BW41" s="88">
        <f>BW38*SUP_CONTROL!$C$28</f>
        <v>215476.21549999996</v>
      </c>
      <c r="BX41" s="88">
        <f>BX38*SUP_CONTROL!$C$28</f>
        <v>221457.69099999996</v>
      </c>
      <c r="BY41" s="88">
        <f>BY38*SUP_CONTROL!$C$28</f>
        <v>227353.30799999993</v>
      </c>
      <c r="BZ41" s="88">
        <f>BZ38*SUP_CONTROL!$C$28</f>
        <v>234181.58399999992</v>
      </c>
      <c r="CA41" s="88">
        <f>CA38*SUP_CONTROL!$C$28</f>
        <v>241789.65719999993</v>
      </c>
      <c r="CB41" s="88">
        <f>CB38*SUP_CONTROL!$C$28</f>
        <v>248266.41839999994</v>
      </c>
      <c r="CC41" s="88">
        <f>CC38*SUP_CONTROL!$C$28</f>
        <v>250981.5671999999</v>
      </c>
      <c r="CD41" s="88">
        <f>CD38*SUP_CONTROL!$C$28</f>
        <v>252282.57599999991</v>
      </c>
      <c r="CE41" s="88">
        <f>CE38*SUP_CONTROL!$C$28</f>
        <v>252848.2319999999</v>
      </c>
      <c r="CF41" s="88">
        <f>CF38*SUP_CONTROL!$C$28</f>
        <v>252848.2319999999</v>
      </c>
      <c r="CG41" s="88">
        <f>CG38*SUP_CONTROL!$C$28</f>
        <v>252848.2319999999</v>
      </c>
      <c r="CH41" s="88">
        <f>CH38*SUP_CONTROL!$C$28</f>
        <v>252848.2319999999</v>
      </c>
      <c r="CI41" s="88">
        <f>CI38*SUP_CONTROL!$C$28</f>
        <v>252848.2319999999</v>
      </c>
      <c r="CJ41" s="88">
        <f>CJ38*SUP_CONTROL!$C$28</f>
        <v>252848.2319999999</v>
      </c>
      <c r="CK41" s="88">
        <f>CK38*SUP_CONTROL!$C$28</f>
        <v>252848.2319999999</v>
      </c>
      <c r="CL41" s="88">
        <f>CL38*SUP_CONTROL!$C$28</f>
        <v>252848.2319999999</v>
      </c>
      <c r="CM41" s="88">
        <f>CM38*SUP_CONTROL!$C$28</f>
        <v>252848.2319999999</v>
      </c>
      <c r="CN41" s="88">
        <f>CN38*SUP_CONTROL!$C$28</f>
        <v>252848.2319999999</v>
      </c>
      <c r="CO41" s="88">
        <f>CO38*SUP_CONTROL!$C$28</f>
        <v>252848.2319999999</v>
      </c>
      <c r="CP41" s="88">
        <f>CP38*SUP_CONTROL!$C$28</f>
        <v>252848.2319999999</v>
      </c>
      <c r="CQ41" s="88">
        <f>CQ38*SUP_CONTROL!$C$28</f>
        <v>252848.2319999999</v>
      </c>
      <c r="CR41" s="88">
        <f>CR38*SUP_CONTROL!$C$28</f>
        <v>252848.2319999999</v>
      </c>
      <c r="CS41" s="88">
        <f>CS38*SUP_CONTROL!$C$28</f>
        <v>252848.2319999999</v>
      </c>
      <c r="CT41" s="88">
        <f>CT38*SUP_CONTROL!$C$28</f>
        <v>252848.2319999999</v>
      </c>
      <c r="CU41" s="88">
        <f>CU38*SUP_CONTROL!$C$28</f>
        <v>252848.2319999999</v>
      </c>
      <c r="CV41" s="88">
        <f>CV38*SUP_CONTROL!$C$28</f>
        <v>252848.2319999999</v>
      </c>
      <c r="CW41" s="88">
        <f>CW38*SUP_CONTROL!$C$28</f>
        <v>252848.2319999999</v>
      </c>
      <c r="CX41" s="88">
        <f>CX38*SUP_CONTROL!$C$28</f>
        <v>252848.2319999999</v>
      </c>
      <c r="CY41" s="88">
        <f>CY38*SUP_CONTROL!$C$28</f>
        <v>252848.2319999999</v>
      </c>
      <c r="CZ41" s="88">
        <f>CZ38*SUP_CONTROL!$C$28</f>
        <v>252848.2319999999</v>
      </c>
      <c r="DA41" s="88">
        <f>DA38*SUP_CONTROL!$C$28</f>
        <v>252848.2319999999</v>
      </c>
      <c r="DB41" s="88">
        <f>DB38*SUP_CONTROL!$C$28</f>
        <v>252848.2319999999</v>
      </c>
      <c r="DC41" s="88">
        <f>DC38*SUP_CONTROL!$C$28</f>
        <v>252848.2319999999</v>
      </c>
      <c r="DD41" s="88">
        <f>DD38*SUP_CONTROL!$C$28</f>
        <v>252848.2319999999</v>
      </c>
      <c r="DE41" s="88">
        <f>DE38*SUP_CONTROL!$C$28</f>
        <v>252848.2319999999</v>
      </c>
      <c r="DF41" s="88">
        <f>DF38*SUP_CONTROL!$C$28</f>
        <v>252848.2319999999</v>
      </c>
      <c r="DG41" s="88">
        <f>DG38*SUP_CONTROL!$C$28</f>
        <v>252848.2319999999</v>
      </c>
      <c r="DH41" s="88">
        <f>DH38*SUP_CONTROL!$C$28</f>
        <v>252848.2319999999</v>
      </c>
      <c r="DI41" s="88">
        <f>DI38*SUP_CONTROL!$C$28</f>
        <v>252848.2319999999</v>
      </c>
      <c r="DJ41" s="88">
        <f>DJ38*SUP_CONTROL!$C$28</f>
        <v>252848.2319999999</v>
      </c>
      <c r="DK41" s="88">
        <f>DK38*SUP_CONTROL!$C$28</f>
        <v>252848.2319999999</v>
      </c>
      <c r="DL41" s="88">
        <f>DL38*SUP_CONTROL!$C$28</f>
        <v>252848.2319999999</v>
      </c>
      <c r="DM41" s="88">
        <f>DM38*SUP_CONTROL!$C$28</f>
        <v>252848.2319999999</v>
      </c>
      <c r="DN41" s="88">
        <f>DN38*SUP_CONTROL!$C$28</f>
        <v>252848.2319999999</v>
      </c>
      <c r="DO41" s="88">
        <f>DO38*SUP_CONTROL!$C$28</f>
        <v>252848.2319999999</v>
      </c>
      <c r="DP41" s="88">
        <f>DP38*SUP_CONTROL!$C$28</f>
        <v>252848.2319999999</v>
      </c>
      <c r="DQ41" s="88">
        <f>DQ38*SUP_CONTROL!$C$28</f>
        <v>252848.2319999999</v>
      </c>
      <c r="DR41" s="88">
        <f>DR38*SUP_CONTROL!$C$28</f>
        <v>252848.2319999999</v>
      </c>
      <c r="DS41" s="88">
        <f>DS38*SUP_CONTROL!$C$28</f>
        <v>252848.2319999999</v>
      </c>
    </row>
    <row r="42" spans="1:123" ht="15" customHeight="1" x14ac:dyDescent="0.2">
      <c r="B42" s="37" t="s">
        <v>1027</v>
      </c>
      <c r="D42" s="77">
        <f>D39*SUP_OPEX!$C$30</f>
        <v>0</v>
      </c>
      <c r="E42" s="77">
        <f>E39*SUP_OPEX!$C$30</f>
        <v>0</v>
      </c>
      <c r="F42" s="77">
        <f>F39*SUP_OPEX!$C$30</f>
        <v>0</v>
      </c>
      <c r="G42" s="77">
        <f>G39*SUP_OPEX!$C$30</f>
        <v>0</v>
      </c>
      <c r="H42" s="77">
        <f>H39*SUP_OPEX!$C$30</f>
        <v>0</v>
      </c>
      <c r="I42" s="77">
        <f>I39*SUP_OPEX!$C$30</f>
        <v>0</v>
      </c>
      <c r="J42" s="77">
        <f>J39*SUP_OPEX!$C$30</f>
        <v>0</v>
      </c>
      <c r="K42" s="77">
        <f>K39*SUP_OPEX!$C$30</f>
        <v>0</v>
      </c>
      <c r="L42" s="77">
        <f>L39*SUP_OPEX!$C$30</f>
        <v>0</v>
      </c>
      <c r="M42" s="77">
        <f>M39*SUP_OPEX!$C$30</f>
        <v>0</v>
      </c>
      <c r="N42" s="77">
        <f>N39*SUP_OPEX!$C$30</f>
        <v>0</v>
      </c>
      <c r="O42" s="77">
        <f>O39*SUP_OPEX!$C$30</f>
        <v>0</v>
      </c>
      <c r="P42" s="77">
        <f>P39*SUP_OPEX!$C$30</f>
        <v>0</v>
      </c>
      <c r="Q42" s="77">
        <f>Q39*SUP_OPEX!$C$30</f>
        <v>0</v>
      </c>
      <c r="R42" s="77">
        <f>R39*SUP_OPEX!$C$30</f>
        <v>0</v>
      </c>
      <c r="S42" s="77">
        <f>S39*SUP_OPEX!$C$30</f>
        <v>0</v>
      </c>
      <c r="T42" s="77">
        <f>T39*SUP_OPEX!$C$30</f>
        <v>2698.2605015643035</v>
      </c>
      <c r="U42" s="77">
        <f>U39*SUP_OPEX!$C$30</f>
        <v>3320.9360019252968</v>
      </c>
      <c r="V42" s="77">
        <f>V39*SUP_OPEX!$C$30</f>
        <v>6434.3135037302618</v>
      </c>
      <c r="W42" s="77">
        <f>W39*SUP_OPEX!$C$30</f>
        <v>10170.366505896221</v>
      </c>
      <c r="X42" s="77">
        <f>X39*SUP_OPEX!$C$30</f>
        <v>11208.159006497877</v>
      </c>
      <c r="Y42" s="77">
        <f>Y39*SUP_OPEX!$C$30</f>
        <v>12038.393006979199</v>
      </c>
      <c r="Z42" s="77">
        <f>Z39*SUP_OPEX!$C$30</f>
        <v>12453.510007219862</v>
      </c>
      <c r="AA42" s="77">
        <f>AA39*SUP_OPEX!$C$30</f>
        <v>12453.510007219862</v>
      </c>
      <c r="AB42" s="77">
        <f>AB39*SUP_OPEX!$C$30</f>
        <v>12453.510007219862</v>
      </c>
      <c r="AC42" s="77">
        <f>AC39*SUP_OPEX!$C$30</f>
        <v>12453.510007219862</v>
      </c>
      <c r="AD42" s="77">
        <f>AD39*SUP_OPEX!$C$30</f>
        <v>12079.904707003265</v>
      </c>
      <c r="AE42" s="77">
        <f>AE39*SUP_OPEX!$C$30</f>
        <v>12079.904707003265</v>
      </c>
      <c r="AF42" s="77">
        <f>AF39*SUP_OPEX!$C$30</f>
        <v>15482.411199475853</v>
      </c>
      <c r="AG42" s="77">
        <f>AG39*SUP_OPEX!$C$30</f>
        <v>18884.917691948438</v>
      </c>
      <c r="AH42" s="77">
        <f>AH39*SUP_OPEX!$C$30</f>
        <v>20012.375464602079</v>
      </c>
      <c r="AI42" s="77">
        <f>AI39*SUP_OPEX!$C$30</f>
        <v>23555.814178656368</v>
      </c>
      <c r="AJ42" s="77">
        <f>AJ39*SUP_OPEX!$C$30</f>
        <v>27179.785590757347</v>
      </c>
      <c r="AK42" s="77">
        <f>AK39*SUP_OPEX!$C$30</f>
        <v>28186.444316340952</v>
      </c>
      <c r="AL42" s="77">
        <f>AL39*SUP_OPEX!$C$30</f>
        <v>28244.560696374647</v>
      </c>
      <c r="AM42" s="77">
        <f>AM39*SUP_OPEX!$C$30</f>
        <v>31951.659287773819</v>
      </c>
      <c r="AN42" s="77">
        <f>AN39*SUP_OPEX!$C$30</f>
        <v>35266.47231394556</v>
      </c>
      <c r="AO42" s="77">
        <f>AO39*SUP_OPEX!$C$30</f>
        <v>38914.728070560617</v>
      </c>
      <c r="AP42" s="77">
        <f>AP39*SUP_OPEX!$C$30</f>
        <v>42955.269392403105</v>
      </c>
      <c r="AQ42" s="77">
        <f>AQ39*SUP_OPEX!$C$30</f>
        <v>44328.268870699088</v>
      </c>
      <c r="AR42" s="77">
        <f>AR39*SUP_OPEX!$C$30</f>
        <v>48427.653027325687</v>
      </c>
      <c r="AS42" s="77">
        <f>AS39*SUP_OPEX!$C$30</f>
        <v>49584.895444746595</v>
      </c>
      <c r="AT42" s="77">
        <f>AT39*SUP_OPEX!$C$30</f>
        <v>52644.722853520521</v>
      </c>
      <c r="AU42" s="77">
        <f>AU39*SUP_OPEX!$C$30</f>
        <v>56292.978610135578</v>
      </c>
      <c r="AV42" s="77">
        <f>AV39*SUP_OPEX!$C$30</f>
        <v>57273.692523204125</v>
      </c>
      <c r="AW42" s="77">
        <f>AW39*SUP_OPEX!$C$30</f>
        <v>58058.263653658985</v>
      </c>
      <c r="AX42" s="77">
        <f>AX39*SUP_OPEX!$C$30</f>
        <v>58450.549218886423</v>
      </c>
      <c r="AY42" s="77">
        <f>AY39*SUP_OPEX!$C$30</f>
        <v>58450.549218886423</v>
      </c>
      <c r="AZ42" s="77">
        <f>AZ39*SUP_OPEX!$C$30</f>
        <v>58450.549218886423</v>
      </c>
      <c r="BA42" s="77">
        <f>BA39*SUP_OPEX!$C$30</f>
        <v>56904.238392989959</v>
      </c>
      <c r="BB42" s="77">
        <f>BB39*SUP_OPEX!$C$30</f>
        <v>56904.238392989959</v>
      </c>
      <c r="BC42" s="77">
        <f>BC39*SUP_OPEX!$C$30</f>
        <v>56904.238392989959</v>
      </c>
      <c r="BD42" s="77">
        <f>BD39*SUP_OPEX!$C$30</f>
        <v>61869.037715868275</v>
      </c>
      <c r="BE42" s="77">
        <f>BE39*SUP_OPEX!$C$30</f>
        <v>65497.16029797167</v>
      </c>
      <c r="BF42" s="77">
        <f>BF39*SUP_OPEX!$C$30</f>
        <v>68537.892324734508</v>
      </c>
      <c r="BG42" s="77">
        <f>BG39*SUP_OPEX!$C$30</f>
        <v>72815.673012214524</v>
      </c>
      <c r="BH42" s="77">
        <f>BH39*SUP_OPEX!$C$30</f>
        <v>76663.807604445465</v>
      </c>
      <c r="BI42" s="77">
        <f>BI39*SUP_OPEX!$C$30</f>
        <v>80511.942196676406</v>
      </c>
      <c r="BJ42" s="77">
        <f>BJ39*SUP_OPEX!$C$30</f>
        <v>84976.525534264729</v>
      </c>
      <c r="BK42" s="77">
        <f>BK39*SUP_OPEX!$C$30</f>
        <v>86905.574234383064</v>
      </c>
      <c r="BL42" s="77">
        <f>BL39*SUP_OPEX!$C$30</f>
        <v>90668.194724564441</v>
      </c>
      <c r="BM42" s="77">
        <f>BM39*SUP_OPEX!$C$30</f>
        <v>94430.815214745802</v>
      </c>
      <c r="BN42" s="77">
        <f>BN39*SUP_OPEX!$C$30</f>
        <v>98796.185589276618</v>
      </c>
      <c r="BO42" s="77">
        <f>BO39*SUP_OPEX!$C$30</f>
        <v>102613.60152348975</v>
      </c>
      <c r="BP42" s="77">
        <f>BP39*SUP_OPEX!$C$30</f>
        <v>104562.99095661992</v>
      </c>
      <c r="BQ42" s="77">
        <f>BQ39*SUP_OPEX!$C$30</f>
        <v>108261.4758702641</v>
      </c>
      <c r="BR42" s="77">
        <f>BR39*SUP_OPEX!$C$30</f>
        <v>112552.43652250175</v>
      </c>
      <c r="BS42" s="77">
        <f>BS39*SUP_OPEX!$C$30</f>
        <v>118638.77820078029</v>
      </c>
      <c r="BT42" s="77">
        <f>BT39*SUP_OPEX!$C$30</f>
        <v>122875.87742223672</v>
      </c>
      <c r="BU42" s="77">
        <f>BU39*SUP_OPEX!$C$30</f>
        <v>124732.2806473129</v>
      </c>
      <c r="BV42" s="77">
        <f>BV39*SUP_OPEX!$C$30</f>
        <v>128613.62459956309</v>
      </c>
      <c r="BW42" s="77">
        <f>BW39*SUP_OPEX!$C$30</f>
        <v>132830.17552950763</v>
      </c>
      <c r="BX42" s="77">
        <f>BX39*SUP_OPEX!$C$30</f>
        <v>136517.45228414529</v>
      </c>
      <c r="BY42" s="77">
        <f>BY39*SUP_OPEX!$C$30</f>
        <v>140151.80162125226</v>
      </c>
      <c r="BZ42" s="77">
        <f>BZ39*SUP_OPEX!$C$30</f>
        <v>144361.0880036926</v>
      </c>
      <c r="CA42" s="77">
        <f>CA39*SUP_OPEX!$C$30</f>
        <v>149051.07987241159</v>
      </c>
      <c r="CB42" s="77">
        <f>CB39*SUP_OPEX!$C$30</f>
        <v>153043.67518072628</v>
      </c>
      <c r="CC42" s="77">
        <f>CC39*SUP_OPEX!$C$30</f>
        <v>154717.42692569661</v>
      </c>
      <c r="CD42" s="77">
        <f>CD39*SUP_OPEX!$C$30</f>
        <v>155519.43297016158</v>
      </c>
      <c r="CE42" s="77">
        <f>CE39*SUP_OPEX!$C$30</f>
        <v>155868.13125036372</v>
      </c>
      <c r="CF42" s="77">
        <f>CF39*SUP_OPEX!$C$30</f>
        <v>155868.13125036372</v>
      </c>
      <c r="CG42" s="77">
        <f>CG39*SUP_OPEX!$C$30</f>
        <v>155868.13125036372</v>
      </c>
      <c r="CH42" s="77">
        <f>CH39*SUP_OPEX!$C$30</f>
        <v>155868.13125036372</v>
      </c>
      <c r="CI42" s="77">
        <f>CI39*SUP_OPEX!$C$30</f>
        <v>155868.13125036372</v>
      </c>
      <c r="CJ42" s="77">
        <f>CJ39*SUP_OPEX!$C$30</f>
        <v>155868.13125036372</v>
      </c>
      <c r="CK42" s="77">
        <f>CK39*SUP_OPEX!$C$30</f>
        <v>155868.13125036372</v>
      </c>
      <c r="CL42" s="77">
        <f>CL39*SUP_OPEX!$C$30</f>
        <v>155868.13125036372</v>
      </c>
      <c r="CM42" s="77">
        <f>CM39*SUP_OPEX!$C$30</f>
        <v>155868.13125036372</v>
      </c>
      <c r="CN42" s="77">
        <f>CN39*SUP_OPEX!$C$30</f>
        <v>155868.13125036372</v>
      </c>
      <c r="CO42" s="77">
        <f>CO39*SUP_OPEX!$C$30</f>
        <v>155868.13125036372</v>
      </c>
      <c r="CP42" s="77">
        <f>CP39*SUP_OPEX!$C$30</f>
        <v>155868.13125036372</v>
      </c>
      <c r="CQ42" s="77">
        <f>CQ39*SUP_OPEX!$C$30</f>
        <v>155868.13125036372</v>
      </c>
      <c r="CR42" s="77">
        <f>CR39*SUP_OPEX!$C$30</f>
        <v>155868.13125036372</v>
      </c>
      <c r="CS42" s="77">
        <f>CS39*SUP_OPEX!$C$30</f>
        <v>155868.13125036372</v>
      </c>
      <c r="CT42" s="77">
        <f>CT39*SUP_OPEX!$C$30</f>
        <v>155868.13125036372</v>
      </c>
      <c r="CU42" s="77">
        <f>CU39*SUP_OPEX!$C$30</f>
        <v>155868.13125036372</v>
      </c>
      <c r="CV42" s="77">
        <f>CV39*SUP_OPEX!$C$30</f>
        <v>155868.13125036372</v>
      </c>
      <c r="CW42" s="77">
        <f>CW39*SUP_OPEX!$C$30</f>
        <v>155868.13125036372</v>
      </c>
      <c r="CX42" s="77">
        <f>CX39*SUP_OPEX!$C$30</f>
        <v>155868.13125036372</v>
      </c>
      <c r="CY42" s="77">
        <f>CY39*SUP_OPEX!$C$30</f>
        <v>155868.13125036372</v>
      </c>
      <c r="CZ42" s="77">
        <f>CZ39*SUP_OPEX!$C$30</f>
        <v>155868.13125036372</v>
      </c>
      <c r="DA42" s="77">
        <f>DA39*SUP_OPEX!$C$30</f>
        <v>155868.13125036372</v>
      </c>
      <c r="DB42" s="77">
        <f>DB39*SUP_OPEX!$C$30</f>
        <v>155868.13125036372</v>
      </c>
      <c r="DC42" s="77">
        <f>DC39*SUP_OPEX!$C$30</f>
        <v>155868.13125036372</v>
      </c>
      <c r="DD42" s="77">
        <f>DD39*SUP_OPEX!$C$30</f>
        <v>155868.13125036372</v>
      </c>
      <c r="DE42" s="77">
        <f>DE39*SUP_OPEX!$C$30</f>
        <v>155868.13125036372</v>
      </c>
      <c r="DF42" s="77">
        <f>DF39*SUP_OPEX!$C$30</f>
        <v>155868.13125036372</v>
      </c>
      <c r="DG42" s="77">
        <f>DG39*SUP_OPEX!$C$30</f>
        <v>155868.13125036372</v>
      </c>
      <c r="DH42" s="77">
        <f>DH39*SUP_OPEX!$C$30</f>
        <v>155868.13125036372</v>
      </c>
      <c r="DI42" s="77">
        <f>DI39*SUP_OPEX!$C$30</f>
        <v>155868.13125036372</v>
      </c>
      <c r="DJ42" s="77">
        <f>DJ39*SUP_OPEX!$C$30</f>
        <v>155868.13125036372</v>
      </c>
      <c r="DK42" s="77">
        <f>DK39*SUP_OPEX!$C$30</f>
        <v>155868.13125036372</v>
      </c>
      <c r="DL42" s="77">
        <f>DL39*SUP_OPEX!$C$30</f>
        <v>155868.13125036372</v>
      </c>
      <c r="DM42" s="77">
        <f>DM39*SUP_OPEX!$C$30</f>
        <v>155868.13125036372</v>
      </c>
      <c r="DN42" s="77">
        <f>DN39*SUP_OPEX!$C$30</f>
        <v>155868.13125036372</v>
      </c>
      <c r="DO42" s="77">
        <f>DO39*SUP_OPEX!$C$30</f>
        <v>155868.13125036372</v>
      </c>
      <c r="DP42" s="77">
        <f>DP39*SUP_OPEX!$C$30</f>
        <v>155868.13125036372</v>
      </c>
      <c r="DQ42" s="77">
        <f>DQ39*SUP_OPEX!$C$30</f>
        <v>155868.13125036372</v>
      </c>
      <c r="DR42" s="77">
        <f>DR39*SUP_OPEX!$C$30</f>
        <v>155868.13125036372</v>
      </c>
      <c r="DS42" s="77">
        <f>DS39*SUP_OPEX!$C$30</f>
        <v>155868.13125036372</v>
      </c>
    </row>
    <row r="43" spans="1:123" ht="15" customHeight="1" x14ac:dyDescent="0.2">
      <c r="B43" s="37" t="s">
        <v>1028</v>
      </c>
      <c r="D43" s="77">
        <f>IF(D56=0,0,IF(D56=0,0,INDEX(SUP_C3_EXPANSION!$H$20:$H$59,D56))*SUP_OPEX!$D$15+IF(D56=0,0,INDEX(SUP_C3_EXPANSION!$I$20:$I$59,D56))*SUP_OPEX!$E$15+IF(D56=0,0,INDEX(SUP_C3_EXPANSION!$J$20:$J$59,D56))*SUP_OPEX!$F$15+IF(D56=0,0,INDEX(SUP_C3_EXPANSION!$H$20:$H$59,D56))*SUP_OPEX!$D$20+IF(D56=0,0,INDEX(SUP_C3_EXPANSION!$I$20:$I$59,D56))*SUP_OPEX!$E$20+IF(D56=0,0,INDEX(SUP_C3_EXPANSION!$J$20:$J$59,D56))*SUP_OPEX!$F$20)</f>
        <v>0</v>
      </c>
      <c r="E43" s="77">
        <f>IF(E56=0,0,IF(E56=0,0,INDEX(SUP_C3_EXPANSION!$H$20:$H$59,E56))*SUP_OPEX!$D$15+IF(E56=0,0,INDEX(SUP_C3_EXPANSION!$I$20:$I$59,E56))*SUP_OPEX!$E$15+IF(E56=0,0,INDEX(SUP_C3_EXPANSION!$J$20:$J$59,E56))*SUP_OPEX!$F$15+IF(E56=0,0,INDEX(SUP_C3_EXPANSION!$H$20:$H$59,E56))*SUP_OPEX!$D$20+IF(E56=0,0,INDEX(SUP_C3_EXPANSION!$I$20:$I$59,E56))*SUP_OPEX!$E$20+IF(E56=0,0,INDEX(SUP_C3_EXPANSION!$J$20:$J$59,E56))*SUP_OPEX!$F$20)</f>
        <v>0</v>
      </c>
      <c r="F43" s="77">
        <f>IF(F56=0,0,IF(F56=0,0,INDEX(SUP_C3_EXPANSION!$H$20:$H$59,F56))*SUP_OPEX!$D$15+IF(F56=0,0,INDEX(SUP_C3_EXPANSION!$I$20:$I$59,F56))*SUP_OPEX!$E$15+IF(F56=0,0,INDEX(SUP_C3_EXPANSION!$J$20:$J$59,F56))*SUP_OPEX!$F$15+IF(F56=0,0,INDEX(SUP_C3_EXPANSION!$H$20:$H$59,F56))*SUP_OPEX!$D$20+IF(F56=0,0,INDEX(SUP_C3_EXPANSION!$I$20:$I$59,F56))*SUP_OPEX!$E$20+IF(F56=0,0,INDEX(SUP_C3_EXPANSION!$J$20:$J$59,F56))*SUP_OPEX!$F$20)</f>
        <v>0</v>
      </c>
      <c r="G43" s="77">
        <f>IF(G56=0,0,IF(G56=0,0,INDEX(SUP_C3_EXPANSION!$H$20:$H$59,G56))*SUP_OPEX!$D$15+IF(G56=0,0,INDEX(SUP_C3_EXPANSION!$I$20:$I$59,G56))*SUP_OPEX!$E$15+IF(G56=0,0,INDEX(SUP_C3_EXPANSION!$J$20:$J$59,G56))*SUP_OPEX!$F$15+IF(G56=0,0,INDEX(SUP_C3_EXPANSION!$H$20:$H$59,G56))*SUP_OPEX!$D$20+IF(G56=0,0,INDEX(SUP_C3_EXPANSION!$I$20:$I$59,G56))*SUP_OPEX!$E$20+IF(G56=0,0,INDEX(SUP_C3_EXPANSION!$J$20:$J$59,G56))*SUP_OPEX!$F$20)</f>
        <v>0</v>
      </c>
      <c r="H43" s="77">
        <f>IF(H56=0,0,IF(H56=0,0,INDEX(SUP_C3_EXPANSION!$H$20:$H$59,H56))*SUP_OPEX!$D$15+IF(H56=0,0,INDEX(SUP_C3_EXPANSION!$I$20:$I$59,H56))*SUP_OPEX!$E$15+IF(H56=0,0,INDEX(SUP_C3_EXPANSION!$J$20:$J$59,H56))*SUP_OPEX!$F$15+IF(H56=0,0,INDEX(SUP_C3_EXPANSION!$H$20:$H$59,H56))*SUP_OPEX!$D$20+IF(H56=0,0,INDEX(SUP_C3_EXPANSION!$I$20:$I$59,H56))*SUP_OPEX!$E$20+IF(H56=0,0,INDEX(SUP_C3_EXPANSION!$J$20:$J$59,H56))*SUP_OPEX!$F$20)</f>
        <v>0</v>
      </c>
      <c r="I43" s="77">
        <f>IF(I56=0,0,IF(I56=0,0,INDEX(SUP_C3_EXPANSION!$H$20:$H$59,I56))*SUP_OPEX!$D$15+IF(I56=0,0,INDEX(SUP_C3_EXPANSION!$I$20:$I$59,I56))*SUP_OPEX!$E$15+IF(I56=0,0,INDEX(SUP_C3_EXPANSION!$J$20:$J$59,I56))*SUP_OPEX!$F$15+IF(I56=0,0,INDEX(SUP_C3_EXPANSION!$H$20:$H$59,I56))*SUP_OPEX!$D$20+IF(I56=0,0,INDEX(SUP_C3_EXPANSION!$I$20:$I$59,I56))*SUP_OPEX!$E$20+IF(I56=0,0,INDEX(SUP_C3_EXPANSION!$J$20:$J$59,I56))*SUP_OPEX!$F$20)</f>
        <v>0</v>
      </c>
      <c r="J43" s="77">
        <f>IF(J56=0,0,IF(J56=0,0,INDEX(SUP_C3_EXPANSION!$H$20:$H$59,J56))*SUP_OPEX!$D$15+IF(J56=0,0,INDEX(SUP_C3_EXPANSION!$I$20:$I$59,J56))*SUP_OPEX!$E$15+IF(J56=0,0,INDEX(SUP_C3_EXPANSION!$J$20:$J$59,J56))*SUP_OPEX!$F$15+IF(J56=0,0,INDEX(SUP_C3_EXPANSION!$H$20:$H$59,J56))*SUP_OPEX!$D$20+IF(J56=0,0,INDEX(SUP_C3_EXPANSION!$I$20:$I$59,J56))*SUP_OPEX!$E$20+IF(J56=0,0,INDEX(SUP_C3_EXPANSION!$J$20:$J$59,J56))*SUP_OPEX!$F$20)</f>
        <v>0</v>
      </c>
      <c r="K43" s="77">
        <f>IF(K56=0,0,IF(K56=0,0,INDEX(SUP_C3_EXPANSION!$H$20:$H$59,K56))*SUP_OPEX!$D$15+IF(K56=0,0,INDEX(SUP_C3_EXPANSION!$I$20:$I$59,K56))*SUP_OPEX!$E$15+IF(K56=0,0,INDEX(SUP_C3_EXPANSION!$J$20:$J$59,K56))*SUP_OPEX!$F$15+IF(K56=0,0,INDEX(SUP_C3_EXPANSION!$H$20:$H$59,K56))*SUP_OPEX!$D$20+IF(K56=0,0,INDEX(SUP_C3_EXPANSION!$I$20:$I$59,K56))*SUP_OPEX!$E$20+IF(K56=0,0,INDEX(SUP_C3_EXPANSION!$J$20:$J$59,K56))*SUP_OPEX!$F$20)</f>
        <v>0</v>
      </c>
      <c r="L43" s="77">
        <f>IF(L56=0,0,IF(L56=0,0,INDEX(SUP_C3_EXPANSION!$H$20:$H$59,L56))*SUP_OPEX!$D$15+IF(L56=0,0,INDEX(SUP_C3_EXPANSION!$I$20:$I$59,L56))*SUP_OPEX!$E$15+IF(L56=0,0,INDEX(SUP_C3_EXPANSION!$J$20:$J$59,L56))*SUP_OPEX!$F$15+IF(L56=0,0,INDEX(SUP_C3_EXPANSION!$H$20:$H$59,L56))*SUP_OPEX!$D$20+IF(L56=0,0,INDEX(SUP_C3_EXPANSION!$I$20:$I$59,L56))*SUP_OPEX!$E$20+IF(L56=0,0,INDEX(SUP_C3_EXPANSION!$J$20:$J$59,L56))*SUP_OPEX!$F$20)</f>
        <v>0</v>
      </c>
      <c r="M43" s="77">
        <f>IF(M56=0,0,IF(M56=0,0,INDEX(SUP_C3_EXPANSION!$H$20:$H$59,M56))*SUP_OPEX!$D$15+IF(M56=0,0,INDEX(SUP_C3_EXPANSION!$I$20:$I$59,M56))*SUP_OPEX!$E$15+IF(M56=0,0,INDEX(SUP_C3_EXPANSION!$J$20:$J$59,M56))*SUP_OPEX!$F$15+IF(M56=0,0,INDEX(SUP_C3_EXPANSION!$H$20:$H$59,M56))*SUP_OPEX!$D$20+IF(M56=0,0,INDEX(SUP_C3_EXPANSION!$I$20:$I$59,M56))*SUP_OPEX!$E$20+IF(M56=0,0,INDEX(SUP_C3_EXPANSION!$J$20:$J$59,M56))*SUP_OPEX!$F$20)</f>
        <v>0</v>
      </c>
      <c r="N43" s="77">
        <f>IF(N56=0,0,IF(N56=0,0,INDEX(SUP_C3_EXPANSION!$H$20:$H$59,N56))*SUP_OPEX!$D$15+IF(N56=0,0,INDEX(SUP_C3_EXPANSION!$I$20:$I$59,N56))*SUP_OPEX!$E$15+IF(N56=0,0,INDEX(SUP_C3_EXPANSION!$J$20:$J$59,N56))*SUP_OPEX!$F$15+IF(N56=0,0,INDEX(SUP_C3_EXPANSION!$H$20:$H$59,N56))*SUP_OPEX!$D$20+IF(N56=0,0,INDEX(SUP_C3_EXPANSION!$I$20:$I$59,N56))*SUP_OPEX!$E$20+IF(N56=0,0,INDEX(SUP_C3_EXPANSION!$J$20:$J$59,N56))*SUP_OPEX!$F$20)</f>
        <v>0</v>
      </c>
      <c r="O43" s="77">
        <f>IF(O56=0,0,IF(O56=0,0,INDEX(SUP_C3_EXPANSION!$H$20:$H$59,O56))*SUP_OPEX!$D$15+IF(O56=0,0,INDEX(SUP_C3_EXPANSION!$I$20:$I$59,O56))*SUP_OPEX!$E$15+IF(O56=0,0,INDEX(SUP_C3_EXPANSION!$J$20:$J$59,O56))*SUP_OPEX!$F$15+IF(O56=0,0,INDEX(SUP_C3_EXPANSION!$H$20:$H$59,O56))*SUP_OPEX!$D$20+IF(O56=0,0,INDEX(SUP_C3_EXPANSION!$I$20:$I$59,O56))*SUP_OPEX!$E$20+IF(O56=0,0,INDEX(SUP_C3_EXPANSION!$J$20:$J$59,O56))*SUP_OPEX!$F$20)</f>
        <v>0</v>
      </c>
      <c r="P43" s="77">
        <f>IF(P56=0,0,IF(P56=0,0,INDEX(SUP_C3_EXPANSION!$H$20:$H$59,P56))*SUP_OPEX!$D$15+IF(P56=0,0,INDEX(SUP_C3_EXPANSION!$I$20:$I$59,P56))*SUP_OPEX!$E$15+IF(P56=0,0,INDEX(SUP_C3_EXPANSION!$J$20:$J$59,P56))*SUP_OPEX!$F$15+IF(P56=0,0,INDEX(SUP_C3_EXPANSION!$H$20:$H$59,P56))*SUP_OPEX!$D$20+IF(P56=0,0,INDEX(SUP_C3_EXPANSION!$I$20:$I$59,P56))*SUP_OPEX!$E$20+IF(P56=0,0,INDEX(SUP_C3_EXPANSION!$J$20:$J$59,P56))*SUP_OPEX!$F$20)</f>
        <v>0</v>
      </c>
      <c r="Q43" s="77">
        <f>IF(Q56=0,0,IF(Q56=0,0,INDEX(SUP_C3_EXPANSION!$H$20:$H$59,Q56))*SUP_OPEX!$D$15+IF(Q56=0,0,INDEX(SUP_C3_EXPANSION!$I$20:$I$59,Q56))*SUP_OPEX!$E$15+IF(Q56=0,0,INDEX(SUP_C3_EXPANSION!$J$20:$J$59,Q56))*SUP_OPEX!$F$15+IF(Q56=0,0,INDEX(SUP_C3_EXPANSION!$H$20:$H$59,Q56))*SUP_OPEX!$D$20+IF(Q56=0,0,INDEX(SUP_C3_EXPANSION!$I$20:$I$59,Q56))*SUP_OPEX!$E$20+IF(Q56=0,0,INDEX(SUP_C3_EXPANSION!$J$20:$J$59,Q56))*SUP_OPEX!$F$20)</f>
        <v>0</v>
      </c>
      <c r="R43" s="77">
        <f>IF(R56=0,0,IF(R56=0,0,INDEX(SUP_C3_EXPANSION!$H$20:$H$59,R56))*SUP_OPEX!$D$15+IF(R56=0,0,INDEX(SUP_C3_EXPANSION!$I$20:$I$59,R56))*SUP_OPEX!$E$15+IF(R56=0,0,INDEX(SUP_C3_EXPANSION!$J$20:$J$59,R56))*SUP_OPEX!$F$15+IF(R56=0,0,INDEX(SUP_C3_EXPANSION!$H$20:$H$59,R56))*SUP_OPEX!$D$20+IF(R56=0,0,INDEX(SUP_C3_EXPANSION!$I$20:$I$59,R56))*SUP_OPEX!$E$20+IF(R56=0,0,INDEX(SUP_C3_EXPANSION!$J$20:$J$59,R56))*SUP_OPEX!$F$20)</f>
        <v>0</v>
      </c>
      <c r="S43" s="77">
        <f>IF(S56=0,0,IF(S56=0,0,INDEX(SUP_C3_EXPANSION!$H$20:$H$59,S56))*SUP_OPEX!$D$15+IF(S56=0,0,INDEX(SUP_C3_EXPANSION!$I$20:$I$59,S56))*SUP_OPEX!$E$15+IF(S56=0,0,INDEX(SUP_C3_EXPANSION!$J$20:$J$59,S56))*SUP_OPEX!$F$15+IF(S56=0,0,INDEX(SUP_C3_EXPANSION!$H$20:$H$59,S56))*SUP_OPEX!$D$20+IF(S56=0,0,INDEX(SUP_C3_EXPANSION!$I$20:$I$59,S56))*SUP_OPEX!$E$20+IF(S56=0,0,INDEX(SUP_C3_EXPANSION!$J$20:$J$59,S56))*SUP_OPEX!$F$20)</f>
        <v>0</v>
      </c>
      <c r="T43" s="77">
        <f>IF(T56=0,0,IF(T56=0,0,INDEX(SUP_C3_EXPANSION!$H$20:$H$59,T56))*SUP_OPEX!$D$15+IF(T56=0,0,INDEX(SUP_C3_EXPANSION!$I$20:$I$59,T56))*SUP_OPEX!$E$15+IF(T56=0,0,INDEX(SUP_C3_EXPANSION!$J$20:$J$59,T56))*SUP_OPEX!$F$15+IF(T56=0,0,INDEX(SUP_C3_EXPANSION!$H$20:$H$59,T56))*SUP_OPEX!$D$20+IF(T56=0,0,INDEX(SUP_C3_EXPANSION!$I$20:$I$59,T56))*SUP_OPEX!$E$20+IF(T56=0,0,INDEX(SUP_C3_EXPANSION!$J$20:$J$59,T56))*SUP_OPEX!$F$20)</f>
        <v>4030</v>
      </c>
      <c r="U43" s="77">
        <f>IF(U56=0,0,IF(U56=0,0,INDEX(SUP_C3_EXPANSION!$H$20:$H$59,U56))*SUP_OPEX!$D$15+IF(U56=0,0,INDEX(SUP_C3_EXPANSION!$I$20:$I$59,U56))*SUP_OPEX!$E$15+IF(U56=0,0,INDEX(SUP_C3_EXPANSION!$J$20:$J$59,U56))*SUP_OPEX!$F$15+IF(U56=0,0,INDEX(SUP_C3_EXPANSION!$H$20:$H$59,U56))*SUP_OPEX!$D$20+IF(U56=0,0,INDEX(SUP_C3_EXPANSION!$I$20:$I$59,U56))*SUP_OPEX!$E$20+IF(U56=0,0,INDEX(SUP_C3_EXPANSION!$J$20:$J$59,U56))*SUP_OPEX!$F$20)</f>
        <v>4030</v>
      </c>
      <c r="V43" s="77">
        <f>IF(V56=0,0,IF(V56=0,0,INDEX(SUP_C3_EXPANSION!$H$20:$H$59,V56))*SUP_OPEX!$D$15+IF(V56=0,0,INDEX(SUP_C3_EXPANSION!$I$20:$I$59,V56))*SUP_OPEX!$E$15+IF(V56=0,0,INDEX(SUP_C3_EXPANSION!$J$20:$J$59,V56))*SUP_OPEX!$F$15+IF(V56=0,0,INDEX(SUP_C3_EXPANSION!$H$20:$H$59,V56))*SUP_OPEX!$D$20+IF(V56=0,0,INDEX(SUP_C3_EXPANSION!$I$20:$I$59,V56))*SUP_OPEX!$E$20+IF(V56=0,0,INDEX(SUP_C3_EXPANSION!$J$20:$J$59,V56))*SUP_OPEX!$F$20)</f>
        <v>8060</v>
      </c>
      <c r="W43" s="77">
        <f>IF(W56=0,0,IF(W56=0,0,INDEX(SUP_C3_EXPANSION!$H$20:$H$59,W56))*SUP_OPEX!$D$15+IF(W56=0,0,INDEX(SUP_C3_EXPANSION!$I$20:$I$59,W56))*SUP_OPEX!$E$15+IF(W56=0,0,INDEX(SUP_C3_EXPANSION!$J$20:$J$59,W56))*SUP_OPEX!$F$15+IF(W56=0,0,INDEX(SUP_C3_EXPANSION!$H$20:$H$59,W56))*SUP_OPEX!$D$20+IF(W56=0,0,INDEX(SUP_C3_EXPANSION!$I$20:$I$59,W56))*SUP_OPEX!$E$20+IF(W56=0,0,INDEX(SUP_C3_EXPANSION!$J$20:$J$59,W56))*SUP_OPEX!$F$20)</f>
        <v>12090</v>
      </c>
      <c r="X43" s="77">
        <f>IF(X56=0,0,IF(X56=0,0,INDEX(SUP_C3_EXPANSION!$H$20:$H$59,X56))*SUP_OPEX!$D$15+IF(X56=0,0,INDEX(SUP_C3_EXPANSION!$I$20:$I$59,X56))*SUP_OPEX!$E$15+IF(X56=0,0,INDEX(SUP_C3_EXPANSION!$J$20:$J$59,X56))*SUP_OPEX!$F$15+IF(X56=0,0,INDEX(SUP_C3_EXPANSION!$H$20:$H$59,X56))*SUP_OPEX!$D$20+IF(X56=0,0,INDEX(SUP_C3_EXPANSION!$I$20:$I$59,X56))*SUP_OPEX!$E$20+IF(X56=0,0,INDEX(SUP_C3_EXPANSION!$J$20:$J$59,X56))*SUP_OPEX!$F$20)</f>
        <v>12090</v>
      </c>
      <c r="Y43" s="77">
        <f>IF(Y56=0,0,IF(Y56=0,0,INDEX(SUP_C3_EXPANSION!$H$20:$H$59,Y56))*SUP_OPEX!$D$15+IF(Y56=0,0,INDEX(SUP_C3_EXPANSION!$I$20:$I$59,Y56))*SUP_OPEX!$E$15+IF(Y56=0,0,INDEX(SUP_C3_EXPANSION!$J$20:$J$59,Y56))*SUP_OPEX!$F$15+IF(Y56=0,0,INDEX(SUP_C3_EXPANSION!$H$20:$H$59,Y56))*SUP_OPEX!$D$20+IF(Y56=0,0,INDEX(SUP_C3_EXPANSION!$I$20:$I$59,Y56))*SUP_OPEX!$E$20+IF(Y56=0,0,INDEX(SUP_C3_EXPANSION!$J$20:$J$59,Y56))*SUP_OPEX!$F$20)</f>
        <v>12090</v>
      </c>
      <c r="Z43" s="77">
        <f>IF(Z56=0,0,IF(Z56=0,0,INDEX(SUP_C3_EXPANSION!$H$20:$H$59,Z56))*SUP_OPEX!$D$15+IF(Z56=0,0,INDEX(SUP_C3_EXPANSION!$I$20:$I$59,Z56))*SUP_OPEX!$E$15+IF(Z56=0,0,INDEX(SUP_C3_EXPANSION!$J$20:$J$59,Z56))*SUP_OPEX!$F$15+IF(Z56=0,0,INDEX(SUP_C3_EXPANSION!$H$20:$H$59,Z56))*SUP_OPEX!$D$20+IF(Z56=0,0,INDEX(SUP_C3_EXPANSION!$I$20:$I$59,Z56))*SUP_OPEX!$E$20+IF(Z56=0,0,INDEX(SUP_C3_EXPANSION!$J$20:$J$59,Z56))*SUP_OPEX!$F$20)</f>
        <v>12090</v>
      </c>
      <c r="AA43" s="77">
        <f>IF(AA56=0,0,IF(AA56=0,0,INDEX(SUP_C3_EXPANSION!$H$20:$H$59,AA56))*SUP_OPEX!$D$15+IF(AA56=0,0,INDEX(SUP_C3_EXPANSION!$I$20:$I$59,AA56))*SUP_OPEX!$E$15+IF(AA56=0,0,INDEX(SUP_C3_EXPANSION!$J$20:$J$59,AA56))*SUP_OPEX!$F$15+IF(AA56=0,0,INDEX(SUP_C3_EXPANSION!$H$20:$H$59,AA56))*SUP_OPEX!$D$20+IF(AA56=0,0,INDEX(SUP_C3_EXPANSION!$I$20:$I$59,AA56))*SUP_OPEX!$E$20+IF(AA56=0,0,INDEX(SUP_C3_EXPANSION!$J$20:$J$59,AA56))*SUP_OPEX!$F$20)</f>
        <v>12090</v>
      </c>
      <c r="AB43" s="77">
        <f>IF(AB56=0,0,IF(AB56=0,0,INDEX(SUP_C3_EXPANSION!$H$20:$H$59,AB56))*SUP_OPEX!$D$15+IF(AB56=0,0,INDEX(SUP_C3_EXPANSION!$I$20:$I$59,AB56))*SUP_OPEX!$E$15+IF(AB56=0,0,INDEX(SUP_C3_EXPANSION!$J$20:$J$59,AB56))*SUP_OPEX!$F$15+IF(AB56=0,0,INDEX(SUP_C3_EXPANSION!$H$20:$H$59,AB56))*SUP_OPEX!$D$20+IF(AB56=0,0,INDEX(SUP_C3_EXPANSION!$I$20:$I$59,AB56))*SUP_OPEX!$E$20+IF(AB56=0,0,INDEX(SUP_C3_EXPANSION!$J$20:$J$59,AB56))*SUP_OPEX!$F$20)</f>
        <v>12090</v>
      </c>
      <c r="AC43" s="77">
        <f>IF(AC56=0,0,IF(AC56=0,0,INDEX(SUP_C3_EXPANSION!$H$20:$H$59,AC56))*SUP_OPEX!$D$15+IF(AC56=0,0,INDEX(SUP_C3_EXPANSION!$I$20:$I$59,AC56))*SUP_OPEX!$E$15+IF(AC56=0,0,INDEX(SUP_C3_EXPANSION!$J$20:$J$59,AC56))*SUP_OPEX!$F$15+IF(AC56=0,0,INDEX(SUP_C3_EXPANSION!$H$20:$H$59,AC56))*SUP_OPEX!$D$20+IF(AC56=0,0,INDEX(SUP_C3_EXPANSION!$I$20:$I$59,AC56))*SUP_OPEX!$E$20+IF(AC56=0,0,INDEX(SUP_C3_EXPANSION!$J$20:$J$59,AC56))*SUP_OPEX!$F$20)</f>
        <v>12090</v>
      </c>
      <c r="AD43" s="77">
        <f>IF(AD56=0,0,IF(AD56=0,0,INDEX(SUP_C3_EXPANSION!$H$20:$H$59,AD56))*SUP_OPEX!$D$15+IF(AD56=0,0,INDEX(SUP_C3_EXPANSION!$I$20:$I$59,AD56))*SUP_OPEX!$E$15+IF(AD56=0,0,INDEX(SUP_C3_EXPANSION!$J$20:$J$59,AD56))*SUP_OPEX!$F$15+IF(AD56=0,0,INDEX(SUP_C3_EXPANSION!$H$20:$H$59,AD56))*SUP_OPEX!$D$20+IF(AD56=0,0,INDEX(SUP_C3_EXPANSION!$I$20:$I$59,AD56))*SUP_OPEX!$E$20+IF(AD56=0,0,INDEX(SUP_C3_EXPANSION!$J$20:$J$59,AD56))*SUP_OPEX!$F$20)</f>
        <v>12090</v>
      </c>
      <c r="AE43" s="77">
        <f>IF(AE56=0,0,IF(AE56=0,0,INDEX(SUP_C3_EXPANSION!$H$20:$H$59,AE56))*SUP_OPEX!$D$15+IF(AE56=0,0,INDEX(SUP_C3_EXPANSION!$I$20:$I$59,AE56))*SUP_OPEX!$E$15+IF(AE56=0,0,INDEX(SUP_C3_EXPANSION!$J$20:$J$59,AE56))*SUP_OPEX!$F$15+IF(AE56=0,0,INDEX(SUP_C3_EXPANSION!$H$20:$H$59,AE56))*SUP_OPEX!$D$20+IF(AE56=0,0,INDEX(SUP_C3_EXPANSION!$I$20:$I$59,AE56))*SUP_OPEX!$E$20+IF(AE56=0,0,INDEX(SUP_C3_EXPANSION!$J$20:$J$59,AE56))*SUP_OPEX!$F$20)</f>
        <v>12090</v>
      </c>
      <c r="AF43" s="77">
        <f>IF(AF56=0,0,IF(AF56=0,0,INDEX(SUP_C3_EXPANSION!$H$20:$H$59,AF56))*SUP_OPEX!$D$15+IF(AF56=0,0,INDEX(SUP_C3_EXPANSION!$I$20:$I$59,AF56))*SUP_OPEX!$E$15+IF(AF56=0,0,INDEX(SUP_C3_EXPANSION!$J$20:$J$59,AF56))*SUP_OPEX!$F$15+IF(AF56=0,0,INDEX(SUP_C3_EXPANSION!$H$20:$H$59,AF56))*SUP_OPEX!$D$20+IF(AF56=0,0,INDEX(SUP_C3_EXPANSION!$I$20:$I$59,AF56))*SUP_OPEX!$E$20+IF(AF56=0,0,INDEX(SUP_C3_EXPANSION!$J$20:$J$59,AF56))*SUP_OPEX!$F$20)</f>
        <v>17670</v>
      </c>
      <c r="AG43" s="77">
        <f>IF(AG56=0,0,IF(AG56=0,0,INDEX(SUP_C3_EXPANSION!$H$20:$H$59,AG56))*SUP_OPEX!$D$15+IF(AG56=0,0,INDEX(SUP_C3_EXPANSION!$I$20:$I$59,AG56))*SUP_OPEX!$E$15+IF(AG56=0,0,INDEX(SUP_C3_EXPANSION!$J$20:$J$59,AG56))*SUP_OPEX!$F$15+IF(AG56=0,0,INDEX(SUP_C3_EXPANSION!$H$20:$H$59,AG56))*SUP_OPEX!$D$20+IF(AG56=0,0,INDEX(SUP_C3_EXPANSION!$I$20:$I$59,AG56))*SUP_OPEX!$E$20+IF(AG56=0,0,INDEX(SUP_C3_EXPANSION!$J$20:$J$59,AG56))*SUP_OPEX!$F$20)</f>
        <v>21700</v>
      </c>
      <c r="AH43" s="77">
        <f>IF(AH56=0,0,IF(AH56=0,0,INDEX(SUP_C3_EXPANSION!$H$20:$H$59,AH56))*SUP_OPEX!$D$15+IF(AH56=0,0,INDEX(SUP_C3_EXPANSION!$I$20:$I$59,AH56))*SUP_OPEX!$E$15+IF(AH56=0,0,INDEX(SUP_C3_EXPANSION!$J$20:$J$59,AH56))*SUP_OPEX!$F$15+IF(AH56=0,0,INDEX(SUP_C3_EXPANSION!$H$20:$H$59,AH56))*SUP_OPEX!$D$20+IF(AH56=0,0,INDEX(SUP_C3_EXPANSION!$I$20:$I$59,AH56))*SUP_OPEX!$E$20+IF(AH56=0,0,INDEX(SUP_C3_EXPANSION!$J$20:$J$59,AH56))*SUP_OPEX!$F$20)</f>
        <v>21700</v>
      </c>
      <c r="AI43" s="77">
        <f>IF(AI56=0,0,IF(AI56=0,0,INDEX(SUP_C3_EXPANSION!$H$20:$H$59,AI56))*SUP_OPEX!$D$15+IF(AI56=0,0,INDEX(SUP_C3_EXPANSION!$I$20:$I$59,AI56))*SUP_OPEX!$E$15+IF(AI56=0,0,INDEX(SUP_C3_EXPANSION!$J$20:$J$59,AI56))*SUP_OPEX!$F$15+IF(AI56=0,0,INDEX(SUP_C3_EXPANSION!$H$20:$H$59,AI56))*SUP_OPEX!$D$20+IF(AI56=0,0,INDEX(SUP_C3_EXPANSION!$I$20:$I$59,AI56))*SUP_OPEX!$E$20+IF(AI56=0,0,INDEX(SUP_C3_EXPANSION!$J$20:$J$59,AI56))*SUP_OPEX!$F$20)</f>
        <v>25730</v>
      </c>
      <c r="AJ43" s="77">
        <f>IF(AJ56=0,0,IF(AJ56=0,0,INDEX(SUP_C3_EXPANSION!$H$20:$H$59,AJ56))*SUP_OPEX!$D$15+IF(AJ56=0,0,INDEX(SUP_C3_EXPANSION!$I$20:$I$59,AJ56))*SUP_OPEX!$E$15+IF(AJ56=0,0,INDEX(SUP_C3_EXPANSION!$J$20:$J$59,AJ56))*SUP_OPEX!$F$15+IF(AJ56=0,0,INDEX(SUP_C3_EXPANSION!$H$20:$H$59,AJ56))*SUP_OPEX!$D$20+IF(AJ56=0,0,INDEX(SUP_C3_EXPANSION!$I$20:$I$59,AJ56))*SUP_OPEX!$E$20+IF(AJ56=0,0,INDEX(SUP_C3_EXPANSION!$J$20:$J$59,AJ56))*SUP_OPEX!$F$20)</f>
        <v>29760</v>
      </c>
      <c r="AK43" s="77">
        <f>IF(AK56=0,0,IF(AK56=0,0,INDEX(SUP_C3_EXPANSION!$H$20:$H$59,AK56))*SUP_OPEX!$D$15+IF(AK56=0,0,INDEX(SUP_C3_EXPANSION!$I$20:$I$59,AK56))*SUP_OPEX!$E$15+IF(AK56=0,0,INDEX(SUP_C3_EXPANSION!$J$20:$J$59,AK56))*SUP_OPEX!$F$15+IF(AK56=0,0,INDEX(SUP_C3_EXPANSION!$H$20:$H$59,AK56))*SUP_OPEX!$D$20+IF(AK56=0,0,INDEX(SUP_C3_EXPANSION!$I$20:$I$59,AK56))*SUP_OPEX!$E$20+IF(AK56=0,0,INDEX(SUP_C3_EXPANSION!$J$20:$J$59,AK56))*SUP_OPEX!$F$20)</f>
        <v>29760</v>
      </c>
      <c r="AL43" s="77">
        <f>IF(AL56=0,0,IF(AL56=0,0,INDEX(SUP_C3_EXPANSION!$H$20:$H$59,AL56))*SUP_OPEX!$D$15+IF(AL56=0,0,INDEX(SUP_C3_EXPANSION!$I$20:$I$59,AL56))*SUP_OPEX!$E$15+IF(AL56=0,0,INDEX(SUP_C3_EXPANSION!$J$20:$J$59,AL56))*SUP_OPEX!$F$15+IF(AL56=0,0,INDEX(SUP_C3_EXPANSION!$H$20:$H$59,AL56))*SUP_OPEX!$D$20+IF(AL56=0,0,INDEX(SUP_C3_EXPANSION!$I$20:$I$59,AL56))*SUP_OPEX!$E$20+IF(AL56=0,0,INDEX(SUP_C3_EXPANSION!$J$20:$J$59,AL56))*SUP_OPEX!$F$20)</f>
        <v>29760</v>
      </c>
      <c r="AM43" s="77">
        <f>IF(AM56=0,0,IF(AM56=0,0,INDEX(SUP_C3_EXPANSION!$H$20:$H$59,AM56))*SUP_OPEX!$D$15+IF(AM56=0,0,INDEX(SUP_C3_EXPANSION!$I$20:$I$59,AM56))*SUP_OPEX!$E$15+IF(AM56=0,0,INDEX(SUP_C3_EXPANSION!$J$20:$J$59,AM56))*SUP_OPEX!$F$15+IF(AM56=0,0,INDEX(SUP_C3_EXPANSION!$H$20:$H$59,AM56))*SUP_OPEX!$D$20+IF(AM56=0,0,INDEX(SUP_C3_EXPANSION!$I$20:$I$59,AM56))*SUP_OPEX!$E$20+IF(AM56=0,0,INDEX(SUP_C3_EXPANSION!$J$20:$J$59,AM56))*SUP_OPEX!$F$20)</f>
        <v>35340</v>
      </c>
      <c r="AN43" s="77">
        <f>IF(AN56=0,0,IF(AN56=0,0,INDEX(SUP_C3_EXPANSION!$H$20:$H$59,AN56))*SUP_OPEX!$D$15+IF(AN56=0,0,INDEX(SUP_C3_EXPANSION!$I$20:$I$59,AN56))*SUP_OPEX!$E$15+IF(AN56=0,0,INDEX(SUP_C3_EXPANSION!$J$20:$J$59,AN56))*SUP_OPEX!$F$15+IF(AN56=0,0,INDEX(SUP_C3_EXPANSION!$H$20:$H$59,AN56))*SUP_OPEX!$D$20+IF(AN56=0,0,INDEX(SUP_C3_EXPANSION!$I$20:$I$59,AN56))*SUP_OPEX!$E$20+IF(AN56=0,0,INDEX(SUP_C3_EXPANSION!$J$20:$J$59,AN56))*SUP_OPEX!$F$20)</f>
        <v>39370</v>
      </c>
      <c r="AO43" s="77">
        <f>IF(AO56=0,0,IF(AO56=0,0,INDEX(SUP_C3_EXPANSION!$H$20:$H$59,AO56))*SUP_OPEX!$D$15+IF(AO56=0,0,INDEX(SUP_C3_EXPANSION!$I$20:$I$59,AO56))*SUP_OPEX!$E$15+IF(AO56=0,0,INDEX(SUP_C3_EXPANSION!$J$20:$J$59,AO56))*SUP_OPEX!$F$15+IF(AO56=0,0,INDEX(SUP_C3_EXPANSION!$H$20:$H$59,AO56))*SUP_OPEX!$D$20+IF(AO56=0,0,INDEX(SUP_C3_EXPANSION!$I$20:$I$59,AO56))*SUP_OPEX!$E$20+IF(AO56=0,0,INDEX(SUP_C3_EXPANSION!$J$20:$J$59,AO56))*SUP_OPEX!$F$20)</f>
        <v>43400</v>
      </c>
      <c r="AP43" s="77">
        <f>IF(AP56=0,0,IF(AP56=0,0,INDEX(SUP_C3_EXPANSION!$H$20:$H$59,AP56))*SUP_OPEX!$D$15+IF(AP56=0,0,INDEX(SUP_C3_EXPANSION!$I$20:$I$59,AP56))*SUP_OPEX!$E$15+IF(AP56=0,0,INDEX(SUP_C3_EXPANSION!$J$20:$J$59,AP56))*SUP_OPEX!$F$15+IF(AP56=0,0,INDEX(SUP_C3_EXPANSION!$H$20:$H$59,AP56))*SUP_OPEX!$D$20+IF(AP56=0,0,INDEX(SUP_C3_EXPANSION!$I$20:$I$59,AP56))*SUP_OPEX!$E$20+IF(AP56=0,0,INDEX(SUP_C3_EXPANSION!$J$20:$J$59,AP56))*SUP_OPEX!$F$20)</f>
        <v>47430</v>
      </c>
      <c r="AQ43" s="77">
        <f>IF(AQ56=0,0,IF(AQ56=0,0,INDEX(SUP_C3_EXPANSION!$H$20:$H$59,AQ56))*SUP_OPEX!$D$15+IF(AQ56=0,0,INDEX(SUP_C3_EXPANSION!$I$20:$I$59,AQ56))*SUP_OPEX!$E$15+IF(AQ56=0,0,INDEX(SUP_C3_EXPANSION!$J$20:$J$59,AQ56))*SUP_OPEX!$F$15+IF(AQ56=0,0,INDEX(SUP_C3_EXPANSION!$H$20:$H$59,AQ56))*SUP_OPEX!$D$20+IF(AQ56=0,0,INDEX(SUP_C3_EXPANSION!$I$20:$I$59,AQ56))*SUP_OPEX!$E$20+IF(AQ56=0,0,INDEX(SUP_C3_EXPANSION!$J$20:$J$59,AQ56))*SUP_OPEX!$F$20)</f>
        <v>47430</v>
      </c>
      <c r="AR43" s="77">
        <f>IF(AR56=0,0,IF(AR56=0,0,INDEX(SUP_C3_EXPANSION!$H$20:$H$59,AR56))*SUP_OPEX!$D$15+IF(AR56=0,0,INDEX(SUP_C3_EXPANSION!$I$20:$I$59,AR56))*SUP_OPEX!$E$15+IF(AR56=0,0,INDEX(SUP_C3_EXPANSION!$J$20:$J$59,AR56))*SUP_OPEX!$F$15+IF(AR56=0,0,INDEX(SUP_C3_EXPANSION!$H$20:$H$59,AR56))*SUP_OPEX!$D$20+IF(AR56=0,0,INDEX(SUP_C3_EXPANSION!$I$20:$I$59,AR56))*SUP_OPEX!$E$20+IF(AR56=0,0,INDEX(SUP_C3_EXPANSION!$J$20:$J$59,AR56))*SUP_OPEX!$F$20)</f>
        <v>53010</v>
      </c>
      <c r="AS43" s="77">
        <f>IF(AS56=0,0,IF(AS56=0,0,INDEX(SUP_C3_EXPANSION!$H$20:$H$59,AS56))*SUP_OPEX!$D$15+IF(AS56=0,0,INDEX(SUP_C3_EXPANSION!$I$20:$I$59,AS56))*SUP_OPEX!$E$15+IF(AS56=0,0,INDEX(SUP_C3_EXPANSION!$J$20:$J$59,AS56))*SUP_OPEX!$F$15+IF(AS56=0,0,INDEX(SUP_C3_EXPANSION!$H$20:$H$59,AS56))*SUP_OPEX!$D$20+IF(AS56=0,0,INDEX(SUP_C3_EXPANSION!$I$20:$I$59,AS56))*SUP_OPEX!$E$20+IF(AS56=0,0,INDEX(SUP_C3_EXPANSION!$J$20:$J$59,AS56))*SUP_OPEX!$F$20)</f>
        <v>53010</v>
      </c>
      <c r="AT43" s="77">
        <f>IF(AT56=0,0,IF(AT56=0,0,INDEX(SUP_C3_EXPANSION!$H$20:$H$59,AT56))*SUP_OPEX!$D$15+IF(AT56=0,0,INDEX(SUP_C3_EXPANSION!$I$20:$I$59,AT56))*SUP_OPEX!$E$15+IF(AT56=0,0,INDEX(SUP_C3_EXPANSION!$J$20:$J$59,AT56))*SUP_OPEX!$F$15+IF(AT56=0,0,INDEX(SUP_C3_EXPANSION!$H$20:$H$59,AT56))*SUP_OPEX!$D$20+IF(AT56=0,0,INDEX(SUP_C3_EXPANSION!$I$20:$I$59,AT56))*SUP_OPEX!$E$20+IF(AT56=0,0,INDEX(SUP_C3_EXPANSION!$J$20:$J$59,AT56))*SUP_OPEX!$F$20)</f>
        <v>57040</v>
      </c>
      <c r="AU43" s="77">
        <f>IF(AU56=0,0,IF(AU56=0,0,INDEX(SUP_C3_EXPANSION!$H$20:$H$59,AU56))*SUP_OPEX!$D$15+IF(AU56=0,0,INDEX(SUP_C3_EXPANSION!$I$20:$I$59,AU56))*SUP_OPEX!$E$15+IF(AU56=0,0,INDEX(SUP_C3_EXPANSION!$J$20:$J$59,AU56))*SUP_OPEX!$F$15+IF(AU56=0,0,INDEX(SUP_C3_EXPANSION!$H$20:$H$59,AU56))*SUP_OPEX!$D$20+IF(AU56=0,0,INDEX(SUP_C3_EXPANSION!$I$20:$I$59,AU56))*SUP_OPEX!$E$20+IF(AU56=0,0,INDEX(SUP_C3_EXPANSION!$J$20:$J$59,AU56))*SUP_OPEX!$F$20)</f>
        <v>61070</v>
      </c>
      <c r="AV43" s="77">
        <f>IF(AV56=0,0,IF(AV56=0,0,INDEX(SUP_C3_EXPANSION!$H$20:$H$59,AV56))*SUP_OPEX!$D$15+IF(AV56=0,0,INDEX(SUP_C3_EXPANSION!$I$20:$I$59,AV56))*SUP_OPEX!$E$15+IF(AV56=0,0,INDEX(SUP_C3_EXPANSION!$J$20:$J$59,AV56))*SUP_OPEX!$F$15+IF(AV56=0,0,INDEX(SUP_C3_EXPANSION!$H$20:$H$59,AV56))*SUP_OPEX!$D$20+IF(AV56=0,0,INDEX(SUP_C3_EXPANSION!$I$20:$I$59,AV56))*SUP_OPEX!$E$20+IF(AV56=0,0,INDEX(SUP_C3_EXPANSION!$J$20:$J$59,AV56))*SUP_OPEX!$F$20)</f>
        <v>61070</v>
      </c>
      <c r="AW43" s="77">
        <f>IF(AW56=0,0,IF(AW56=0,0,INDEX(SUP_C3_EXPANSION!$H$20:$H$59,AW56))*SUP_OPEX!$D$15+IF(AW56=0,0,INDEX(SUP_C3_EXPANSION!$I$20:$I$59,AW56))*SUP_OPEX!$E$15+IF(AW56=0,0,INDEX(SUP_C3_EXPANSION!$J$20:$J$59,AW56))*SUP_OPEX!$F$15+IF(AW56=0,0,INDEX(SUP_C3_EXPANSION!$H$20:$H$59,AW56))*SUP_OPEX!$D$20+IF(AW56=0,0,INDEX(SUP_C3_EXPANSION!$I$20:$I$59,AW56))*SUP_OPEX!$E$20+IF(AW56=0,0,INDEX(SUP_C3_EXPANSION!$J$20:$J$59,AW56))*SUP_OPEX!$F$20)</f>
        <v>61070</v>
      </c>
      <c r="AX43" s="77">
        <f>IF(AX56=0,0,IF(AX56=0,0,INDEX(SUP_C3_EXPANSION!$H$20:$H$59,AX56))*SUP_OPEX!$D$15+IF(AX56=0,0,INDEX(SUP_C3_EXPANSION!$I$20:$I$59,AX56))*SUP_OPEX!$E$15+IF(AX56=0,0,INDEX(SUP_C3_EXPANSION!$J$20:$J$59,AX56))*SUP_OPEX!$F$15+IF(AX56=0,0,INDEX(SUP_C3_EXPANSION!$H$20:$H$59,AX56))*SUP_OPEX!$D$20+IF(AX56=0,0,INDEX(SUP_C3_EXPANSION!$I$20:$I$59,AX56))*SUP_OPEX!$E$20+IF(AX56=0,0,INDEX(SUP_C3_EXPANSION!$J$20:$J$59,AX56))*SUP_OPEX!$F$20)</f>
        <v>61070</v>
      </c>
      <c r="AY43" s="77">
        <f>IF(AY56=0,0,IF(AY56=0,0,INDEX(SUP_C3_EXPANSION!$H$20:$H$59,AY56))*SUP_OPEX!$D$15+IF(AY56=0,0,INDEX(SUP_C3_EXPANSION!$I$20:$I$59,AY56))*SUP_OPEX!$E$15+IF(AY56=0,0,INDEX(SUP_C3_EXPANSION!$J$20:$J$59,AY56))*SUP_OPEX!$F$15+IF(AY56=0,0,INDEX(SUP_C3_EXPANSION!$H$20:$H$59,AY56))*SUP_OPEX!$D$20+IF(AY56=0,0,INDEX(SUP_C3_EXPANSION!$I$20:$I$59,AY56))*SUP_OPEX!$E$20+IF(AY56=0,0,INDEX(SUP_C3_EXPANSION!$J$20:$J$59,AY56))*SUP_OPEX!$F$20)</f>
        <v>61070</v>
      </c>
      <c r="AZ43" s="77">
        <f>IF(AZ56=0,0,IF(AZ56=0,0,INDEX(SUP_C3_EXPANSION!$H$20:$H$59,AZ56))*SUP_OPEX!$D$15+IF(AZ56=0,0,INDEX(SUP_C3_EXPANSION!$I$20:$I$59,AZ56))*SUP_OPEX!$E$15+IF(AZ56=0,0,INDEX(SUP_C3_EXPANSION!$J$20:$J$59,AZ56))*SUP_OPEX!$F$15+IF(AZ56=0,0,INDEX(SUP_C3_EXPANSION!$H$20:$H$59,AZ56))*SUP_OPEX!$D$20+IF(AZ56=0,0,INDEX(SUP_C3_EXPANSION!$I$20:$I$59,AZ56))*SUP_OPEX!$E$20+IF(AZ56=0,0,INDEX(SUP_C3_EXPANSION!$J$20:$J$59,AZ56))*SUP_OPEX!$F$20)</f>
        <v>61070</v>
      </c>
      <c r="BA43" s="77">
        <f>IF(BA56=0,0,IF(BA56=0,0,INDEX(SUP_C3_EXPANSION!$H$20:$H$59,BA56))*SUP_OPEX!$D$15+IF(BA56=0,0,INDEX(SUP_C3_EXPANSION!$I$20:$I$59,BA56))*SUP_OPEX!$E$15+IF(BA56=0,0,INDEX(SUP_C3_EXPANSION!$J$20:$J$59,BA56))*SUP_OPEX!$F$15+IF(BA56=0,0,INDEX(SUP_C3_EXPANSION!$H$20:$H$59,BA56))*SUP_OPEX!$D$20+IF(BA56=0,0,INDEX(SUP_C3_EXPANSION!$I$20:$I$59,BA56))*SUP_OPEX!$E$20+IF(BA56=0,0,INDEX(SUP_C3_EXPANSION!$J$20:$J$59,BA56))*SUP_OPEX!$F$20)</f>
        <v>61070</v>
      </c>
      <c r="BB43" s="77">
        <f>IF(BB56=0,0,IF(BB56=0,0,INDEX(SUP_C3_EXPANSION!$H$20:$H$59,BB56))*SUP_OPEX!$D$15+IF(BB56=0,0,INDEX(SUP_C3_EXPANSION!$I$20:$I$59,BB56))*SUP_OPEX!$E$15+IF(BB56=0,0,INDEX(SUP_C3_EXPANSION!$J$20:$J$59,BB56))*SUP_OPEX!$F$15+IF(BB56=0,0,INDEX(SUP_C3_EXPANSION!$H$20:$H$59,BB56))*SUP_OPEX!$D$20+IF(BB56=0,0,INDEX(SUP_C3_EXPANSION!$I$20:$I$59,BB56))*SUP_OPEX!$E$20+IF(BB56=0,0,INDEX(SUP_C3_EXPANSION!$J$20:$J$59,BB56))*SUP_OPEX!$F$20)</f>
        <v>61070</v>
      </c>
      <c r="BC43" s="77">
        <f>IF(BC56=0,0,IF(BC56=0,0,INDEX(SUP_C3_EXPANSION!$H$20:$H$59,BC56))*SUP_OPEX!$D$15+IF(BC56=0,0,INDEX(SUP_C3_EXPANSION!$I$20:$I$59,BC56))*SUP_OPEX!$E$15+IF(BC56=0,0,INDEX(SUP_C3_EXPANSION!$J$20:$J$59,BC56))*SUP_OPEX!$F$15+IF(BC56=0,0,INDEX(SUP_C3_EXPANSION!$H$20:$H$59,BC56))*SUP_OPEX!$D$20+IF(BC56=0,0,INDEX(SUP_C3_EXPANSION!$I$20:$I$59,BC56))*SUP_OPEX!$E$20+IF(BC56=0,0,INDEX(SUP_C3_EXPANSION!$J$20:$J$59,BC56))*SUP_OPEX!$F$20)</f>
        <v>61070</v>
      </c>
      <c r="BD43" s="77">
        <f>IF(BD56=0,0,IF(BD56=0,0,INDEX(SUP_C3_EXPANSION!$H$20:$H$59,BD56))*SUP_OPEX!$D$15+IF(BD56=0,0,INDEX(SUP_C3_EXPANSION!$I$20:$I$59,BD56))*SUP_OPEX!$E$15+IF(BD56=0,0,INDEX(SUP_C3_EXPANSION!$J$20:$J$59,BD56))*SUP_OPEX!$F$15+IF(BD56=0,0,INDEX(SUP_C3_EXPANSION!$H$20:$H$59,BD56))*SUP_OPEX!$D$20+IF(BD56=0,0,INDEX(SUP_C3_EXPANSION!$I$20:$I$59,BD56))*SUP_OPEX!$E$20+IF(BD56=0,0,INDEX(SUP_C3_EXPANSION!$J$20:$J$59,BD56))*SUP_OPEX!$F$20)</f>
        <v>79330</v>
      </c>
      <c r="BE43" s="77">
        <f>IF(BE56=0,0,IF(BE56=0,0,INDEX(SUP_C3_EXPANSION!$H$20:$H$59,BE56))*SUP_OPEX!$D$15+IF(BE56=0,0,INDEX(SUP_C3_EXPANSION!$I$20:$I$59,BE56))*SUP_OPEX!$E$15+IF(BE56=0,0,INDEX(SUP_C3_EXPANSION!$J$20:$J$59,BE56))*SUP_OPEX!$F$15+IF(BE56=0,0,INDEX(SUP_C3_EXPANSION!$H$20:$H$59,BE56))*SUP_OPEX!$D$20+IF(BE56=0,0,INDEX(SUP_C3_EXPANSION!$I$20:$I$59,BE56))*SUP_OPEX!$E$20+IF(BE56=0,0,INDEX(SUP_C3_EXPANSION!$J$20:$J$59,BE56))*SUP_OPEX!$F$20)</f>
        <v>83360</v>
      </c>
      <c r="BF43" s="77">
        <f>IF(BF56=0,0,IF(BF56=0,0,INDEX(SUP_C3_EXPANSION!$H$20:$H$59,BF56))*SUP_OPEX!$D$15+IF(BF56=0,0,INDEX(SUP_C3_EXPANSION!$I$20:$I$59,BF56))*SUP_OPEX!$E$15+IF(BF56=0,0,INDEX(SUP_C3_EXPANSION!$J$20:$J$59,BF56))*SUP_OPEX!$F$15+IF(BF56=0,0,INDEX(SUP_C3_EXPANSION!$H$20:$H$59,BF56))*SUP_OPEX!$D$20+IF(BF56=0,0,INDEX(SUP_C3_EXPANSION!$I$20:$I$59,BF56))*SUP_OPEX!$E$20+IF(BF56=0,0,INDEX(SUP_C3_EXPANSION!$J$20:$J$59,BF56))*SUP_OPEX!$F$20)</f>
        <v>88940</v>
      </c>
      <c r="BG43" s="77">
        <f>IF(BG56=0,0,IF(BG56=0,0,INDEX(SUP_C3_EXPANSION!$H$20:$H$59,BG56))*SUP_OPEX!$D$15+IF(BG56=0,0,INDEX(SUP_C3_EXPANSION!$I$20:$I$59,BG56))*SUP_OPEX!$E$15+IF(BG56=0,0,INDEX(SUP_C3_EXPANSION!$J$20:$J$59,BG56))*SUP_OPEX!$F$15+IF(BG56=0,0,INDEX(SUP_C3_EXPANSION!$H$20:$H$59,BG56))*SUP_OPEX!$D$20+IF(BG56=0,0,INDEX(SUP_C3_EXPANSION!$I$20:$I$59,BG56))*SUP_OPEX!$E$20+IF(BG56=0,0,INDEX(SUP_C3_EXPANSION!$J$20:$J$59,BG56))*SUP_OPEX!$F$20)</f>
        <v>92970</v>
      </c>
      <c r="BH43" s="77">
        <f>IF(BH56=0,0,IF(BH56=0,0,INDEX(SUP_C3_EXPANSION!$H$20:$H$59,BH56))*SUP_OPEX!$D$15+IF(BH56=0,0,INDEX(SUP_C3_EXPANSION!$I$20:$I$59,BH56))*SUP_OPEX!$E$15+IF(BH56=0,0,INDEX(SUP_C3_EXPANSION!$J$20:$J$59,BH56))*SUP_OPEX!$F$15+IF(BH56=0,0,INDEX(SUP_C3_EXPANSION!$H$20:$H$59,BH56))*SUP_OPEX!$D$20+IF(BH56=0,0,INDEX(SUP_C3_EXPANSION!$I$20:$I$59,BH56))*SUP_OPEX!$E$20+IF(BH56=0,0,INDEX(SUP_C3_EXPANSION!$J$20:$J$59,BH56))*SUP_OPEX!$F$20)</f>
        <v>97000</v>
      </c>
      <c r="BI43" s="77">
        <f>IF(BI56=0,0,IF(BI56=0,0,INDEX(SUP_C3_EXPANSION!$H$20:$H$59,BI56))*SUP_OPEX!$D$15+IF(BI56=0,0,INDEX(SUP_C3_EXPANSION!$I$20:$I$59,BI56))*SUP_OPEX!$E$15+IF(BI56=0,0,INDEX(SUP_C3_EXPANSION!$J$20:$J$59,BI56))*SUP_OPEX!$F$15+IF(BI56=0,0,INDEX(SUP_C3_EXPANSION!$H$20:$H$59,BI56))*SUP_OPEX!$D$20+IF(BI56=0,0,INDEX(SUP_C3_EXPANSION!$I$20:$I$59,BI56))*SUP_OPEX!$E$20+IF(BI56=0,0,INDEX(SUP_C3_EXPANSION!$J$20:$J$59,BI56))*SUP_OPEX!$F$20)</f>
        <v>101030</v>
      </c>
      <c r="BJ43" s="77">
        <f>IF(BJ56=0,0,IF(BJ56=0,0,INDEX(SUP_C3_EXPANSION!$H$20:$H$59,BJ56))*SUP_OPEX!$D$15+IF(BJ56=0,0,INDEX(SUP_C3_EXPANSION!$I$20:$I$59,BJ56))*SUP_OPEX!$E$15+IF(BJ56=0,0,INDEX(SUP_C3_EXPANSION!$J$20:$J$59,BJ56))*SUP_OPEX!$F$15+IF(BJ56=0,0,INDEX(SUP_C3_EXPANSION!$H$20:$H$59,BJ56))*SUP_OPEX!$D$20+IF(BJ56=0,0,INDEX(SUP_C3_EXPANSION!$I$20:$I$59,BJ56))*SUP_OPEX!$E$20+IF(BJ56=0,0,INDEX(SUP_C3_EXPANSION!$J$20:$J$59,BJ56))*SUP_OPEX!$F$20)</f>
        <v>106610</v>
      </c>
      <c r="BK43" s="77">
        <f>IF(BK56=0,0,IF(BK56=0,0,INDEX(SUP_C3_EXPANSION!$H$20:$H$59,BK56))*SUP_OPEX!$D$15+IF(BK56=0,0,INDEX(SUP_C3_EXPANSION!$I$20:$I$59,BK56))*SUP_OPEX!$E$15+IF(BK56=0,0,INDEX(SUP_C3_EXPANSION!$J$20:$J$59,BK56))*SUP_OPEX!$F$15+IF(BK56=0,0,INDEX(SUP_C3_EXPANSION!$H$20:$H$59,BK56))*SUP_OPEX!$D$20+IF(BK56=0,0,INDEX(SUP_C3_EXPANSION!$I$20:$I$59,BK56))*SUP_OPEX!$E$20+IF(BK56=0,0,INDEX(SUP_C3_EXPANSION!$J$20:$J$59,BK56))*SUP_OPEX!$F$20)</f>
        <v>110640</v>
      </c>
      <c r="BL43" s="77">
        <f>IF(BL56=0,0,IF(BL56=0,0,INDEX(SUP_C3_EXPANSION!$H$20:$H$59,BL56))*SUP_OPEX!$D$15+IF(BL56=0,0,INDEX(SUP_C3_EXPANSION!$I$20:$I$59,BL56))*SUP_OPEX!$E$15+IF(BL56=0,0,INDEX(SUP_C3_EXPANSION!$J$20:$J$59,BL56))*SUP_OPEX!$F$15+IF(BL56=0,0,INDEX(SUP_C3_EXPANSION!$H$20:$H$59,BL56))*SUP_OPEX!$D$20+IF(BL56=0,0,INDEX(SUP_C3_EXPANSION!$I$20:$I$59,BL56))*SUP_OPEX!$E$20+IF(BL56=0,0,INDEX(SUP_C3_EXPANSION!$J$20:$J$59,BL56))*SUP_OPEX!$F$20)</f>
        <v>114670</v>
      </c>
      <c r="BM43" s="77">
        <f>IF(BM56=0,0,IF(BM56=0,0,INDEX(SUP_C3_EXPANSION!$H$20:$H$59,BM56))*SUP_OPEX!$D$15+IF(BM56=0,0,INDEX(SUP_C3_EXPANSION!$I$20:$I$59,BM56))*SUP_OPEX!$E$15+IF(BM56=0,0,INDEX(SUP_C3_EXPANSION!$J$20:$J$59,BM56))*SUP_OPEX!$F$15+IF(BM56=0,0,INDEX(SUP_C3_EXPANSION!$H$20:$H$59,BM56))*SUP_OPEX!$D$20+IF(BM56=0,0,INDEX(SUP_C3_EXPANSION!$I$20:$I$59,BM56))*SUP_OPEX!$E$20+IF(BM56=0,0,INDEX(SUP_C3_EXPANSION!$J$20:$J$59,BM56))*SUP_OPEX!$F$20)</f>
        <v>118700</v>
      </c>
      <c r="BN43" s="77">
        <f>IF(BN56=0,0,IF(BN56=0,0,INDEX(SUP_C3_EXPANSION!$H$20:$H$59,BN56))*SUP_OPEX!$D$15+IF(BN56=0,0,INDEX(SUP_C3_EXPANSION!$I$20:$I$59,BN56))*SUP_OPEX!$E$15+IF(BN56=0,0,INDEX(SUP_C3_EXPANSION!$J$20:$J$59,BN56))*SUP_OPEX!$F$15+IF(BN56=0,0,INDEX(SUP_C3_EXPANSION!$H$20:$H$59,BN56))*SUP_OPEX!$D$20+IF(BN56=0,0,INDEX(SUP_C3_EXPANSION!$I$20:$I$59,BN56))*SUP_OPEX!$E$20+IF(BN56=0,0,INDEX(SUP_C3_EXPANSION!$J$20:$J$59,BN56))*SUP_OPEX!$F$20)</f>
        <v>124280</v>
      </c>
      <c r="BO43" s="77">
        <f>IF(BO56=0,0,IF(BO56=0,0,INDEX(SUP_C3_EXPANSION!$H$20:$H$59,BO56))*SUP_OPEX!$D$15+IF(BO56=0,0,INDEX(SUP_C3_EXPANSION!$I$20:$I$59,BO56))*SUP_OPEX!$E$15+IF(BO56=0,0,INDEX(SUP_C3_EXPANSION!$J$20:$J$59,BO56))*SUP_OPEX!$F$15+IF(BO56=0,0,INDEX(SUP_C3_EXPANSION!$H$20:$H$59,BO56))*SUP_OPEX!$D$20+IF(BO56=0,0,INDEX(SUP_C3_EXPANSION!$I$20:$I$59,BO56))*SUP_OPEX!$E$20+IF(BO56=0,0,INDEX(SUP_C3_EXPANSION!$J$20:$J$59,BO56))*SUP_OPEX!$F$20)</f>
        <v>128310</v>
      </c>
      <c r="BP43" s="77">
        <f>IF(BP56=0,0,IF(BP56=0,0,INDEX(SUP_C3_EXPANSION!$H$20:$H$59,BP56))*SUP_OPEX!$D$15+IF(BP56=0,0,INDEX(SUP_C3_EXPANSION!$I$20:$I$59,BP56))*SUP_OPEX!$E$15+IF(BP56=0,0,INDEX(SUP_C3_EXPANSION!$J$20:$J$59,BP56))*SUP_OPEX!$F$15+IF(BP56=0,0,INDEX(SUP_C3_EXPANSION!$H$20:$H$59,BP56))*SUP_OPEX!$D$20+IF(BP56=0,0,INDEX(SUP_C3_EXPANSION!$I$20:$I$59,BP56))*SUP_OPEX!$E$20+IF(BP56=0,0,INDEX(SUP_C3_EXPANSION!$J$20:$J$59,BP56))*SUP_OPEX!$F$20)</f>
        <v>132340</v>
      </c>
      <c r="BQ43" s="77">
        <f>IF(BQ56=0,0,IF(BQ56=0,0,INDEX(SUP_C3_EXPANSION!$H$20:$H$59,BQ56))*SUP_OPEX!$D$15+IF(BQ56=0,0,INDEX(SUP_C3_EXPANSION!$I$20:$I$59,BQ56))*SUP_OPEX!$E$15+IF(BQ56=0,0,INDEX(SUP_C3_EXPANSION!$J$20:$J$59,BQ56))*SUP_OPEX!$F$15+IF(BQ56=0,0,INDEX(SUP_C3_EXPANSION!$H$20:$H$59,BQ56))*SUP_OPEX!$D$20+IF(BQ56=0,0,INDEX(SUP_C3_EXPANSION!$I$20:$I$59,BQ56))*SUP_OPEX!$E$20+IF(BQ56=0,0,INDEX(SUP_C3_EXPANSION!$J$20:$J$59,BQ56))*SUP_OPEX!$F$20)</f>
        <v>136370</v>
      </c>
      <c r="BR43" s="77">
        <f>IF(BR56=0,0,IF(BR56=0,0,INDEX(SUP_C3_EXPANSION!$H$20:$H$59,BR56))*SUP_OPEX!$D$15+IF(BR56=0,0,INDEX(SUP_C3_EXPANSION!$I$20:$I$59,BR56))*SUP_OPEX!$E$15+IF(BR56=0,0,INDEX(SUP_C3_EXPANSION!$J$20:$J$59,BR56))*SUP_OPEX!$F$15+IF(BR56=0,0,INDEX(SUP_C3_EXPANSION!$H$20:$H$59,BR56))*SUP_OPEX!$D$20+IF(BR56=0,0,INDEX(SUP_C3_EXPANSION!$I$20:$I$59,BR56))*SUP_OPEX!$E$20+IF(BR56=0,0,INDEX(SUP_C3_EXPANSION!$J$20:$J$59,BR56))*SUP_OPEX!$F$20)</f>
        <v>141950</v>
      </c>
      <c r="BS43" s="77">
        <f>IF(BS56=0,0,IF(BS56=0,0,INDEX(SUP_C3_EXPANSION!$H$20:$H$59,BS56))*SUP_OPEX!$D$15+IF(BS56=0,0,INDEX(SUP_C3_EXPANSION!$I$20:$I$59,BS56))*SUP_OPEX!$E$15+IF(BS56=0,0,INDEX(SUP_C3_EXPANSION!$J$20:$J$59,BS56))*SUP_OPEX!$F$15+IF(BS56=0,0,INDEX(SUP_C3_EXPANSION!$H$20:$H$59,BS56))*SUP_OPEX!$D$20+IF(BS56=0,0,INDEX(SUP_C3_EXPANSION!$I$20:$I$59,BS56))*SUP_OPEX!$E$20+IF(BS56=0,0,INDEX(SUP_C3_EXPANSION!$J$20:$J$59,BS56))*SUP_OPEX!$F$20)</f>
        <v>160210</v>
      </c>
      <c r="BT43" s="77">
        <f>IF(BT56=0,0,IF(BT56=0,0,INDEX(SUP_C3_EXPANSION!$H$20:$H$59,BT56))*SUP_OPEX!$D$15+IF(BT56=0,0,INDEX(SUP_C3_EXPANSION!$I$20:$I$59,BT56))*SUP_OPEX!$E$15+IF(BT56=0,0,INDEX(SUP_C3_EXPANSION!$J$20:$J$59,BT56))*SUP_OPEX!$F$15+IF(BT56=0,0,INDEX(SUP_C3_EXPANSION!$H$20:$H$59,BT56))*SUP_OPEX!$D$20+IF(BT56=0,0,INDEX(SUP_C3_EXPANSION!$I$20:$I$59,BT56))*SUP_OPEX!$E$20+IF(BT56=0,0,INDEX(SUP_C3_EXPANSION!$J$20:$J$59,BT56))*SUP_OPEX!$F$20)</f>
        <v>164240</v>
      </c>
      <c r="BU43" s="77">
        <f>IF(BU56=0,0,IF(BU56=0,0,INDEX(SUP_C3_EXPANSION!$H$20:$H$59,BU56))*SUP_OPEX!$D$15+IF(BU56=0,0,INDEX(SUP_C3_EXPANSION!$I$20:$I$59,BU56))*SUP_OPEX!$E$15+IF(BU56=0,0,INDEX(SUP_C3_EXPANSION!$J$20:$J$59,BU56))*SUP_OPEX!$F$15+IF(BU56=0,0,INDEX(SUP_C3_EXPANSION!$H$20:$H$59,BU56))*SUP_OPEX!$D$20+IF(BU56=0,0,INDEX(SUP_C3_EXPANSION!$I$20:$I$59,BU56))*SUP_OPEX!$E$20+IF(BU56=0,0,INDEX(SUP_C3_EXPANSION!$J$20:$J$59,BU56))*SUP_OPEX!$F$20)</f>
        <v>168270</v>
      </c>
      <c r="BV43" s="77">
        <f>IF(BV56=0,0,IF(BV56=0,0,INDEX(SUP_C3_EXPANSION!$H$20:$H$59,BV56))*SUP_OPEX!$D$15+IF(BV56=0,0,INDEX(SUP_C3_EXPANSION!$I$20:$I$59,BV56))*SUP_OPEX!$E$15+IF(BV56=0,0,INDEX(SUP_C3_EXPANSION!$J$20:$J$59,BV56))*SUP_OPEX!$F$15+IF(BV56=0,0,INDEX(SUP_C3_EXPANSION!$H$20:$H$59,BV56))*SUP_OPEX!$D$20+IF(BV56=0,0,INDEX(SUP_C3_EXPANSION!$I$20:$I$59,BV56))*SUP_OPEX!$E$20+IF(BV56=0,0,INDEX(SUP_C3_EXPANSION!$J$20:$J$59,BV56))*SUP_OPEX!$F$20)</f>
        <v>172300</v>
      </c>
      <c r="BW43" s="77">
        <f>IF(BW56=0,0,IF(BW56=0,0,INDEX(SUP_C3_EXPANSION!$H$20:$H$59,BW56))*SUP_OPEX!$D$15+IF(BW56=0,0,INDEX(SUP_C3_EXPANSION!$I$20:$I$59,BW56))*SUP_OPEX!$E$15+IF(BW56=0,0,INDEX(SUP_C3_EXPANSION!$J$20:$J$59,BW56))*SUP_OPEX!$F$15+IF(BW56=0,0,INDEX(SUP_C3_EXPANSION!$H$20:$H$59,BW56))*SUP_OPEX!$D$20+IF(BW56=0,0,INDEX(SUP_C3_EXPANSION!$I$20:$I$59,BW56))*SUP_OPEX!$E$20+IF(BW56=0,0,INDEX(SUP_C3_EXPANSION!$J$20:$J$59,BW56))*SUP_OPEX!$F$20)</f>
        <v>177880</v>
      </c>
      <c r="BX43" s="77">
        <f>IF(BX56=0,0,IF(BX56=0,0,INDEX(SUP_C3_EXPANSION!$H$20:$H$59,BX56))*SUP_OPEX!$D$15+IF(BX56=0,0,INDEX(SUP_C3_EXPANSION!$I$20:$I$59,BX56))*SUP_OPEX!$E$15+IF(BX56=0,0,INDEX(SUP_C3_EXPANSION!$J$20:$J$59,BX56))*SUP_OPEX!$F$15+IF(BX56=0,0,INDEX(SUP_C3_EXPANSION!$H$20:$H$59,BX56))*SUP_OPEX!$D$20+IF(BX56=0,0,INDEX(SUP_C3_EXPANSION!$I$20:$I$59,BX56))*SUP_OPEX!$E$20+IF(BX56=0,0,INDEX(SUP_C3_EXPANSION!$J$20:$J$59,BX56))*SUP_OPEX!$F$20)</f>
        <v>181910</v>
      </c>
      <c r="BY43" s="77">
        <f>IF(BY56=0,0,IF(BY56=0,0,INDEX(SUP_C3_EXPANSION!$H$20:$H$59,BY56))*SUP_OPEX!$D$15+IF(BY56=0,0,INDEX(SUP_C3_EXPANSION!$I$20:$I$59,BY56))*SUP_OPEX!$E$15+IF(BY56=0,0,INDEX(SUP_C3_EXPANSION!$J$20:$J$59,BY56))*SUP_OPEX!$F$15+IF(BY56=0,0,INDEX(SUP_C3_EXPANSION!$H$20:$H$59,BY56))*SUP_OPEX!$D$20+IF(BY56=0,0,INDEX(SUP_C3_EXPANSION!$I$20:$I$59,BY56))*SUP_OPEX!$E$20+IF(BY56=0,0,INDEX(SUP_C3_EXPANSION!$J$20:$J$59,BY56))*SUP_OPEX!$F$20)</f>
        <v>185940</v>
      </c>
      <c r="BZ43" s="77">
        <f>IF(BZ56=0,0,IF(BZ56=0,0,INDEX(SUP_C3_EXPANSION!$H$20:$H$59,BZ56))*SUP_OPEX!$D$15+IF(BZ56=0,0,INDEX(SUP_C3_EXPANSION!$I$20:$I$59,BZ56))*SUP_OPEX!$E$15+IF(BZ56=0,0,INDEX(SUP_C3_EXPANSION!$J$20:$J$59,BZ56))*SUP_OPEX!$F$15+IF(BZ56=0,0,INDEX(SUP_C3_EXPANSION!$H$20:$H$59,BZ56))*SUP_OPEX!$D$20+IF(BZ56=0,0,INDEX(SUP_C3_EXPANSION!$I$20:$I$59,BZ56))*SUP_OPEX!$E$20+IF(BZ56=0,0,INDEX(SUP_C3_EXPANSION!$J$20:$J$59,BZ56))*SUP_OPEX!$F$20)</f>
        <v>189970</v>
      </c>
      <c r="CA43" s="77">
        <f>IF(CA56=0,0,IF(CA56=0,0,INDEX(SUP_C3_EXPANSION!$H$20:$H$59,CA56))*SUP_OPEX!$D$15+IF(CA56=0,0,INDEX(SUP_C3_EXPANSION!$I$20:$I$59,CA56))*SUP_OPEX!$E$15+IF(CA56=0,0,INDEX(SUP_C3_EXPANSION!$J$20:$J$59,CA56))*SUP_OPEX!$F$15+IF(CA56=0,0,INDEX(SUP_C3_EXPANSION!$H$20:$H$59,CA56))*SUP_OPEX!$D$20+IF(CA56=0,0,INDEX(SUP_C3_EXPANSION!$I$20:$I$59,CA56))*SUP_OPEX!$E$20+IF(CA56=0,0,INDEX(SUP_C3_EXPANSION!$J$20:$J$59,CA56))*SUP_OPEX!$F$20)</f>
        <v>195550</v>
      </c>
      <c r="CB43" s="77">
        <f>IF(CB56=0,0,IF(CB56=0,0,INDEX(SUP_C3_EXPANSION!$H$20:$H$59,CB56))*SUP_OPEX!$D$15+IF(CB56=0,0,INDEX(SUP_C3_EXPANSION!$I$20:$I$59,CB56))*SUP_OPEX!$E$15+IF(CB56=0,0,INDEX(SUP_C3_EXPANSION!$J$20:$J$59,CB56))*SUP_OPEX!$F$15+IF(CB56=0,0,INDEX(SUP_C3_EXPANSION!$H$20:$H$59,CB56))*SUP_OPEX!$D$20+IF(CB56=0,0,INDEX(SUP_C3_EXPANSION!$I$20:$I$59,CB56))*SUP_OPEX!$E$20+IF(CB56=0,0,INDEX(SUP_C3_EXPANSION!$J$20:$J$59,CB56))*SUP_OPEX!$F$20)</f>
        <v>199580</v>
      </c>
      <c r="CC43" s="77">
        <f>IF(CC56=0,0,IF(CC56=0,0,INDEX(SUP_C3_EXPANSION!$H$20:$H$59,CC56))*SUP_OPEX!$D$15+IF(CC56=0,0,INDEX(SUP_C3_EXPANSION!$I$20:$I$59,CC56))*SUP_OPEX!$E$15+IF(CC56=0,0,INDEX(SUP_C3_EXPANSION!$J$20:$J$59,CC56))*SUP_OPEX!$F$15+IF(CC56=0,0,INDEX(SUP_C3_EXPANSION!$H$20:$H$59,CC56))*SUP_OPEX!$D$20+IF(CC56=0,0,INDEX(SUP_C3_EXPANSION!$I$20:$I$59,CC56))*SUP_OPEX!$E$20+IF(CC56=0,0,INDEX(SUP_C3_EXPANSION!$J$20:$J$59,CC56))*SUP_OPEX!$F$20)</f>
        <v>203610</v>
      </c>
      <c r="CD43" s="77">
        <f>IF(CD56=0,0,IF(CD56=0,0,INDEX(SUP_C3_EXPANSION!$H$20:$H$59,CD56))*SUP_OPEX!$D$15+IF(CD56=0,0,INDEX(SUP_C3_EXPANSION!$I$20:$I$59,CD56))*SUP_OPEX!$E$15+IF(CD56=0,0,INDEX(SUP_C3_EXPANSION!$J$20:$J$59,CD56))*SUP_OPEX!$F$15+IF(CD56=0,0,INDEX(SUP_C3_EXPANSION!$H$20:$H$59,CD56))*SUP_OPEX!$D$20+IF(CD56=0,0,INDEX(SUP_C3_EXPANSION!$I$20:$I$59,CD56))*SUP_OPEX!$E$20+IF(CD56=0,0,INDEX(SUP_C3_EXPANSION!$J$20:$J$59,CD56))*SUP_OPEX!$F$20)</f>
        <v>203610</v>
      </c>
      <c r="CE43" s="77">
        <f>IF(CE56=0,0,IF(CE56=0,0,INDEX(SUP_C3_EXPANSION!$H$20:$H$59,CE56))*SUP_OPEX!$D$15+IF(CE56=0,0,INDEX(SUP_C3_EXPANSION!$I$20:$I$59,CE56))*SUP_OPEX!$E$15+IF(CE56=0,0,INDEX(SUP_C3_EXPANSION!$J$20:$J$59,CE56))*SUP_OPEX!$F$15+IF(CE56=0,0,INDEX(SUP_C3_EXPANSION!$H$20:$H$59,CE56))*SUP_OPEX!$D$20+IF(CE56=0,0,INDEX(SUP_C3_EXPANSION!$I$20:$I$59,CE56))*SUP_OPEX!$E$20+IF(CE56=0,0,INDEX(SUP_C3_EXPANSION!$J$20:$J$59,CE56))*SUP_OPEX!$F$20)</f>
        <v>203610</v>
      </c>
      <c r="CF43" s="77">
        <f>IF(CF56=0,0,IF(CF56=0,0,INDEX(SUP_C3_EXPANSION!$H$20:$H$59,CF56))*SUP_OPEX!$D$15+IF(CF56=0,0,INDEX(SUP_C3_EXPANSION!$I$20:$I$59,CF56))*SUP_OPEX!$E$15+IF(CF56=0,0,INDEX(SUP_C3_EXPANSION!$J$20:$J$59,CF56))*SUP_OPEX!$F$15+IF(CF56=0,0,INDEX(SUP_C3_EXPANSION!$H$20:$H$59,CF56))*SUP_OPEX!$D$20+IF(CF56=0,0,INDEX(SUP_C3_EXPANSION!$I$20:$I$59,CF56))*SUP_OPEX!$E$20+IF(CF56=0,0,INDEX(SUP_C3_EXPANSION!$J$20:$J$59,CF56))*SUP_OPEX!$F$20)</f>
        <v>203610</v>
      </c>
      <c r="CG43" s="77">
        <f>IF(CG56=0,0,IF(CG56=0,0,INDEX(SUP_C3_EXPANSION!$H$20:$H$59,CG56))*SUP_OPEX!$D$15+IF(CG56=0,0,INDEX(SUP_C3_EXPANSION!$I$20:$I$59,CG56))*SUP_OPEX!$E$15+IF(CG56=0,0,INDEX(SUP_C3_EXPANSION!$J$20:$J$59,CG56))*SUP_OPEX!$F$15+IF(CG56=0,0,INDEX(SUP_C3_EXPANSION!$H$20:$H$59,CG56))*SUP_OPEX!$D$20+IF(CG56=0,0,INDEX(SUP_C3_EXPANSION!$I$20:$I$59,CG56))*SUP_OPEX!$E$20+IF(CG56=0,0,INDEX(SUP_C3_EXPANSION!$J$20:$J$59,CG56))*SUP_OPEX!$F$20)</f>
        <v>203610</v>
      </c>
      <c r="CH43" s="77">
        <f>IF(CH56=0,0,IF(CH56=0,0,INDEX(SUP_C3_EXPANSION!$H$20:$H$59,CH56))*SUP_OPEX!$D$15+IF(CH56=0,0,INDEX(SUP_C3_EXPANSION!$I$20:$I$59,CH56))*SUP_OPEX!$E$15+IF(CH56=0,0,INDEX(SUP_C3_EXPANSION!$J$20:$J$59,CH56))*SUP_OPEX!$F$15+IF(CH56=0,0,INDEX(SUP_C3_EXPANSION!$H$20:$H$59,CH56))*SUP_OPEX!$D$20+IF(CH56=0,0,INDEX(SUP_C3_EXPANSION!$I$20:$I$59,CH56))*SUP_OPEX!$E$20+IF(CH56=0,0,INDEX(SUP_C3_EXPANSION!$J$20:$J$59,CH56))*SUP_OPEX!$F$20)</f>
        <v>203610</v>
      </c>
      <c r="CI43" s="77">
        <f>IF(CI56=0,0,IF(CI56=0,0,INDEX(SUP_C3_EXPANSION!$H$20:$H$59,CI56))*SUP_OPEX!$D$15+IF(CI56=0,0,INDEX(SUP_C3_EXPANSION!$I$20:$I$59,CI56))*SUP_OPEX!$E$15+IF(CI56=0,0,INDEX(SUP_C3_EXPANSION!$J$20:$J$59,CI56))*SUP_OPEX!$F$15+IF(CI56=0,0,INDEX(SUP_C3_EXPANSION!$H$20:$H$59,CI56))*SUP_OPEX!$D$20+IF(CI56=0,0,INDEX(SUP_C3_EXPANSION!$I$20:$I$59,CI56))*SUP_OPEX!$E$20+IF(CI56=0,0,INDEX(SUP_C3_EXPANSION!$J$20:$J$59,CI56))*SUP_OPEX!$F$20)</f>
        <v>203610</v>
      </c>
      <c r="CJ43" s="77">
        <f>IF(CJ56=0,0,IF(CJ56=0,0,INDEX(SUP_C3_EXPANSION!$H$20:$H$59,CJ56))*SUP_OPEX!$D$15+IF(CJ56=0,0,INDEX(SUP_C3_EXPANSION!$I$20:$I$59,CJ56))*SUP_OPEX!$E$15+IF(CJ56=0,0,INDEX(SUP_C3_EXPANSION!$J$20:$J$59,CJ56))*SUP_OPEX!$F$15+IF(CJ56=0,0,INDEX(SUP_C3_EXPANSION!$H$20:$H$59,CJ56))*SUP_OPEX!$D$20+IF(CJ56=0,0,INDEX(SUP_C3_EXPANSION!$I$20:$I$59,CJ56))*SUP_OPEX!$E$20+IF(CJ56=0,0,INDEX(SUP_C3_EXPANSION!$J$20:$J$59,CJ56))*SUP_OPEX!$F$20)</f>
        <v>203610</v>
      </c>
      <c r="CK43" s="77">
        <f>IF(CK56=0,0,IF(CK56=0,0,INDEX(SUP_C3_EXPANSION!$H$20:$H$59,CK56))*SUP_OPEX!$D$15+IF(CK56=0,0,INDEX(SUP_C3_EXPANSION!$I$20:$I$59,CK56))*SUP_OPEX!$E$15+IF(CK56=0,0,INDEX(SUP_C3_EXPANSION!$J$20:$J$59,CK56))*SUP_OPEX!$F$15+IF(CK56=0,0,INDEX(SUP_C3_EXPANSION!$H$20:$H$59,CK56))*SUP_OPEX!$D$20+IF(CK56=0,0,INDEX(SUP_C3_EXPANSION!$I$20:$I$59,CK56))*SUP_OPEX!$E$20+IF(CK56=0,0,INDEX(SUP_C3_EXPANSION!$J$20:$J$59,CK56))*SUP_OPEX!$F$20)</f>
        <v>203610</v>
      </c>
      <c r="CL43" s="77">
        <f>IF(CL56=0,0,IF(CL56=0,0,INDEX(SUP_C3_EXPANSION!$H$20:$H$59,CL56))*SUP_OPEX!$D$15+IF(CL56=0,0,INDEX(SUP_C3_EXPANSION!$I$20:$I$59,CL56))*SUP_OPEX!$E$15+IF(CL56=0,0,INDEX(SUP_C3_EXPANSION!$J$20:$J$59,CL56))*SUP_OPEX!$F$15+IF(CL56=0,0,INDEX(SUP_C3_EXPANSION!$H$20:$H$59,CL56))*SUP_OPEX!$D$20+IF(CL56=0,0,INDEX(SUP_C3_EXPANSION!$I$20:$I$59,CL56))*SUP_OPEX!$E$20+IF(CL56=0,0,INDEX(SUP_C3_EXPANSION!$J$20:$J$59,CL56))*SUP_OPEX!$F$20)</f>
        <v>203610</v>
      </c>
      <c r="CM43" s="77">
        <f>IF(CM56=0,0,IF(CM56=0,0,INDEX(SUP_C3_EXPANSION!$H$20:$H$59,CM56))*SUP_OPEX!$D$15+IF(CM56=0,0,INDEX(SUP_C3_EXPANSION!$I$20:$I$59,CM56))*SUP_OPEX!$E$15+IF(CM56=0,0,INDEX(SUP_C3_EXPANSION!$J$20:$J$59,CM56))*SUP_OPEX!$F$15+IF(CM56=0,0,INDEX(SUP_C3_EXPANSION!$H$20:$H$59,CM56))*SUP_OPEX!$D$20+IF(CM56=0,0,INDEX(SUP_C3_EXPANSION!$I$20:$I$59,CM56))*SUP_OPEX!$E$20+IF(CM56=0,0,INDEX(SUP_C3_EXPANSION!$J$20:$J$59,CM56))*SUP_OPEX!$F$20)</f>
        <v>203610</v>
      </c>
      <c r="CN43" s="77">
        <f>IF(CN56=0,0,IF(CN56=0,0,INDEX(SUP_C3_EXPANSION!$H$20:$H$59,CN56))*SUP_OPEX!$D$15+IF(CN56=0,0,INDEX(SUP_C3_EXPANSION!$I$20:$I$59,CN56))*SUP_OPEX!$E$15+IF(CN56=0,0,INDEX(SUP_C3_EXPANSION!$J$20:$J$59,CN56))*SUP_OPEX!$F$15+IF(CN56=0,0,INDEX(SUP_C3_EXPANSION!$H$20:$H$59,CN56))*SUP_OPEX!$D$20+IF(CN56=0,0,INDEX(SUP_C3_EXPANSION!$I$20:$I$59,CN56))*SUP_OPEX!$E$20+IF(CN56=0,0,INDEX(SUP_C3_EXPANSION!$J$20:$J$59,CN56))*SUP_OPEX!$F$20)</f>
        <v>203610</v>
      </c>
      <c r="CO43" s="77">
        <f>IF(CO56=0,0,IF(CO56=0,0,INDEX(SUP_C3_EXPANSION!$H$20:$H$59,CO56))*SUP_OPEX!$D$15+IF(CO56=0,0,INDEX(SUP_C3_EXPANSION!$I$20:$I$59,CO56))*SUP_OPEX!$E$15+IF(CO56=0,0,INDEX(SUP_C3_EXPANSION!$J$20:$J$59,CO56))*SUP_OPEX!$F$15+IF(CO56=0,0,INDEX(SUP_C3_EXPANSION!$H$20:$H$59,CO56))*SUP_OPEX!$D$20+IF(CO56=0,0,INDEX(SUP_C3_EXPANSION!$I$20:$I$59,CO56))*SUP_OPEX!$E$20+IF(CO56=0,0,INDEX(SUP_C3_EXPANSION!$J$20:$J$59,CO56))*SUP_OPEX!$F$20)</f>
        <v>203610</v>
      </c>
      <c r="CP43" s="77">
        <f>IF(CP56=0,0,IF(CP56=0,0,INDEX(SUP_C3_EXPANSION!$H$20:$H$59,CP56))*SUP_OPEX!$D$15+IF(CP56=0,0,INDEX(SUP_C3_EXPANSION!$I$20:$I$59,CP56))*SUP_OPEX!$E$15+IF(CP56=0,0,INDEX(SUP_C3_EXPANSION!$J$20:$J$59,CP56))*SUP_OPEX!$F$15+IF(CP56=0,0,INDEX(SUP_C3_EXPANSION!$H$20:$H$59,CP56))*SUP_OPEX!$D$20+IF(CP56=0,0,INDEX(SUP_C3_EXPANSION!$I$20:$I$59,CP56))*SUP_OPEX!$E$20+IF(CP56=0,0,INDEX(SUP_C3_EXPANSION!$J$20:$J$59,CP56))*SUP_OPEX!$F$20)</f>
        <v>203610</v>
      </c>
      <c r="CQ43" s="77">
        <f>IF(CQ56=0,0,IF(CQ56=0,0,INDEX(SUP_C3_EXPANSION!$H$20:$H$59,CQ56))*SUP_OPEX!$D$15+IF(CQ56=0,0,INDEX(SUP_C3_EXPANSION!$I$20:$I$59,CQ56))*SUP_OPEX!$E$15+IF(CQ56=0,0,INDEX(SUP_C3_EXPANSION!$J$20:$J$59,CQ56))*SUP_OPEX!$F$15+IF(CQ56=0,0,INDEX(SUP_C3_EXPANSION!$H$20:$H$59,CQ56))*SUP_OPEX!$D$20+IF(CQ56=0,0,INDEX(SUP_C3_EXPANSION!$I$20:$I$59,CQ56))*SUP_OPEX!$E$20+IF(CQ56=0,0,INDEX(SUP_C3_EXPANSION!$J$20:$J$59,CQ56))*SUP_OPEX!$F$20)</f>
        <v>203610</v>
      </c>
      <c r="CR43" s="77">
        <f>IF(CR56=0,0,IF(CR56=0,0,INDEX(SUP_C3_EXPANSION!$H$20:$H$59,CR56))*SUP_OPEX!$D$15+IF(CR56=0,0,INDEX(SUP_C3_EXPANSION!$I$20:$I$59,CR56))*SUP_OPEX!$E$15+IF(CR56=0,0,INDEX(SUP_C3_EXPANSION!$J$20:$J$59,CR56))*SUP_OPEX!$F$15+IF(CR56=0,0,INDEX(SUP_C3_EXPANSION!$H$20:$H$59,CR56))*SUP_OPEX!$D$20+IF(CR56=0,0,INDEX(SUP_C3_EXPANSION!$I$20:$I$59,CR56))*SUP_OPEX!$E$20+IF(CR56=0,0,INDEX(SUP_C3_EXPANSION!$J$20:$J$59,CR56))*SUP_OPEX!$F$20)</f>
        <v>203610</v>
      </c>
      <c r="CS43" s="77">
        <f>IF(CS56=0,0,IF(CS56=0,0,INDEX(SUP_C3_EXPANSION!$H$20:$H$59,CS56))*SUP_OPEX!$D$15+IF(CS56=0,0,INDEX(SUP_C3_EXPANSION!$I$20:$I$59,CS56))*SUP_OPEX!$E$15+IF(CS56=0,0,INDEX(SUP_C3_EXPANSION!$J$20:$J$59,CS56))*SUP_OPEX!$F$15+IF(CS56=0,0,INDEX(SUP_C3_EXPANSION!$H$20:$H$59,CS56))*SUP_OPEX!$D$20+IF(CS56=0,0,INDEX(SUP_C3_EXPANSION!$I$20:$I$59,CS56))*SUP_OPEX!$E$20+IF(CS56=0,0,INDEX(SUP_C3_EXPANSION!$J$20:$J$59,CS56))*SUP_OPEX!$F$20)</f>
        <v>203610</v>
      </c>
      <c r="CT43" s="77">
        <f>IF(CT56=0,0,IF(CT56=0,0,INDEX(SUP_C3_EXPANSION!$H$20:$H$59,CT56))*SUP_OPEX!$D$15+IF(CT56=0,0,INDEX(SUP_C3_EXPANSION!$I$20:$I$59,CT56))*SUP_OPEX!$E$15+IF(CT56=0,0,INDEX(SUP_C3_EXPANSION!$J$20:$J$59,CT56))*SUP_OPEX!$F$15+IF(CT56=0,0,INDEX(SUP_C3_EXPANSION!$H$20:$H$59,CT56))*SUP_OPEX!$D$20+IF(CT56=0,0,INDEX(SUP_C3_EXPANSION!$I$20:$I$59,CT56))*SUP_OPEX!$E$20+IF(CT56=0,0,INDEX(SUP_C3_EXPANSION!$J$20:$J$59,CT56))*SUP_OPEX!$F$20)</f>
        <v>203610</v>
      </c>
      <c r="CU43" s="77">
        <f>IF(CU56=0,0,IF(CU56=0,0,INDEX(SUP_C3_EXPANSION!$H$20:$H$59,CU56))*SUP_OPEX!$D$15+IF(CU56=0,0,INDEX(SUP_C3_EXPANSION!$I$20:$I$59,CU56))*SUP_OPEX!$E$15+IF(CU56=0,0,INDEX(SUP_C3_EXPANSION!$J$20:$J$59,CU56))*SUP_OPEX!$F$15+IF(CU56=0,0,INDEX(SUP_C3_EXPANSION!$H$20:$H$59,CU56))*SUP_OPEX!$D$20+IF(CU56=0,0,INDEX(SUP_C3_EXPANSION!$I$20:$I$59,CU56))*SUP_OPEX!$E$20+IF(CU56=0,0,INDEX(SUP_C3_EXPANSION!$J$20:$J$59,CU56))*SUP_OPEX!$F$20)</f>
        <v>203610</v>
      </c>
      <c r="CV43" s="77">
        <f>IF(CV56=0,0,IF(CV56=0,0,INDEX(SUP_C3_EXPANSION!$H$20:$H$59,CV56))*SUP_OPEX!$D$15+IF(CV56=0,0,INDEX(SUP_C3_EXPANSION!$I$20:$I$59,CV56))*SUP_OPEX!$E$15+IF(CV56=0,0,INDEX(SUP_C3_EXPANSION!$J$20:$J$59,CV56))*SUP_OPEX!$F$15+IF(CV56=0,0,INDEX(SUP_C3_EXPANSION!$H$20:$H$59,CV56))*SUP_OPEX!$D$20+IF(CV56=0,0,INDEX(SUP_C3_EXPANSION!$I$20:$I$59,CV56))*SUP_OPEX!$E$20+IF(CV56=0,0,INDEX(SUP_C3_EXPANSION!$J$20:$J$59,CV56))*SUP_OPEX!$F$20)</f>
        <v>203610</v>
      </c>
      <c r="CW43" s="77">
        <f>IF(CW56=0,0,IF(CW56=0,0,INDEX(SUP_C3_EXPANSION!$H$20:$H$59,CW56))*SUP_OPEX!$D$15+IF(CW56=0,0,INDEX(SUP_C3_EXPANSION!$I$20:$I$59,CW56))*SUP_OPEX!$E$15+IF(CW56=0,0,INDEX(SUP_C3_EXPANSION!$J$20:$J$59,CW56))*SUP_OPEX!$F$15+IF(CW56=0,0,INDEX(SUP_C3_EXPANSION!$H$20:$H$59,CW56))*SUP_OPEX!$D$20+IF(CW56=0,0,INDEX(SUP_C3_EXPANSION!$I$20:$I$59,CW56))*SUP_OPEX!$E$20+IF(CW56=0,0,INDEX(SUP_C3_EXPANSION!$J$20:$J$59,CW56))*SUP_OPEX!$F$20)</f>
        <v>203610</v>
      </c>
      <c r="CX43" s="77">
        <f>IF(CX56=0,0,IF(CX56=0,0,INDEX(SUP_C3_EXPANSION!$H$20:$H$59,CX56))*SUP_OPEX!$D$15+IF(CX56=0,0,INDEX(SUP_C3_EXPANSION!$I$20:$I$59,CX56))*SUP_OPEX!$E$15+IF(CX56=0,0,INDEX(SUP_C3_EXPANSION!$J$20:$J$59,CX56))*SUP_OPEX!$F$15+IF(CX56=0,0,INDEX(SUP_C3_EXPANSION!$H$20:$H$59,CX56))*SUP_OPEX!$D$20+IF(CX56=0,0,INDEX(SUP_C3_EXPANSION!$I$20:$I$59,CX56))*SUP_OPEX!$E$20+IF(CX56=0,0,INDEX(SUP_C3_EXPANSION!$J$20:$J$59,CX56))*SUP_OPEX!$F$20)</f>
        <v>203610</v>
      </c>
      <c r="CY43" s="77">
        <f>IF(CY56=0,0,IF(CY56=0,0,INDEX(SUP_C3_EXPANSION!$H$20:$H$59,CY56))*SUP_OPEX!$D$15+IF(CY56=0,0,INDEX(SUP_C3_EXPANSION!$I$20:$I$59,CY56))*SUP_OPEX!$E$15+IF(CY56=0,0,INDEX(SUP_C3_EXPANSION!$J$20:$J$59,CY56))*SUP_OPEX!$F$15+IF(CY56=0,0,INDEX(SUP_C3_EXPANSION!$H$20:$H$59,CY56))*SUP_OPEX!$D$20+IF(CY56=0,0,INDEX(SUP_C3_EXPANSION!$I$20:$I$59,CY56))*SUP_OPEX!$E$20+IF(CY56=0,0,INDEX(SUP_C3_EXPANSION!$J$20:$J$59,CY56))*SUP_OPEX!$F$20)</f>
        <v>203610</v>
      </c>
      <c r="CZ43" s="77">
        <f>IF(CZ56=0,0,IF(CZ56=0,0,INDEX(SUP_C3_EXPANSION!$H$20:$H$59,CZ56))*SUP_OPEX!$D$15+IF(CZ56=0,0,INDEX(SUP_C3_EXPANSION!$I$20:$I$59,CZ56))*SUP_OPEX!$E$15+IF(CZ56=0,0,INDEX(SUP_C3_EXPANSION!$J$20:$J$59,CZ56))*SUP_OPEX!$F$15+IF(CZ56=0,0,INDEX(SUP_C3_EXPANSION!$H$20:$H$59,CZ56))*SUP_OPEX!$D$20+IF(CZ56=0,0,INDEX(SUP_C3_EXPANSION!$I$20:$I$59,CZ56))*SUP_OPEX!$E$20+IF(CZ56=0,0,INDEX(SUP_C3_EXPANSION!$J$20:$J$59,CZ56))*SUP_OPEX!$F$20)</f>
        <v>203610</v>
      </c>
      <c r="DA43" s="77">
        <f>IF(DA56=0,0,IF(DA56=0,0,INDEX(SUP_C3_EXPANSION!$H$20:$H$59,DA56))*SUP_OPEX!$D$15+IF(DA56=0,0,INDEX(SUP_C3_EXPANSION!$I$20:$I$59,DA56))*SUP_OPEX!$E$15+IF(DA56=0,0,INDEX(SUP_C3_EXPANSION!$J$20:$J$59,DA56))*SUP_OPEX!$F$15+IF(DA56=0,0,INDEX(SUP_C3_EXPANSION!$H$20:$H$59,DA56))*SUP_OPEX!$D$20+IF(DA56=0,0,INDEX(SUP_C3_EXPANSION!$I$20:$I$59,DA56))*SUP_OPEX!$E$20+IF(DA56=0,0,INDEX(SUP_C3_EXPANSION!$J$20:$J$59,DA56))*SUP_OPEX!$F$20)</f>
        <v>203610</v>
      </c>
      <c r="DB43" s="77">
        <f>IF(DB56=0,0,IF(DB56=0,0,INDEX(SUP_C3_EXPANSION!$H$20:$H$59,DB56))*SUP_OPEX!$D$15+IF(DB56=0,0,INDEX(SUP_C3_EXPANSION!$I$20:$I$59,DB56))*SUP_OPEX!$E$15+IF(DB56=0,0,INDEX(SUP_C3_EXPANSION!$J$20:$J$59,DB56))*SUP_OPEX!$F$15+IF(DB56=0,0,INDEX(SUP_C3_EXPANSION!$H$20:$H$59,DB56))*SUP_OPEX!$D$20+IF(DB56=0,0,INDEX(SUP_C3_EXPANSION!$I$20:$I$59,DB56))*SUP_OPEX!$E$20+IF(DB56=0,0,INDEX(SUP_C3_EXPANSION!$J$20:$J$59,DB56))*SUP_OPEX!$F$20)</f>
        <v>203610</v>
      </c>
      <c r="DC43" s="77">
        <f>IF(DC56=0,0,IF(DC56=0,0,INDEX(SUP_C3_EXPANSION!$H$20:$H$59,DC56))*SUP_OPEX!$D$15+IF(DC56=0,0,INDEX(SUP_C3_EXPANSION!$I$20:$I$59,DC56))*SUP_OPEX!$E$15+IF(DC56=0,0,INDEX(SUP_C3_EXPANSION!$J$20:$J$59,DC56))*SUP_OPEX!$F$15+IF(DC56=0,0,INDEX(SUP_C3_EXPANSION!$H$20:$H$59,DC56))*SUP_OPEX!$D$20+IF(DC56=0,0,INDEX(SUP_C3_EXPANSION!$I$20:$I$59,DC56))*SUP_OPEX!$E$20+IF(DC56=0,0,INDEX(SUP_C3_EXPANSION!$J$20:$J$59,DC56))*SUP_OPEX!$F$20)</f>
        <v>203610</v>
      </c>
      <c r="DD43" s="77">
        <f>IF(DD56=0,0,IF(DD56=0,0,INDEX(SUP_C3_EXPANSION!$H$20:$H$59,DD56))*SUP_OPEX!$D$15+IF(DD56=0,0,INDEX(SUP_C3_EXPANSION!$I$20:$I$59,DD56))*SUP_OPEX!$E$15+IF(DD56=0,0,INDEX(SUP_C3_EXPANSION!$J$20:$J$59,DD56))*SUP_OPEX!$F$15+IF(DD56=0,0,INDEX(SUP_C3_EXPANSION!$H$20:$H$59,DD56))*SUP_OPEX!$D$20+IF(DD56=0,0,INDEX(SUP_C3_EXPANSION!$I$20:$I$59,DD56))*SUP_OPEX!$E$20+IF(DD56=0,0,INDEX(SUP_C3_EXPANSION!$J$20:$J$59,DD56))*SUP_OPEX!$F$20)</f>
        <v>203610</v>
      </c>
      <c r="DE43" s="77">
        <f>IF(DE56=0,0,IF(DE56=0,0,INDEX(SUP_C3_EXPANSION!$H$20:$H$59,DE56))*SUP_OPEX!$D$15+IF(DE56=0,0,INDEX(SUP_C3_EXPANSION!$I$20:$I$59,DE56))*SUP_OPEX!$E$15+IF(DE56=0,0,INDEX(SUP_C3_EXPANSION!$J$20:$J$59,DE56))*SUP_OPEX!$F$15+IF(DE56=0,0,INDEX(SUP_C3_EXPANSION!$H$20:$H$59,DE56))*SUP_OPEX!$D$20+IF(DE56=0,0,INDEX(SUP_C3_EXPANSION!$I$20:$I$59,DE56))*SUP_OPEX!$E$20+IF(DE56=0,0,INDEX(SUP_C3_EXPANSION!$J$20:$J$59,DE56))*SUP_OPEX!$F$20)</f>
        <v>203610</v>
      </c>
      <c r="DF43" s="77">
        <f>IF(DF56=0,0,IF(DF56=0,0,INDEX(SUP_C3_EXPANSION!$H$20:$H$59,DF56))*SUP_OPEX!$D$15+IF(DF56=0,0,INDEX(SUP_C3_EXPANSION!$I$20:$I$59,DF56))*SUP_OPEX!$E$15+IF(DF56=0,0,INDEX(SUP_C3_EXPANSION!$J$20:$J$59,DF56))*SUP_OPEX!$F$15+IF(DF56=0,0,INDEX(SUP_C3_EXPANSION!$H$20:$H$59,DF56))*SUP_OPEX!$D$20+IF(DF56=0,0,INDEX(SUP_C3_EXPANSION!$I$20:$I$59,DF56))*SUP_OPEX!$E$20+IF(DF56=0,0,INDEX(SUP_C3_EXPANSION!$J$20:$J$59,DF56))*SUP_OPEX!$F$20)</f>
        <v>203610</v>
      </c>
      <c r="DG43" s="77">
        <f>IF(DG56=0,0,IF(DG56=0,0,INDEX(SUP_C3_EXPANSION!$H$20:$H$59,DG56))*SUP_OPEX!$D$15+IF(DG56=0,0,INDEX(SUP_C3_EXPANSION!$I$20:$I$59,DG56))*SUP_OPEX!$E$15+IF(DG56=0,0,INDEX(SUP_C3_EXPANSION!$J$20:$J$59,DG56))*SUP_OPEX!$F$15+IF(DG56=0,0,INDEX(SUP_C3_EXPANSION!$H$20:$H$59,DG56))*SUP_OPEX!$D$20+IF(DG56=0,0,INDEX(SUP_C3_EXPANSION!$I$20:$I$59,DG56))*SUP_OPEX!$E$20+IF(DG56=0,0,INDEX(SUP_C3_EXPANSION!$J$20:$J$59,DG56))*SUP_OPEX!$F$20)</f>
        <v>203610</v>
      </c>
      <c r="DH43" s="77">
        <f>IF(DH56=0,0,IF(DH56=0,0,INDEX(SUP_C3_EXPANSION!$H$20:$H$59,DH56))*SUP_OPEX!$D$15+IF(DH56=0,0,INDEX(SUP_C3_EXPANSION!$I$20:$I$59,DH56))*SUP_OPEX!$E$15+IF(DH56=0,0,INDEX(SUP_C3_EXPANSION!$J$20:$J$59,DH56))*SUP_OPEX!$F$15+IF(DH56=0,0,INDEX(SUP_C3_EXPANSION!$H$20:$H$59,DH56))*SUP_OPEX!$D$20+IF(DH56=0,0,INDEX(SUP_C3_EXPANSION!$I$20:$I$59,DH56))*SUP_OPEX!$E$20+IF(DH56=0,0,INDEX(SUP_C3_EXPANSION!$J$20:$J$59,DH56))*SUP_OPEX!$F$20)</f>
        <v>203610</v>
      </c>
      <c r="DI43" s="77">
        <f>IF(DI56=0,0,IF(DI56=0,0,INDEX(SUP_C3_EXPANSION!$H$20:$H$59,DI56))*SUP_OPEX!$D$15+IF(DI56=0,0,INDEX(SUP_C3_EXPANSION!$I$20:$I$59,DI56))*SUP_OPEX!$E$15+IF(DI56=0,0,INDEX(SUP_C3_EXPANSION!$J$20:$J$59,DI56))*SUP_OPEX!$F$15+IF(DI56=0,0,INDEX(SUP_C3_EXPANSION!$H$20:$H$59,DI56))*SUP_OPEX!$D$20+IF(DI56=0,0,INDEX(SUP_C3_EXPANSION!$I$20:$I$59,DI56))*SUP_OPEX!$E$20+IF(DI56=0,0,INDEX(SUP_C3_EXPANSION!$J$20:$J$59,DI56))*SUP_OPEX!$F$20)</f>
        <v>203610</v>
      </c>
      <c r="DJ43" s="77">
        <f>IF(DJ56=0,0,IF(DJ56=0,0,INDEX(SUP_C3_EXPANSION!$H$20:$H$59,DJ56))*SUP_OPEX!$D$15+IF(DJ56=0,0,INDEX(SUP_C3_EXPANSION!$I$20:$I$59,DJ56))*SUP_OPEX!$E$15+IF(DJ56=0,0,INDEX(SUP_C3_EXPANSION!$J$20:$J$59,DJ56))*SUP_OPEX!$F$15+IF(DJ56=0,0,INDEX(SUP_C3_EXPANSION!$H$20:$H$59,DJ56))*SUP_OPEX!$D$20+IF(DJ56=0,0,INDEX(SUP_C3_EXPANSION!$I$20:$I$59,DJ56))*SUP_OPEX!$E$20+IF(DJ56=0,0,INDEX(SUP_C3_EXPANSION!$J$20:$J$59,DJ56))*SUP_OPEX!$F$20)</f>
        <v>203610</v>
      </c>
      <c r="DK43" s="77">
        <f>IF(DK56=0,0,IF(DK56=0,0,INDEX(SUP_C3_EXPANSION!$H$20:$H$59,DK56))*SUP_OPEX!$D$15+IF(DK56=0,0,INDEX(SUP_C3_EXPANSION!$I$20:$I$59,DK56))*SUP_OPEX!$E$15+IF(DK56=0,0,INDEX(SUP_C3_EXPANSION!$J$20:$J$59,DK56))*SUP_OPEX!$F$15+IF(DK56=0,0,INDEX(SUP_C3_EXPANSION!$H$20:$H$59,DK56))*SUP_OPEX!$D$20+IF(DK56=0,0,INDEX(SUP_C3_EXPANSION!$I$20:$I$59,DK56))*SUP_OPEX!$E$20+IF(DK56=0,0,INDEX(SUP_C3_EXPANSION!$J$20:$J$59,DK56))*SUP_OPEX!$F$20)</f>
        <v>203610</v>
      </c>
      <c r="DL43" s="77">
        <f>IF(DL56=0,0,IF(DL56=0,0,INDEX(SUP_C3_EXPANSION!$H$20:$H$59,DL56))*SUP_OPEX!$D$15+IF(DL56=0,0,INDEX(SUP_C3_EXPANSION!$I$20:$I$59,DL56))*SUP_OPEX!$E$15+IF(DL56=0,0,INDEX(SUP_C3_EXPANSION!$J$20:$J$59,DL56))*SUP_OPEX!$F$15+IF(DL56=0,0,INDEX(SUP_C3_EXPANSION!$H$20:$H$59,DL56))*SUP_OPEX!$D$20+IF(DL56=0,0,INDEX(SUP_C3_EXPANSION!$I$20:$I$59,DL56))*SUP_OPEX!$E$20+IF(DL56=0,0,INDEX(SUP_C3_EXPANSION!$J$20:$J$59,DL56))*SUP_OPEX!$F$20)</f>
        <v>203610</v>
      </c>
      <c r="DM43" s="77">
        <f>IF(DM56=0,0,IF(DM56=0,0,INDEX(SUP_C3_EXPANSION!$H$20:$H$59,DM56))*SUP_OPEX!$D$15+IF(DM56=0,0,INDEX(SUP_C3_EXPANSION!$I$20:$I$59,DM56))*SUP_OPEX!$E$15+IF(DM56=0,0,INDEX(SUP_C3_EXPANSION!$J$20:$J$59,DM56))*SUP_OPEX!$F$15+IF(DM56=0,0,INDEX(SUP_C3_EXPANSION!$H$20:$H$59,DM56))*SUP_OPEX!$D$20+IF(DM56=0,0,INDEX(SUP_C3_EXPANSION!$I$20:$I$59,DM56))*SUP_OPEX!$E$20+IF(DM56=0,0,INDEX(SUP_C3_EXPANSION!$J$20:$J$59,DM56))*SUP_OPEX!$F$20)</f>
        <v>203610</v>
      </c>
      <c r="DN43" s="77">
        <f>IF(DN56=0,0,IF(DN56=0,0,INDEX(SUP_C3_EXPANSION!$H$20:$H$59,DN56))*SUP_OPEX!$D$15+IF(DN56=0,0,INDEX(SUP_C3_EXPANSION!$I$20:$I$59,DN56))*SUP_OPEX!$E$15+IF(DN56=0,0,INDEX(SUP_C3_EXPANSION!$J$20:$J$59,DN56))*SUP_OPEX!$F$15+IF(DN56=0,0,INDEX(SUP_C3_EXPANSION!$H$20:$H$59,DN56))*SUP_OPEX!$D$20+IF(DN56=0,0,INDEX(SUP_C3_EXPANSION!$I$20:$I$59,DN56))*SUP_OPEX!$E$20+IF(DN56=0,0,INDEX(SUP_C3_EXPANSION!$J$20:$J$59,DN56))*SUP_OPEX!$F$20)</f>
        <v>203610</v>
      </c>
      <c r="DO43" s="77">
        <f>IF(DO56=0,0,IF(DO56=0,0,INDEX(SUP_C3_EXPANSION!$H$20:$H$59,DO56))*SUP_OPEX!$D$15+IF(DO56=0,0,INDEX(SUP_C3_EXPANSION!$I$20:$I$59,DO56))*SUP_OPEX!$E$15+IF(DO56=0,0,INDEX(SUP_C3_EXPANSION!$J$20:$J$59,DO56))*SUP_OPEX!$F$15+IF(DO56=0,0,INDEX(SUP_C3_EXPANSION!$H$20:$H$59,DO56))*SUP_OPEX!$D$20+IF(DO56=0,0,INDEX(SUP_C3_EXPANSION!$I$20:$I$59,DO56))*SUP_OPEX!$E$20+IF(DO56=0,0,INDEX(SUP_C3_EXPANSION!$J$20:$J$59,DO56))*SUP_OPEX!$F$20)</f>
        <v>203610</v>
      </c>
      <c r="DP43" s="77">
        <f>IF(DP56=0,0,IF(DP56=0,0,INDEX(SUP_C3_EXPANSION!$H$20:$H$59,DP56))*SUP_OPEX!$D$15+IF(DP56=0,0,INDEX(SUP_C3_EXPANSION!$I$20:$I$59,DP56))*SUP_OPEX!$E$15+IF(DP56=0,0,INDEX(SUP_C3_EXPANSION!$J$20:$J$59,DP56))*SUP_OPEX!$F$15+IF(DP56=0,0,INDEX(SUP_C3_EXPANSION!$H$20:$H$59,DP56))*SUP_OPEX!$D$20+IF(DP56=0,0,INDEX(SUP_C3_EXPANSION!$I$20:$I$59,DP56))*SUP_OPEX!$E$20+IF(DP56=0,0,INDEX(SUP_C3_EXPANSION!$J$20:$J$59,DP56))*SUP_OPEX!$F$20)</f>
        <v>203610</v>
      </c>
      <c r="DQ43" s="77">
        <f>IF(DQ56=0,0,IF(DQ56=0,0,INDEX(SUP_C3_EXPANSION!$H$20:$H$59,DQ56))*SUP_OPEX!$D$15+IF(DQ56=0,0,INDEX(SUP_C3_EXPANSION!$I$20:$I$59,DQ56))*SUP_OPEX!$E$15+IF(DQ56=0,0,INDEX(SUP_C3_EXPANSION!$J$20:$J$59,DQ56))*SUP_OPEX!$F$15+IF(DQ56=0,0,INDEX(SUP_C3_EXPANSION!$H$20:$H$59,DQ56))*SUP_OPEX!$D$20+IF(DQ56=0,0,INDEX(SUP_C3_EXPANSION!$I$20:$I$59,DQ56))*SUP_OPEX!$E$20+IF(DQ56=0,0,INDEX(SUP_C3_EXPANSION!$J$20:$J$59,DQ56))*SUP_OPEX!$F$20)</f>
        <v>203610</v>
      </c>
      <c r="DR43" s="77">
        <f>IF(DR56=0,0,IF(DR56=0,0,INDEX(SUP_C3_EXPANSION!$H$20:$H$59,DR56))*SUP_OPEX!$D$15+IF(DR56=0,0,INDEX(SUP_C3_EXPANSION!$I$20:$I$59,DR56))*SUP_OPEX!$E$15+IF(DR56=0,0,INDEX(SUP_C3_EXPANSION!$J$20:$J$59,DR56))*SUP_OPEX!$F$15+IF(DR56=0,0,INDEX(SUP_C3_EXPANSION!$H$20:$H$59,DR56))*SUP_OPEX!$D$20+IF(DR56=0,0,INDEX(SUP_C3_EXPANSION!$I$20:$I$59,DR56))*SUP_OPEX!$E$20+IF(DR56=0,0,INDEX(SUP_C3_EXPANSION!$J$20:$J$59,DR56))*SUP_OPEX!$F$20)</f>
        <v>203610</v>
      </c>
      <c r="DS43" s="77">
        <f>IF(DS56=0,0,IF(DS56=0,0,INDEX(SUP_C3_EXPANSION!$H$20:$H$59,DS56))*SUP_OPEX!$D$15+IF(DS56=0,0,INDEX(SUP_C3_EXPANSION!$I$20:$I$59,DS56))*SUP_OPEX!$E$15+IF(DS56=0,0,INDEX(SUP_C3_EXPANSION!$J$20:$J$59,DS56))*SUP_OPEX!$F$15+IF(DS56=0,0,INDEX(SUP_C3_EXPANSION!$H$20:$H$59,DS56))*SUP_OPEX!$D$20+IF(DS56=0,0,INDEX(SUP_C3_EXPANSION!$I$20:$I$59,DS56))*SUP_OPEX!$E$20+IF(DS56=0,0,INDEX(SUP_C3_EXPANSION!$J$20:$J$59,DS56))*SUP_OPEX!$F$20)</f>
        <v>203610</v>
      </c>
    </row>
    <row r="44" spans="1:123" ht="15" customHeight="1" x14ac:dyDescent="0.2">
      <c r="B44" s="37" t="s">
        <v>1838</v>
      </c>
      <c r="D44" s="77">
        <f>D41*PROD_DEMANDA!D16</f>
        <v>0</v>
      </c>
      <c r="E44" s="77">
        <f>E41*PROD_DEMANDA!E16</f>
        <v>0</v>
      </c>
      <c r="F44" s="77">
        <f>F41*PROD_DEMANDA!F16</f>
        <v>0</v>
      </c>
      <c r="G44" s="77">
        <f>G41*PROD_DEMANDA!G16</f>
        <v>0</v>
      </c>
      <c r="H44" s="77">
        <f>H41*PROD_DEMANDA!H16</f>
        <v>0</v>
      </c>
      <c r="I44" s="77">
        <f>I41*PROD_DEMANDA!I16</f>
        <v>0</v>
      </c>
      <c r="J44" s="77">
        <f>J41*PROD_DEMANDA!J16</f>
        <v>0</v>
      </c>
      <c r="K44" s="77">
        <f>K41*PROD_DEMANDA!K16</f>
        <v>0</v>
      </c>
      <c r="L44" s="77">
        <f>L41*PROD_DEMANDA!L16</f>
        <v>0</v>
      </c>
      <c r="M44" s="77">
        <f>M41*PROD_DEMANDA!M16</f>
        <v>0</v>
      </c>
      <c r="N44" s="77">
        <f>N41*PROD_DEMANDA!N16</f>
        <v>0</v>
      </c>
      <c r="O44" s="77">
        <f>O41*PROD_DEMANDA!O16</f>
        <v>0</v>
      </c>
      <c r="P44" s="77">
        <f>P41*PROD_DEMANDA!P16</f>
        <v>0</v>
      </c>
      <c r="Q44" s="77">
        <f>Q41*PROD_DEMANDA!Q16</f>
        <v>0</v>
      </c>
      <c r="R44" s="77">
        <f>R41*PROD_DEMANDA!R16</f>
        <v>0</v>
      </c>
      <c r="S44" s="77">
        <f>S41*PROD_DEMANDA!S16</f>
        <v>0</v>
      </c>
      <c r="T44" s="77">
        <f>T41*PROD_DEMANDA!T16</f>
        <v>262.62600000000003</v>
      </c>
      <c r="U44" s="77">
        <f>U41*PROD_DEMANDA!U16</f>
        <v>323.23200000000003</v>
      </c>
      <c r="V44" s="77">
        <f>V41*PROD_DEMANDA!V16</f>
        <v>626.26200000000006</v>
      </c>
      <c r="W44" s="77">
        <f>W41*PROD_DEMANDA!W16</f>
        <v>989.89800000000014</v>
      </c>
      <c r="X44" s="77">
        <f>X41*PROD_DEMANDA!X16</f>
        <v>1090.9080000000001</v>
      </c>
      <c r="Y44" s="77">
        <f>Y41*PROD_DEMANDA!Y16</f>
        <v>1171.7159999999999</v>
      </c>
      <c r="Z44" s="77">
        <f>Z41*PROD_DEMANDA!Z16</f>
        <v>1212.1199999999999</v>
      </c>
      <c r="AA44" s="77">
        <f>AA41*PROD_DEMANDA!AA16</f>
        <v>1626.4804316546761</v>
      </c>
      <c r="AB44" s="77">
        <f>AB41*PROD_DEMANDA!AB16</f>
        <v>1626.4804316546761</v>
      </c>
      <c r="AC44" s="77">
        <f>AC41*PROD_DEMANDA!AC16</f>
        <v>1626.4804316546761</v>
      </c>
      <c r="AD44" s="77">
        <f>AD41*PROD_DEMANDA!AD16</f>
        <v>1586.690754091238</v>
      </c>
      <c r="AE44" s="77">
        <f>AE41*PROD_DEMANDA!AE16</f>
        <v>1586.690754091238</v>
      </c>
      <c r="AF44" s="77">
        <f>AF41*PROD_DEMANDA!AF16</f>
        <v>1933.7437565088126</v>
      </c>
      <c r="AG44" s="77">
        <f>AG41*PROD_DEMANDA!AG16</f>
        <v>2249.8282072971979</v>
      </c>
      <c r="AH44" s="77">
        <f>AH41*PROD_DEMANDA!AH16</f>
        <v>2348.5655171005096</v>
      </c>
      <c r="AI44" s="77">
        <f>AI41*PROD_DEMANDA!AI16</f>
        <v>2641.7184045874683</v>
      </c>
      <c r="AJ44" s="77">
        <f>AJ41*PROD_DEMANDA!AJ16</f>
        <v>2917.6818266728756</v>
      </c>
      <c r="AK44" s="77">
        <f>AK41*PROD_DEMANDA!AK16</f>
        <v>2990.5342472583379</v>
      </c>
      <c r="AL44" s="77">
        <f>AL41*PROD_DEMANDA!AL16</f>
        <v>2994.6928828197015</v>
      </c>
      <c r="AM44" s="77">
        <f>AM41*PROD_DEMANDA!AM16</f>
        <v>3249.9569982860744</v>
      </c>
      <c r="AN44" s="77">
        <f>AN41*PROD_DEMANDA!AN16</f>
        <v>3462.9921160163203</v>
      </c>
      <c r="AO44" s="77">
        <f>AO41*PROD_DEMANDA!AO16</f>
        <v>3682.9550064683735</v>
      </c>
      <c r="AP44" s="77">
        <f>AP41*PROD_DEMANDA!AP16</f>
        <v>3911.0472269726793</v>
      </c>
      <c r="AQ44" s="77">
        <f>AQ41*PROD_DEMANDA!AQ16</f>
        <v>3985.2161950513237</v>
      </c>
      <c r="AR44" s="77">
        <f>AR41*PROD_DEMANDA!AR16</f>
        <v>4197.6117356359428</v>
      </c>
      <c r="AS44" s="77">
        <f>AS41*PROD_DEMANDA!AS16</f>
        <v>4255.2873312295842</v>
      </c>
      <c r="AT44" s="77">
        <f>AT41*PROD_DEMANDA!AT16</f>
        <v>4403.3543718299798</v>
      </c>
      <c r="AU44" s="77">
        <f>AU41*PROD_DEMANDA!AU16</f>
        <v>4572.1427111588464</v>
      </c>
      <c r="AV44" s="77">
        <f>AV41*PROD_DEMANDA!AV16</f>
        <v>4616.1855786557062</v>
      </c>
      <c r="AW44" s="77">
        <f>AW41*PROD_DEMANDA!AW16</f>
        <v>7123.8472970601933</v>
      </c>
      <c r="AX44" s="77">
        <f>AX41*PROD_DEMANDA!AX16</f>
        <v>7148.4370698358716</v>
      </c>
      <c r="AY44" s="77">
        <f>AY41*PROD_DEMANDA!AY16</f>
        <v>7148.4370698358716</v>
      </c>
      <c r="AZ44" s="77">
        <f>AZ41*PROD_DEMANDA!AZ16</f>
        <v>7148.4370698358716</v>
      </c>
      <c r="BA44" s="77">
        <f>BA41*PROD_DEMANDA!BA16</f>
        <v>7050.6975002340705</v>
      </c>
      <c r="BB44" s="77">
        <f>BB41*PROD_DEMANDA!BB16</f>
        <v>7050.6975002340705</v>
      </c>
      <c r="BC44" s="77">
        <f>BC41*PROD_DEMANDA!BC16</f>
        <v>7050.6975002340705</v>
      </c>
      <c r="BD44" s="77">
        <f>BD41*PROD_DEMANDA!BD16</f>
        <v>7357.0689361897375</v>
      </c>
      <c r="BE44" s="77">
        <f>BE41*PROD_DEMANDA!BE16</f>
        <v>7568.1506144598552</v>
      </c>
      <c r="BF44" s="77">
        <f>BF41*PROD_DEMANDA!BF16</f>
        <v>7737.5809196196706</v>
      </c>
      <c r="BG44" s="77">
        <f>BG41*PROD_DEMANDA!BG16</f>
        <v>7965.4660646439988</v>
      </c>
      <c r="BH44" s="77">
        <f>BH41*PROD_DEMANDA!BH16</f>
        <v>8160.9600995695982</v>
      </c>
      <c r="BI44" s="77">
        <f>BI41*PROD_DEMANDA!BI16</f>
        <v>8348.31049656709</v>
      </c>
      <c r="BJ44" s="77">
        <f>BJ41*PROD_DEMANDA!BJ16</f>
        <v>8556.4213415672366</v>
      </c>
      <c r="BK44" s="77">
        <f>BK41*PROD_DEMANDA!BK16</f>
        <v>8643.5050708195213</v>
      </c>
      <c r="BL44" s="77">
        <f>BL41*PROD_DEMANDA!BL16</f>
        <v>8808.8053785981865</v>
      </c>
      <c r="BM44" s="77">
        <f>BM41*PROD_DEMANDA!BM16</f>
        <v>8968.4884559961956</v>
      </c>
      <c r="BN44" s="77">
        <f>BN41*PROD_DEMANDA!BN16</f>
        <v>9147.2938205274531</v>
      </c>
      <c r="BO44" s="77">
        <f>BO41*PROD_DEMANDA!BO16</f>
        <v>9298.4288581051132</v>
      </c>
      <c r="BP44" s="77">
        <f>BP41*PROD_DEMANDA!BP16</f>
        <v>9373.8533920975387</v>
      </c>
      <c r="BQ44" s="77">
        <f>BQ41*PROD_DEMANDA!BQ16</f>
        <v>9513.8953141951679</v>
      </c>
      <c r="BR44" s="77">
        <f>BR41*PROD_DEMANDA!BR16</f>
        <v>9671.6692091854475</v>
      </c>
      <c r="BS44" s="77">
        <f>BS41*PROD_DEMANDA!BS16</f>
        <v>9887.5387441264465</v>
      </c>
      <c r="BT44" s="77">
        <f>BT41*PROD_DEMANDA!BT16</f>
        <v>10032.812304260973</v>
      </c>
      <c r="BU44" s="77">
        <f>BU41*PROD_DEMANDA!BU16</f>
        <v>10095.258958932169</v>
      </c>
      <c r="BV44" s="77">
        <f>BV41*PROD_DEMANDA!BV16</f>
        <v>10223.590702987523</v>
      </c>
      <c r="BW44" s="77">
        <f>BW41*PROD_DEMANDA!BW16</f>
        <v>10359.776345555558</v>
      </c>
      <c r="BX44" s="77">
        <f>BX41*PROD_DEMANDA!BX16</f>
        <v>10476.289995083302</v>
      </c>
      <c r="BY44" s="77">
        <f>BY41*PROD_DEMANDA!BY16</f>
        <v>10588.924240270475</v>
      </c>
      <c r="BZ44" s="77">
        <f>BZ41*PROD_DEMANDA!BZ16</f>
        <v>10716.804893332166</v>
      </c>
      <c r="CA44" s="77">
        <f>CA41*PROD_DEMANDA!CA16</f>
        <v>10856.248229273244</v>
      </c>
      <c r="CB44" s="77">
        <f>CB41*PROD_DEMANDA!CB16</f>
        <v>12670.580679700013</v>
      </c>
      <c r="CC44" s="77">
        <f>CC41*PROD_DEMANDA!CC16</f>
        <v>12722.943957185214</v>
      </c>
      <c r="CD44" s="77">
        <f>CD41*PROD_DEMANDA!CD16</f>
        <v>12747.885721955172</v>
      </c>
      <c r="CE44" s="77">
        <f>CE41*PROD_DEMANDA!CE16</f>
        <v>12758.700285653893</v>
      </c>
      <c r="CF44" s="77">
        <f>CF41*PROD_DEMANDA!CF16</f>
        <v>12758.700285653893</v>
      </c>
      <c r="CG44" s="77">
        <f>CG41*PROD_DEMANDA!CG16</f>
        <v>12758.700285653893</v>
      </c>
      <c r="CH44" s="77">
        <f>CH41*PROD_DEMANDA!CH16</f>
        <v>12758.700285653893</v>
      </c>
      <c r="CI44" s="77">
        <f>CI41*PROD_DEMANDA!CI16</f>
        <v>12758.700285653893</v>
      </c>
      <c r="CJ44" s="77">
        <f>CJ41*PROD_DEMANDA!CJ16</f>
        <v>12758.700285653893</v>
      </c>
      <c r="CK44" s="77">
        <f>CK41*PROD_DEMANDA!CK16</f>
        <v>12758.700285653893</v>
      </c>
      <c r="CL44" s="77">
        <f>CL41*PROD_DEMANDA!CL16</f>
        <v>12758.700285653893</v>
      </c>
      <c r="CM44" s="77">
        <f>CM41*PROD_DEMANDA!CM16</f>
        <v>12758.700285653893</v>
      </c>
      <c r="CN44" s="77">
        <f>CN41*PROD_DEMANDA!CN16</f>
        <v>12758.700285653893</v>
      </c>
      <c r="CO44" s="77">
        <f>CO41*PROD_DEMANDA!CO16</f>
        <v>12758.700285653893</v>
      </c>
      <c r="CP44" s="77">
        <f>CP41*PROD_DEMANDA!CP16</f>
        <v>12758.700285653893</v>
      </c>
      <c r="CQ44" s="77">
        <f>CQ41*PROD_DEMANDA!CQ16</f>
        <v>12758.700285653893</v>
      </c>
      <c r="CR44" s="77">
        <f>CR41*PROD_DEMANDA!CR16</f>
        <v>12758.700285653893</v>
      </c>
      <c r="CS44" s="77">
        <f>CS41*PROD_DEMANDA!CS16</f>
        <v>12758.700285653893</v>
      </c>
      <c r="CT44" s="77">
        <f>CT41*PROD_DEMANDA!CT16</f>
        <v>12758.700285653893</v>
      </c>
      <c r="CU44" s="77">
        <f>CU41*PROD_DEMANDA!CU16</f>
        <v>12758.700285653893</v>
      </c>
      <c r="CV44" s="77">
        <f>CV41*PROD_DEMANDA!CV16</f>
        <v>12758.700285653893</v>
      </c>
      <c r="CW44" s="77">
        <f>CW41*PROD_DEMANDA!CW16</f>
        <v>12758.700285653893</v>
      </c>
      <c r="CX44" s="77">
        <f>CX41*PROD_DEMANDA!CX16</f>
        <v>12758.700285653893</v>
      </c>
      <c r="CY44" s="77">
        <f>CY41*PROD_DEMANDA!CY16</f>
        <v>12758.700285653893</v>
      </c>
      <c r="CZ44" s="77">
        <f>CZ41*PROD_DEMANDA!CZ16</f>
        <v>12758.700285653893</v>
      </c>
      <c r="DA44" s="77">
        <f>DA41*PROD_DEMANDA!DA16</f>
        <v>12758.700285653893</v>
      </c>
      <c r="DB44" s="77">
        <f>DB41*PROD_DEMANDA!DB16</f>
        <v>12758.700285653893</v>
      </c>
      <c r="DC44" s="77">
        <f>DC41*PROD_DEMANDA!DC16</f>
        <v>12758.700285653893</v>
      </c>
      <c r="DD44" s="77">
        <f>DD41*PROD_DEMANDA!DD16</f>
        <v>12758.700285653893</v>
      </c>
      <c r="DE44" s="77">
        <f>DE41*PROD_DEMANDA!DE16</f>
        <v>12758.700285653893</v>
      </c>
      <c r="DF44" s="77">
        <f>DF41*PROD_DEMANDA!DF16</f>
        <v>12758.700285653893</v>
      </c>
      <c r="DG44" s="77">
        <f>DG41*PROD_DEMANDA!DG16</f>
        <v>12758.700285653893</v>
      </c>
      <c r="DH44" s="77">
        <f>DH41*PROD_DEMANDA!DH16</f>
        <v>12758.700285653893</v>
      </c>
      <c r="DI44" s="77">
        <f>DI41*PROD_DEMANDA!DI16</f>
        <v>12758.700285653893</v>
      </c>
      <c r="DJ44" s="77">
        <f>DJ41*PROD_DEMANDA!DJ16</f>
        <v>12758.700285653893</v>
      </c>
      <c r="DK44" s="77">
        <f>DK41*PROD_DEMANDA!DK16</f>
        <v>12758.700285653893</v>
      </c>
      <c r="DL44" s="77">
        <f>DL41*PROD_DEMANDA!DL16</f>
        <v>12758.700285653893</v>
      </c>
      <c r="DM44" s="77">
        <f>DM41*PROD_DEMANDA!DM16</f>
        <v>12758.700285653893</v>
      </c>
      <c r="DN44" s="77">
        <f>DN41*PROD_DEMANDA!DN16</f>
        <v>12758.700285653893</v>
      </c>
      <c r="DO44" s="77">
        <f>DO41*PROD_DEMANDA!DO16</f>
        <v>12758.700285653893</v>
      </c>
      <c r="DP44" s="77">
        <f>DP41*PROD_DEMANDA!DP16</f>
        <v>12758.700285653893</v>
      </c>
      <c r="DQ44" s="77">
        <f>DQ41*PROD_DEMANDA!DQ16</f>
        <v>12758.700285653893</v>
      </c>
      <c r="DR44" s="77">
        <f>DR41*PROD_DEMANDA!DR16</f>
        <v>12758.700285653893</v>
      </c>
      <c r="DS44" s="77">
        <f>DS41*PROD_DEMANDA!DS16</f>
        <v>12758.700285653893</v>
      </c>
    </row>
    <row r="45" spans="1:123" ht="15" customHeight="1" x14ac:dyDescent="0.2">
      <c r="B45" s="37" t="s">
        <v>1936</v>
      </c>
      <c r="D45" s="77">
        <f>D41*PROD_DEMANDA!D18</f>
        <v>0</v>
      </c>
      <c r="E45" s="77">
        <f>E41*PROD_DEMANDA!E18</f>
        <v>0</v>
      </c>
      <c r="F45" s="77">
        <f>F41*PROD_DEMANDA!F18</f>
        <v>0</v>
      </c>
      <c r="G45" s="77">
        <f>G41*PROD_DEMANDA!G18</f>
        <v>0</v>
      </c>
      <c r="H45" s="77">
        <f>H41*PROD_DEMANDA!H18</f>
        <v>0</v>
      </c>
      <c r="I45" s="77">
        <f>I41*PROD_DEMANDA!I18</f>
        <v>0</v>
      </c>
      <c r="J45" s="77">
        <f>J41*PROD_DEMANDA!J18</f>
        <v>0</v>
      </c>
      <c r="K45" s="77">
        <f>K41*PROD_DEMANDA!K18</f>
        <v>0</v>
      </c>
      <c r="L45" s="77">
        <f>L41*PROD_DEMANDA!L18</f>
        <v>0</v>
      </c>
      <c r="M45" s="77">
        <f>M41*PROD_DEMANDA!M18</f>
        <v>0</v>
      </c>
      <c r="N45" s="77">
        <f>N41*PROD_DEMANDA!N18</f>
        <v>0</v>
      </c>
      <c r="O45" s="77">
        <f>O41*PROD_DEMANDA!O18</f>
        <v>0</v>
      </c>
      <c r="P45" s="77">
        <f>P41*PROD_DEMANDA!P18</f>
        <v>0</v>
      </c>
      <c r="Q45" s="77">
        <f>Q41*PROD_DEMANDA!Q18</f>
        <v>0</v>
      </c>
      <c r="R45" s="77">
        <f>R41*PROD_DEMANDA!R18</f>
        <v>0</v>
      </c>
      <c r="S45" s="77">
        <f>S41*PROD_DEMANDA!S18</f>
        <v>0</v>
      </c>
      <c r="T45" s="77">
        <f>T41*PROD_DEMANDA!T18</f>
        <v>703.49912932900429</v>
      </c>
      <c r="U45" s="77">
        <f>U41*PROD_DEMANDA!U18</f>
        <v>856.12583760683765</v>
      </c>
      <c r="V45" s="77">
        <f>V41*PROD_DEMANDA!V18</f>
        <v>1571.3950266064257</v>
      </c>
      <c r="W45" s="77">
        <f>W41*PROD_DEMANDA!W18</f>
        <v>2338.6144433520603</v>
      </c>
      <c r="X45" s="77">
        <f>X41*PROD_DEMANDA!X18</f>
        <v>2536.5571626838237</v>
      </c>
      <c r="Y45" s="77">
        <f>Y41*PROD_DEMANDA!Y18</f>
        <v>2690.6259628623184</v>
      </c>
      <c r="Z45" s="77">
        <f>Z41*PROD_DEMANDA!Z18</f>
        <v>2766.2884262589923</v>
      </c>
      <c r="AA45" s="77">
        <f>AA41*PROD_DEMANDA!AA18</f>
        <v>3631.7560521582732</v>
      </c>
      <c r="AB45" s="77">
        <f>AB41*PROD_DEMANDA!AB18</f>
        <v>3631.7560521582732</v>
      </c>
      <c r="AC45" s="77">
        <f>AC41*PROD_DEMANDA!AC18</f>
        <v>3631.7560521582732</v>
      </c>
      <c r="AD45" s="77">
        <f>AD41*PROD_DEMANDA!AD18</f>
        <v>3543.2073974837067</v>
      </c>
      <c r="AE45" s="77">
        <f>AE41*PROD_DEMANDA!AE18</f>
        <v>3543.2073974837067</v>
      </c>
      <c r="AF45" s="77">
        <f>AF41*PROD_DEMANDA!AF18</f>
        <v>4314.9247681275392</v>
      </c>
      <c r="AG45" s="77">
        <f>AG41*PROD_DEMANDA!AG18</f>
        <v>5016.4698201977235</v>
      </c>
      <c r="AH45" s="77">
        <f>AH41*PROD_DEMANDA!AH18</f>
        <v>5235.3372605263248</v>
      </c>
      <c r="AI45" s="77">
        <f>AI41*PROD_DEMANDA!AI18</f>
        <v>5884.3132329546879</v>
      </c>
      <c r="AJ45" s="77">
        <f>AJ41*PROD_DEMANDA!AJ18</f>
        <v>6493.9918204363084</v>
      </c>
      <c r="AK45" s="77">
        <f>AK41*PROD_DEMANDA!AK18</f>
        <v>6654.7272229649516</v>
      </c>
      <c r="AL45" s="77">
        <f>AL41*PROD_DEMANDA!AL18</f>
        <v>6663.8996657467233</v>
      </c>
      <c r="AM45" s="77">
        <f>AM41*PROD_DEMANDA!AM18</f>
        <v>7226.3166503022157</v>
      </c>
      <c r="AN45" s="77">
        <f>AN41*PROD_DEMANDA!AN18</f>
        <v>7694.7382535494962</v>
      </c>
      <c r="AO45" s="77">
        <f>AO41*PROD_DEMANDA!AO18</f>
        <v>8177.4192543939544</v>
      </c>
      <c r="AP45" s="77">
        <f>AP41*PROD_DEMANDA!AP18</f>
        <v>8676.8284536114988</v>
      </c>
      <c r="AQ45" s="77">
        <f>AQ41*PROD_DEMANDA!AQ18</f>
        <v>8838.9667413521547</v>
      </c>
      <c r="AR45" s="77">
        <f>AR41*PROD_DEMANDA!AR18</f>
        <v>9302.5546559115974</v>
      </c>
      <c r="AS45" s="77">
        <f>AS41*PROD_DEMANDA!AS18</f>
        <v>9428.2509757777352</v>
      </c>
      <c r="AT45" s="77">
        <f>AT41*PROD_DEMANDA!AT18</f>
        <v>9750.559940353718</v>
      </c>
      <c r="AU45" s="77">
        <f>AU41*PROD_DEMANDA!AU18</f>
        <v>10117.283406364839</v>
      </c>
      <c r="AV45" s="77">
        <f>AV41*PROD_DEMANDA!AV18</f>
        <v>10212.850532210185</v>
      </c>
      <c r="AW45" s="77">
        <f>AW41*PROD_DEMANDA!AW18</f>
        <v>14354.52253226834</v>
      </c>
      <c r="AX45" s="77">
        <f>AX41*PROD_DEMANDA!AX18</f>
        <v>14404.017032815895</v>
      </c>
      <c r="AY45" s="77">
        <f>AY41*PROD_DEMANDA!AY18</f>
        <v>14404.017032815895</v>
      </c>
      <c r="AZ45" s="77">
        <f>AZ41*PROD_DEMANDA!AZ18</f>
        <v>14404.017032815895</v>
      </c>
      <c r="BA45" s="77">
        <f>BA41*PROD_DEMANDA!BA18</f>
        <v>14207.282379064531</v>
      </c>
      <c r="BB45" s="77">
        <f>BB41*PROD_DEMANDA!BB18</f>
        <v>14207.282379064531</v>
      </c>
      <c r="BC45" s="77">
        <f>BC41*PROD_DEMANDA!BC18</f>
        <v>14207.282379064531</v>
      </c>
      <c r="BD45" s="77">
        <f>BD41*PROD_DEMANDA!BD18</f>
        <v>14823.927731509844</v>
      </c>
      <c r="BE45" s="77">
        <f>BE41*PROD_DEMANDA!BE18</f>
        <v>15248.721622830422</v>
      </c>
      <c r="BF45" s="77">
        <f>BF41*PROD_DEMANDA!BF18</f>
        <v>15589.657673807755</v>
      </c>
      <c r="BG45" s="77">
        <f>BG41*PROD_DEMANDA!BG18</f>
        <v>16048.166756125132</v>
      </c>
      <c r="BH45" s="77">
        <f>BH41*PROD_DEMANDA!BH18</f>
        <v>16441.454325994957</v>
      </c>
      <c r="BI45" s="77">
        <f>BI41*PROD_DEMANDA!BI18</f>
        <v>16818.313894706222</v>
      </c>
      <c r="BJ45" s="77">
        <f>BJ41*PROD_DEMANDA!BJ18</f>
        <v>17236.880304416809</v>
      </c>
      <c r="BK45" s="77">
        <f>BK41*PROD_DEMANDA!BK18</f>
        <v>17412.01185067495</v>
      </c>
      <c r="BL45" s="77">
        <f>BL41*PROD_DEMANDA!BL18</f>
        <v>17744.414178073788</v>
      </c>
      <c r="BM45" s="77">
        <f>BM41*PROD_DEMANDA!BM18</f>
        <v>18065.48497673621</v>
      </c>
      <c r="BN45" s="77">
        <f>BN41*PROD_DEMANDA!BN18</f>
        <v>18424.961826672319</v>
      </c>
      <c r="BO45" s="77">
        <f>BO41*PROD_DEMANDA!BO18</f>
        <v>18728.773471827983</v>
      </c>
      <c r="BP45" s="77">
        <f>BP41*PROD_DEMANDA!BP18</f>
        <v>18880.379450091423</v>
      </c>
      <c r="BQ45" s="77">
        <f>BQ41*PROD_DEMANDA!BQ18</f>
        <v>19161.846509755305</v>
      </c>
      <c r="BR45" s="77">
        <f>BR41*PROD_DEMANDA!BR18</f>
        <v>19478.917847092049</v>
      </c>
      <c r="BS45" s="77">
        <f>BS41*PROD_DEMANDA!BS18</f>
        <v>19912.681096287168</v>
      </c>
      <c r="BT45" s="77">
        <f>BT41*PROD_DEMANDA!BT18</f>
        <v>20204.550851668602</v>
      </c>
      <c r="BU45" s="77">
        <f>BU41*PROD_DEMANDA!BU18</f>
        <v>20330.002874401671</v>
      </c>
      <c r="BV45" s="77">
        <f>BV41*PROD_DEMANDA!BV18</f>
        <v>20587.795962136628</v>
      </c>
      <c r="BW45" s="77">
        <f>BW41*PROD_DEMANDA!BW18</f>
        <v>20861.338599681832</v>
      </c>
      <c r="BX45" s="77">
        <f>BX41*PROD_DEMANDA!BX18</f>
        <v>21095.345678185455</v>
      </c>
      <c r="BY45" s="77">
        <f>BY41*PROD_DEMANDA!BY18</f>
        <v>21321.541747048268</v>
      </c>
      <c r="BZ45" s="77">
        <f>BZ41*PROD_DEMANDA!BZ18</f>
        <v>21578.332928467462</v>
      </c>
      <c r="CA45" s="77">
        <f>CA41*PROD_DEMANDA!CA18</f>
        <v>21858.314531346758</v>
      </c>
      <c r="CB45" s="77">
        <f>CB41*PROD_DEMANDA!CB18</f>
        <v>25264.04529545187</v>
      </c>
      <c r="CC45" s="77">
        <f>CC41*PROD_DEMANDA!CC18</f>
        <v>25368.581013171985</v>
      </c>
      <c r="CD45" s="77">
        <f>CD41*PROD_DEMANDA!CD18</f>
        <v>25418.374227489036</v>
      </c>
      <c r="CE45" s="77">
        <f>CE41*PROD_DEMANDA!CE18</f>
        <v>25439.964312071083</v>
      </c>
      <c r="CF45" s="77">
        <f>CF41*PROD_DEMANDA!CF18</f>
        <v>25439.964312071083</v>
      </c>
      <c r="CG45" s="77">
        <f>CG41*PROD_DEMANDA!CG18</f>
        <v>25439.964312071083</v>
      </c>
      <c r="CH45" s="77">
        <f>CH41*PROD_DEMANDA!CH18</f>
        <v>25439.964312071083</v>
      </c>
      <c r="CI45" s="77">
        <f>CI41*PROD_DEMANDA!CI18</f>
        <v>25439.964312071083</v>
      </c>
      <c r="CJ45" s="77">
        <f>CJ41*PROD_DEMANDA!CJ18</f>
        <v>25439.964312071083</v>
      </c>
      <c r="CK45" s="77">
        <f>CK41*PROD_DEMANDA!CK18</f>
        <v>25439.964312071083</v>
      </c>
      <c r="CL45" s="77">
        <f>CL41*PROD_DEMANDA!CL18</f>
        <v>25439.964312071083</v>
      </c>
      <c r="CM45" s="77">
        <f>CM41*PROD_DEMANDA!CM18</f>
        <v>25439.964312071083</v>
      </c>
      <c r="CN45" s="77">
        <f>CN41*PROD_DEMANDA!CN18</f>
        <v>25439.964312071083</v>
      </c>
      <c r="CO45" s="77">
        <f>CO41*PROD_DEMANDA!CO18</f>
        <v>25439.964312071083</v>
      </c>
      <c r="CP45" s="77">
        <f>CP41*PROD_DEMANDA!CP18</f>
        <v>25439.964312071083</v>
      </c>
      <c r="CQ45" s="77">
        <f>CQ41*PROD_DEMANDA!CQ18</f>
        <v>25439.964312071083</v>
      </c>
      <c r="CR45" s="77">
        <f>CR41*PROD_DEMANDA!CR18</f>
        <v>25439.964312071083</v>
      </c>
      <c r="CS45" s="77">
        <f>CS41*PROD_DEMANDA!CS18</f>
        <v>25439.964312071083</v>
      </c>
      <c r="CT45" s="77">
        <f>CT41*PROD_DEMANDA!CT18</f>
        <v>25439.964312071083</v>
      </c>
      <c r="CU45" s="77">
        <f>CU41*PROD_DEMANDA!CU18</f>
        <v>25439.964312071083</v>
      </c>
      <c r="CV45" s="77">
        <f>CV41*PROD_DEMANDA!CV18</f>
        <v>25439.964312071083</v>
      </c>
      <c r="CW45" s="77">
        <f>CW41*PROD_DEMANDA!CW18</f>
        <v>25439.964312071083</v>
      </c>
      <c r="CX45" s="77">
        <f>CX41*PROD_DEMANDA!CX18</f>
        <v>25439.964312071083</v>
      </c>
      <c r="CY45" s="77">
        <f>CY41*PROD_DEMANDA!CY18</f>
        <v>25439.964312071083</v>
      </c>
      <c r="CZ45" s="77">
        <f>CZ41*PROD_DEMANDA!CZ18</f>
        <v>25439.964312071083</v>
      </c>
      <c r="DA45" s="77">
        <f>DA41*PROD_DEMANDA!DA18</f>
        <v>25439.964312071083</v>
      </c>
      <c r="DB45" s="77">
        <f>DB41*PROD_DEMANDA!DB18</f>
        <v>25439.964312071083</v>
      </c>
      <c r="DC45" s="77">
        <f>DC41*PROD_DEMANDA!DC18</f>
        <v>25439.964312071083</v>
      </c>
      <c r="DD45" s="77">
        <f>DD41*PROD_DEMANDA!DD18</f>
        <v>25439.964312071083</v>
      </c>
      <c r="DE45" s="77">
        <f>DE41*PROD_DEMANDA!DE18</f>
        <v>25439.964312071083</v>
      </c>
      <c r="DF45" s="77">
        <f>DF41*PROD_DEMANDA!DF18</f>
        <v>25439.964312071083</v>
      </c>
      <c r="DG45" s="77">
        <f>DG41*PROD_DEMANDA!DG18</f>
        <v>25439.964312071083</v>
      </c>
      <c r="DH45" s="77">
        <f>DH41*PROD_DEMANDA!DH18</f>
        <v>25439.964312071083</v>
      </c>
      <c r="DI45" s="77">
        <f>DI41*PROD_DEMANDA!DI18</f>
        <v>25439.964312071083</v>
      </c>
      <c r="DJ45" s="77">
        <f>DJ41*PROD_DEMANDA!DJ18</f>
        <v>25439.964312071083</v>
      </c>
      <c r="DK45" s="77">
        <f>DK41*PROD_DEMANDA!DK18</f>
        <v>25439.964312071083</v>
      </c>
      <c r="DL45" s="77">
        <f>DL41*PROD_DEMANDA!DL18</f>
        <v>25439.964312071083</v>
      </c>
      <c r="DM45" s="77">
        <f>DM41*PROD_DEMANDA!DM18</f>
        <v>25439.964312071083</v>
      </c>
      <c r="DN45" s="77">
        <f>DN41*PROD_DEMANDA!DN18</f>
        <v>25439.964312071083</v>
      </c>
      <c r="DO45" s="77">
        <f>DO41*PROD_DEMANDA!DO18</f>
        <v>25439.964312071083</v>
      </c>
      <c r="DP45" s="77">
        <f>DP41*PROD_DEMANDA!DP18</f>
        <v>25439.964312071083</v>
      </c>
      <c r="DQ45" s="77">
        <f>DQ41*PROD_DEMANDA!DQ18</f>
        <v>25439.964312071083</v>
      </c>
      <c r="DR45" s="77">
        <f>DR41*PROD_DEMANDA!DR18</f>
        <v>25439.964312071083</v>
      </c>
      <c r="DS45" s="77">
        <f>DS41*PROD_DEMANDA!DS18</f>
        <v>25439.964312071083</v>
      </c>
    </row>
    <row r="46" spans="1:123" ht="15" customHeight="1" x14ac:dyDescent="0.2">
      <c r="B46" s="20" t="s">
        <v>1029</v>
      </c>
      <c r="D46" s="72">
        <f>D40-D42-D43-SUP_PRODUCCION!$C$68*(SUM($C$19:D19)+SUM($C$20:D20)+SUM($C$21:D21))-SUP_OVERHEAD!D40-D44-D45</f>
        <v>0</v>
      </c>
      <c r="E46" s="72">
        <f>E40-E42-E43-SUP_PRODUCCION!$C$68*(SUM($C$19:E19)+SUM($C$20:E20)+SUM($C$21:E21))-SUP_OVERHEAD!E40-E44-E45</f>
        <v>0</v>
      </c>
      <c r="F46" s="72">
        <f>F40-F42-F43-SUP_PRODUCCION!$C$68*(SUM($C$19:F19)+SUM($C$20:F20)+SUM($C$21:F21))-SUP_OVERHEAD!F40-F44-F45</f>
        <v>0</v>
      </c>
      <c r="G46" s="72">
        <f>G40-G42-G43-SUP_PRODUCCION!$C$68*(SUM($C$19:G19)+SUM($C$20:G20)+SUM($C$21:G21))-SUP_OVERHEAD!G40-G44-G45</f>
        <v>0</v>
      </c>
      <c r="H46" s="72">
        <f>H40-H42-H43-SUP_PRODUCCION!$C$68*(SUM($C$19:H19)+SUM($C$20:H20)+SUM($C$21:H21))-SUP_OVERHEAD!H40-H44-H45</f>
        <v>0</v>
      </c>
      <c r="I46" s="72">
        <f>I40-I42-I43-SUP_PRODUCCION!$C$68*(SUM($C$19:I19)+SUM($C$20:I20)+SUM($C$21:I21))-SUP_OVERHEAD!I40-I44-I45</f>
        <v>0</v>
      </c>
      <c r="J46" s="72">
        <f>J40-J42-J43-SUP_PRODUCCION!$C$68*(SUM($C$19:J19)+SUM($C$20:J20)+SUM($C$21:J21))-SUP_OVERHEAD!J40-J44-J45</f>
        <v>0</v>
      </c>
      <c r="K46" s="72">
        <f>K40-K42-K43-SUP_PRODUCCION!$C$68*(SUM($C$19:K19)+SUM($C$20:K20)+SUM($C$21:K21))-SUP_OVERHEAD!K40-K44-K45</f>
        <v>0</v>
      </c>
      <c r="L46" s="72">
        <f>L40-L42-L43-SUP_PRODUCCION!$C$68*(SUM($C$19:L19)+SUM($C$20:L20)+SUM($C$21:L21))-SUP_OVERHEAD!L40-L44-L45</f>
        <v>0</v>
      </c>
      <c r="M46" s="72">
        <f>M40-M42-M43-SUP_PRODUCCION!$C$68*(SUM($C$19:M19)+SUM($C$20:M20)+SUM($C$21:M21))-SUP_OVERHEAD!M40-M44-M45</f>
        <v>0</v>
      </c>
      <c r="N46" s="72">
        <f>N40-N42-N43-SUP_PRODUCCION!$C$68*(SUM($C$19:N19)+SUM($C$20:N20)+SUM($C$21:N21))-SUP_OVERHEAD!N40-N44-N45</f>
        <v>0</v>
      </c>
      <c r="O46" s="72">
        <f>O40-O42-O43-SUP_PRODUCCION!$C$68*(SUM($C$19:O19)+SUM($C$20:O20)+SUM($C$21:O21))-SUP_OVERHEAD!O40-O44-O45</f>
        <v>0</v>
      </c>
      <c r="P46" s="72">
        <f>P40-P42-P43-SUP_PRODUCCION!$C$68*(SUM($C$19:P19)+SUM($C$20:P20)+SUM($C$21:P21))-SUP_OVERHEAD!P40-P44-P45</f>
        <v>0</v>
      </c>
      <c r="Q46" s="72">
        <f>Q40-Q42-Q43-SUP_PRODUCCION!$C$68*(SUM($C$19:Q19)+SUM($C$20:Q20)+SUM($C$21:Q21))-SUP_OVERHEAD!Q40-Q44-Q45</f>
        <v>0</v>
      </c>
      <c r="R46" s="72">
        <f>R40-R42-R43-SUP_PRODUCCION!$C$68*(SUM($C$19:R19)+SUM($C$20:R20)+SUM($C$21:R21))-SUP_OVERHEAD!R40-R44-R45</f>
        <v>0</v>
      </c>
      <c r="S46" s="72">
        <f>S40-S42-S43-SUP_PRODUCCION!$C$68*(SUM($C$19:S19)+SUM($C$20:S20)+SUM($C$21:S21))-SUP_OVERHEAD!S40-S44-S45</f>
        <v>0</v>
      </c>
      <c r="T46" s="72">
        <f>T40-T42-T43-SUP_PRODUCCION!$C$68*(SUM($C$19:T19)+SUM($C$20:T20)+SUM($C$21:T21))-SUP_OVERHEAD!T40-T44-T45</f>
        <v>3592.8278288473284</v>
      </c>
      <c r="U46" s="72">
        <f>U40-U42-U43-SUP_PRODUCCION!$C$68*(SUM($C$19:U19)+SUM($C$20:U20)+SUM($C$21:U21))-SUP_OVERHEAD!U40-U44-U45</f>
        <v>5361.6611878409567</v>
      </c>
      <c r="V46" s="72">
        <f>V40-V42-V43-SUP_PRODUCCION!$C$68*(SUM($C$19:V19)+SUM($C$20:V20)+SUM($C$21:V21))-SUP_OVERHEAD!V40-V44-V45</f>
        <v>10223.692335198677</v>
      </c>
      <c r="W46" s="72">
        <f>W40-W42-W43-SUP_PRODUCCION!$C$68*(SUM($C$19:W19)+SUM($C$20:W20)+SUM($C$21:W21))-SUP_OVERHEAD!W40-W44-W45</f>
        <v>16955.233322081811</v>
      </c>
      <c r="X46" s="72">
        <f>X40-X42-X43-SUP_PRODUCCION!$C$68*(SUM($C$19:X19)+SUM($C$20:X20)+SUM($C$21:X21))-SUP_OVERHEAD!X40-X44-X45</f>
        <v>19959.724048202486</v>
      </c>
      <c r="Y46" s="72">
        <f>Y40-Y42-Y43-SUP_PRODUCCION!$C$68*(SUM($C$19:Y19)+SUM($C$20:Y20)+SUM($C$21:Y21))-SUP_OVERHEAD!Y40-Y44-Y45</f>
        <v>22367.602004385935</v>
      </c>
      <c r="Z46" s="72">
        <f>Z40-Z42-Z43-SUP_PRODUCCION!$C$68*(SUM($C$19:Z19)+SUM($C$20:Z20)+SUM($C$21:Z21))-SUP_OVERHEAD!Z40-Z44-Z45</f>
        <v>23572.912919170238</v>
      </c>
      <c r="AA46" s="72">
        <f>AA40-AA42-AA43-SUP_PRODUCCION!$C$68*(SUM($C$19:AA19)+SUM($C$20:AA20)+SUM($C$21:AA21))-SUP_OVERHEAD!AA40-AA44-AA45</f>
        <v>19793.084861616277</v>
      </c>
      <c r="AB46" s="72">
        <f>AB40-AB42-AB43-SUP_PRODUCCION!$C$68*(SUM($C$19:AB19)+SUM($C$20:AB20)+SUM($C$21:AB21))-SUP_OVERHEAD!AB40-AB44-AB45</f>
        <v>21103.980651849946</v>
      </c>
      <c r="AC46" s="72">
        <f>AC40-AC42-AC43-SUP_PRODUCCION!$C$68*(SUM($C$19:AC19)+SUM($C$20:AC20)+SUM($C$21:AC21))-SUP_OVERHEAD!AC40-AC44-AC45</f>
        <v>21103.980651849946</v>
      </c>
      <c r="AD46" s="72">
        <f>AD40-AD42-AD43-SUP_PRODUCCION!$C$68*(SUM($C$19:AD19)+SUM($C$20:AD20)+SUM($C$21:AD21))-SUP_OVERHEAD!AD40-AD44-AD45</f>
        <v>20003.752470018069</v>
      </c>
      <c r="AE46" s="72">
        <f>AE40-AE42-AE43-SUP_PRODUCCION!$C$68*(SUM($C$19:AE19)+SUM($C$20:AE20)+SUM($C$21:AE21))-SUP_OVERHEAD!AE40-AE44-AE45</f>
        <v>20003.752470018069</v>
      </c>
      <c r="AF46" s="72">
        <f>AF40-AF42-AF43-SUP_PRODUCCION!$C$68*(SUM($C$19:AF19)+SUM($C$20:AF20)+SUM($C$21:AF21))-SUP_OVERHEAD!AF40-AF44-AF45</f>
        <v>24493.810355372014</v>
      </c>
      <c r="AG46" s="72">
        <f>AG40-AG42-AG43-SUP_PRODUCCION!$C$68*(SUM($C$19:AG19)+SUM($C$20:AG20)+SUM($C$21:AG21))-SUP_OVERHEAD!AG40-AG44-AG45</f>
        <v>30635.009110928819</v>
      </c>
      <c r="AH46" s="72">
        <f>AH40-AH42-AH43-SUP_PRODUCCION!$C$68*(SUM($C$19:AH19)+SUM($C$20:AH20)+SUM($C$21:AH21))-SUP_OVERHEAD!AH40-AH44-AH45</f>
        <v>34024.945085478917</v>
      </c>
      <c r="AI46" s="72">
        <f>AI40-AI42-AI43-SUP_PRODUCCION!$C$68*(SUM($C$19:AI19)+SUM($C$20:AI20)+SUM($C$21:AI21))-SUP_OVERHEAD!AI40-AI44-AI45</f>
        <v>40705.08707456421</v>
      </c>
      <c r="AJ46" s="72">
        <f>AJ40-AJ42-AJ43-SUP_PRODUCCION!$C$68*(SUM($C$19:AJ19)+SUM($C$20:AJ20)+SUM($C$21:AJ21))-SUP_OVERHEAD!AJ40-AJ44-AJ45</f>
        <v>47706.540251475097</v>
      </c>
      <c r="AK46" s="72">
        <f>AK40-AK42-AK43-SUP_PRODUCCION!$C$68*(SUM($C$19:AK19)+SUM($C$20:AK20)+SUM($C$21:AK21))-SUP_OVERHEAD!AK40-AK44-AK45</f>
        <v>50783.256646827074</v>
      </c>
      <c r="AL46" s="72">
        <f>AL40-AL42-AL43-SUP_PRODUCCION!$C$68*(SUM($C$19:AL19)+SUM($C$20:AL20)+SUM($C$21:AL21))-SUP_OVERHEAD!AL40-AL44-AL45</f>
        <v>50961.035915117012</v>
      </c>
      <c r="AM46" s="72">
        <f>AM40-AM42-AM43-SUP_PRODUCCION!$C$68*(SUM($C$19:AM19)+SUM($C$20:AM20)+SUM($C$21:AM21))-SUP_OVERHEAD!AM40-AM44-AM45</f>
        <v>56753.806050953586</v>
      </c>
      <c r="AN46" s="72">
        <f>AN40-AN42-AN43-SUP_PRODUCCION!$C$68*(SUM($C$19:AN19)+SUM($C$20:AN20)+SUM($C$21:AN21))-SUP_OVERHEAD!AN40-AN44-AN45</f>
        <v>64798.935847847766</v>
      </c>
      <c r="AO46" s="72">
        <f>AO40-AO42-AO43-SUP_PRODUCCION!$C$68*(SUM($C$19:AO19)+SUM($C$20:AO20)+SUM($C$21:AO21))-SUP_OVERHEAD!AO40-AO44-AO45</f>
        <v>72255.257427318167</v>
      </c>
      <c r="AP46" s="72">
        <f>AP40-AP42-AP43-SUP_PRODUCCION!$C$68*(SUM($C$19:AP19)+SUM($C$20:AP20)+SUM($C$21:AP21))-SUP_OVERHEAD!AP40-AP44-AP45</f>
        <v>80997.362926832808</v>
      </c>
      <c r="AQ46" s="72">
        <f>AQ40-AQ42-AQ43-SUP_PRODUCCION!$C$68*(SUM($C$19:AQ19)+SUM($C$20:AQ20)+SUM($C$21:AQ21))-SUP_OVERHEAD!AQ40-AQ44-AQ45</f>
        <v>85348.300740656952</v>
      </c>
      <c r="AR46" s="72">
        <f>AR40-AR42-AR43-SUP_PRODUCCION!$C$68*(SUM($C$19:AR19)+SUM($C$20:AR20)+SUM($C$21:AR21))-SUP_OVERHEAD!AR40-AR44-AR45</f>
        <v>92788.520422019792</v>
      </c>
      <c r="AS46" s="72">
        <f>AS40-AS42-AS43-SUP_PRODUCCION!$C$68*(SUM($C$19:AS19)+SUM($C$20:AS20)+SUM($C$21:AS21))-SUP_OVERHEAD!AS40-AS44-AS45</f>
        <v>96471.540779545248</v>
      </c>
      <c r="AT46" s="72">
        <f>AT40-AT42-AT43-SUP_PRODUCCION!$C$68*(SUM($C$19:AT19)+SUM($C$20:AT20)+SUM($C$21:AT21))-SUP_OVERHEAD!AT40-AT44-AT45</f>
        <v>102194.16807243148</v>
      </c>
      <c r="AU46" s="72">
        <f>AU40-AU42-AU43-SUP_PRODUCCION!$C$68*(SUM($C$19:AU19)+SUM($C$20:AU20)+SUM($C$21:AU21))-SUP_OVERHEAD!AU40-AU44-AU45</f>
        <v>109817.62173785837</v>
      </c>
      <c r="AV46" s="72">
        <f>AV40-AV42-AV43-SUP_PRODUCCION!$C$68*(SUM($C$19:AV19)+SUM($C$20:AV20)+SUM($C$21:AV21))-SUP_OVERHEAD!AV40-AV44-AV45</f>
        <v>112954.61536569004</v>
      </c>
      <c r="AW46" s="72">
        <f>AW40-AW42-AW43-SUP_PRODUCCION!$C$68*(SUM($C$19:AW19)+SUM($C$20:AW20)+SUM($C$21:AW21))-SUP_OVERHEAD!AW40-AW44-AW45</f>
        <v>106426.56454416658</v>
      </c>
      <c r="AX46" s="72">
        <f>AX40-AX42-AX43-SUP_PRODUCCION!$C$68*(SUM($C$19:AX19)+SUM($C$20:AX20)+SUM($C$21:AX21))-SUP_OVERHEAD!AX40-AX44-AX45</f>
        <v>107663.1217193129</v>
      </c>
      <c r="AY46" s="72">
        <f>AY40-AY42-AY43-SUP_PRODUCCION!$C$68*(SUM($C$19:AY19)+SUM($C$20:AY20)+SUM($C$21:AY21))-SUP_OVERHEAD!AY40-AY44-AY45</f>
        <v>107663.1217193129</v>
      </c>
      <c r="AZ46" s="72">
        <f>AZ40-AZ42-AZ43-SUP_PRODUCCION!$C$68*(SUM($C$19:AZ19)+SUM($C$20:AZ20)+SUM($C$21:AZ21))-SUP_OVERHEAD!AZ40-AZ44-AZ45</f>
        <v>110739.46641504375</v>
      </c>
      <c r="BA46" s="72">
        <f>BA40-BA42-BA43-SUP_PRODUCCION!$C$68*(SUM($C$19:BA19)+SUM($C$20:BA20)+SUM($C$21:BA21))-SUP_OVERHEAD!BA40-BA44-BA45</f>
        <v>105786.27078343141</v>
      </c>
      <c r="BB46" s="72">
        <f>BB40-BB42-BB43-SUP_PRODUCCION!$C$68*(SUM($C$19:BB19)+SUM($C$20:BB20)+SUM($C$21:BB21))-SUP_OVERHEAD!BB40-BB44-BB45</f>
        <v>105786.27078343141</v>
      </c>
      <c r="BC46" s="72">
        <f>BC40-BC42-BC43-SUP_PRODUCCION!$C$68*(SUM($C$19:BC19)+SUM($C$20:BC20)+SUM($C$21:BC21))-SUP_OVERHEAD!BC40-BC44-BC45</f>
        <v>105786.27078343141</v>
      </c>
      <c r="BD46" s="72">
        <f>BD40-BD42-BD43-SUP_PRODUCCION!$C$68*(SUM($C$19:BD19)+SUM($C$20:BD20)+SUM($C$21:BD21))-SUP_OVERHEAD!BD40-BD44-BD45</f>
        <v>103452.1483481546</v>
      </c>
      <c r="BE46" s="72">
        <f>BE40-BE42-BE43-SUP_PRODUCCION!$C$68*(SUM($C$19:BE19)+SUM($C$20:BE20)+SUM($C$21:BE21))-SUP_OVERHEAD!BE40-BE44-BE45</f>
        <v>111098.92634430841</v>
      </c>
      <c r="BF46" s="72">
        <f>BF40-BF42-BF43-SUP_PRODUCCION!$C$68*(SUM($C$19:BF19)+SUM($C$20:BF20)+SUM($C$21:BF21))-SUP_OVERHEAD!BF40-BF44-BF45</f>
        <v>115327.80339424433</v>
      </c>
      <c r="BG46" s="72">
        <f>BG40-BG42-BG43-SUP_PRODUCCION!$C$68*(SUM($C$19:BG19)+SUM($C$20:BG20)+SUM($C$21:BG21))-SUP_OVERHEAD!BG40-BG44-BG45</f>
        <v>125128.78845694807</v>
      </c>
      <c r="BH46" s="72">
        <f>BH40-BH42-BH43-SUP_PRODUCCION!$C$68*(SUM($C$19:BH19)+SUM($C$20:BH20)+SUM($C$21:BH21))-SUP_OVERHEAD!BH40-BH44-BH45</f>
        <v>133569.30874625471</v>
      </c>
      <c r="BI46" s="72">
        <f>BI40-BI42-BI43-SUP_PRODUCCION!$C$68*(SUM($C$19:BI19)+SUM($C$20:BI20)+SUM($C$21:BI21))-SUP_OVERHEAD!BI40-BI44-BI45</f>
        <v>142034.400674648</v>
      </c>
      <c r="BJ46" s="72">
        <f>BJ40-BJ42-BJ43-SUP_PRODUCCION!$C$68*(SUM($C$19:BJ19)+SUM($C$20:BJ20)+SUM($C$21:BJ21))-SUP_OVERHEAD!BJ40-BJ44-BJ45</f>
        <v>150979.04940387118</v>
      </c>
      <c r="BK46" s="72">
        <f>BK40-BK42-BK43-SUP_PRODUCCION!$C$68*(SUM($C$19:BK19)+SUM($C$20:BK20)+SUM($C$21:BK21))-SUP_OVERHEAD!BK40-BK44-BK45</f>
        <v>153233.39032058208</v>
      </c>
      <c r="BL46" s="72">
        <f>BL40-BL42-BL43-SUP_PRODUCCION!$C$68*(SUM($C$19:BL19)+SUM($C$20:BL20)+SUM($C$21:BL21))-SUP_OVERHEAD!BL40-BL44-BL45</f>
        <v>166246.79311941011</v>
      </c>
      <c r="BM46" s="72">
        <f>BM40-BM42-BM43-SUP_PRODUCCION!$C$68*(SUM($C$19:BM19)+SUM($C$20:BM20)+SUM($C$21:BM21))-SUP_OVERHEAD!BM40-BM44-BM45</f>
        <v>174703.16708607183</v>
      </c>
      <c r="BN46" s="72">
        <f>BN40-BN42-BN43-SUP_PRODUCCION!$C$68*(SUM($C$19:BN19)+SUM($C$20:BN20)+SUM($C$21:BN21))-SUP_OVERHEAD!BN40-BN44-BN45</f>
        <v>183629.27105806378</v>
      </c>
      <c r="BO46" s="72">
        <f>BO40-BO42-BO43-SUP_PRODUCCION!$C$68*(SUM($C$19:BO19)+SUM($C$20:BO20)+SUM($C$21:BO21))-SUP_OVERHEAD!BO40-BO44-BO45</f>
        <v>192300.29388566513</v>
      </c>
      <c r="BP46" s="72">
        <f>BP40-BP42-BP43-SUP_PRODUCCION!$C$68*(SUM($C$19:BP19)+SUM($C$20:BP20)+SUM($C$21:BP21))-SUP_OVERHEAD!BP40-BP44-BP45</f>
        <v>194761.44876059194</v>
      </c>
      <c r="BQ46" s="72">
        <f>BQ40-BQ42-BQ43-SUP_PRODUCCION!$C$68*(SUM($C$19:BQ19)+SUM($C$20:BQ20)+SUM($C$21:BQ21))-SUP_OVERHEAD!BQ40-BQ44-BQ45</f>
        <v>203056.03703332428</v>
      </c>
      <c r="BR46" s="72">
        <f>BR40-BR42-BR43-SUP_PRODUCCION!$C$68*(SUM($C$19:BR19)+SUM($C$20:BR20)+SUM($C$21:BR21))-SUP_OVERHEAD!BR40-BR44-BR45</f>
        <v>211789.139586551</v>
      </c>
      <c r="BS46" s="72">
        <f>BS40-BS42-BS43-SUP_PRODUCCION!$C$68*(SUM($C$19:BS19)+SUM($C$20:BS20)+SUM($C$21:BS21))-SUP_OVERHEAD!BS40-BS44-BS45</f>
        <v>213854.8804396647</v>
      </c>
      <c r="BT46" s="72">
        <f>BT40-BT42-BT43-SUP_PRODUCCION!$C$68*(SUM($C$19:BT19)+SUM($C$20:BT20)+SUM($C$21:BT21))-SUP_OVERHEAD!BT40-BT44-BT45</f>
        <v>223990.06213415155</v>
      </c>
      <c r="BU46" s="72">
        <f>BU40-BU42-BU43-SUP_PRODUCCION!$C$68*(SUM($C$19:BU19)+SUM($C$20:BU20)+SUM($C$21:BU21))-SUP_OVERHEAD!BU40-BU44-BU45</f>
        <v>226169.89025646617</v>
      </c>
      <c r="BV46" s="72">
        <f>BV40-BV42-BV43-SUP_PRODUCCION!$C$68*(SUM($C$19:BV19)+SUM($C$20:BV20)+SUM($C$21:BV21))-SUP_OVERHEAD!BV40-BV44-BV45</f>
        <v>235130.05021389175</v>
      </c>
      <c r="BW46" s="72">
        <f>BW40-BW42-BW43-SUP_PRODUCCION!$C$68*(SUM($C$19:BW19)+SUM($C$20:BW20)+SUM($C$21:BW21))-SUP_OVERHEAD!BW40-BW44-BW45</f>
        <v>243671.83131842656</v>
      </c>
      <c r="BX46" s="72">
        <f>BX40-BX42-BX43-SUP_PRODUCCION!$C$68*(SUM($C$19:BX19)+SUM($C$20:BX20)+SUM($C$21:BX21))-SUP_OVERHEAD!BX40-BX44-BX45</f>
        <v>259183.91020773677</v>
      </c>
      <c r="BY46" s="72">
        <f>BY40-BY42-BY43-SUP_PRODUCCION!$C$68*(SUM($C$19:BY19)+SUM($C$20:BY20)+SUM($C$21:BY21))-SUP_OVERHEAD!BY40-BY44-BY45</f>
        <v>267531.42810401082</v>
      </c>
      <c r="BZ46" s="72">
        <f>BZ40-BZ42-BZ43-SUP_PRODUCCION!$C$68*(SUM($C$19:BZ19)+SUM($C$20:BZ20)+SUM($C$21:BZ21))-SUP_OVERHEAD!BZ40-BZ44-BZ45</f>
        <v>277844.77121558186</v>
      </c>
      <c r="CA46" s="72">
        <f>CA40-CA42-CA43-SUP_PRODUCCION!$C$68*(SUM($C$19:CA19)+SUM($C$20:CA20)+SUM($C$21:CA21))-SUP_OVERHEAD!CA40-CA44-CA45</f>
        <v>288255.31795925618</v>
      </c>
      <c r="CB46" s="72">
        <f>CB40-CB42-CB43-SUP_PRODUCCION!$C$68*(SUM($C$19:CB19)+SUM($C$20:CB20)+SUM($C$21:CB21))-SUP_OVERHEAD!CB40-CB44-CB45</f>
        <v>290475.08193911571</v>
      </c>
      <c r="CC46" s="72">
        <f>CC40-CC42-CC43-SUP_PRODUCCION!$C$68*(SUM($C$19:CC19)+SUM($C$20:CC20)+SUM($C$21:CC21))-SUP_OVERHEAD!CC40-CC44-CC45</f>
        <v>292144.52971535822</v>
      </c>
      <c r="CD46" s="72">
        <f>CD40-CD42-CD43-SUP_PRODUCCION!$C$68*(SUM($C$19:CD19)+SUM($C$20:CD20)+SUM($C$21:CD21))-SUP_OVERHEAD!CD40-CD44-CD45</f>
        <v>294875.96089759003</v>
      </c>
      <c r="CE46" s="72">
        <f>CE40-CE42-CE43-SUP_PRODUCCION!$C$68*(SUM($C$19:CE19)+SUM($C$20:CE20)+SUM($C$21:CE21))-SUP_OVERHEAD!CE40-CE44-CE45</f>
        <v>296063.62849336088</v>
      </c>
      <c r="CF46" s="72">
        <f>CF40-CF42-CF43-SUP_PRODUCCION!$C$68*(SUM($C$19:CF19)+SUM($C$20:CF20)+SUM($C$21:CF21))-SUP_OVERHEAD!CF40-CF44-CF45</f>
        <v>296063.62849336088</v>
      </c>
      <c r="CG46" s="72">
        <f>CG40-CG42-CG43-SUP_PRODUCCION!$C$68*(SUM($C$19:CG19)+SUM($C$20:CG20)+SUM($C$21:CG21))-SUP_OVERHEAD!CG40-CG44-CG45</f>
        <v>296063.62849336088</v>
      </c>
      <c r="CH46" s="72">
        <f>CH40-CH42-CH43-SUP_PRODUCCION!$C$68*(SUM($C$19:CH19)+SUM($C$20:CH20)+SUM($C$21:CH21))-SUP_OVERHEAD!CH40-CH44-CH45</f>
        <v>296063.62849336088</v>
      </c>
      <c r="CI46" s="72">
        <f>CI40-CI42-CI43-SUP_PRODUCCION!$C$68*(SUM($C$19:CI19)+SUM($C$20:CI20)+SUM($C$21:CI21))-SUP_OVERHEAD!CI40-CI44-CI45</f>
        <v>296063.62849336088</v>
      </c>
      <c r="CJ46" s="72">
        <f>CJ40-CJ42-CJ43-SUP_PRODUCCION!$C$68*(SUM($C$19:CJ19)+SUM($C$20:CJ20)+SUM($C$21:CJ21))-SUP_OVERHEAD!CJ40-CJ44-CJ45</f>
        <v>296063.62849336088</v>
      </c>
      <c r="CK46" s="72">
        <f>CK40-CK42-CK43-SUP_PRODUCCION!$C$68*(SUM($C$19:CK19)+SUM($C$20:CK20)+SUM($C$21:CK21))-SUP_OVERHEAD!CK40-CK44-CK45</f>
        <v>296063.62849336088</v>
      </c>
      <c r="CL46" s="72">
        <f>CL40-CL42-CL43-SUP_PRODUCCION!$C$68*(SUM($C$19:CL19)+SUM($C$20:CL20)+SUM($C$21:CL21))-SUP_OVERHEAD!CL40-CL44-CL45</f>
        <v>296063.62849336088</v>
      </c>
      <c r="CM46" s="72">
        <f>CM40-CM42-CM43-SUP_PRODUCCION!$C$68*(SUM($C$19:CM19)+SUM($C$20:CM20)+SUM($C$21:CM21))-SUP_OVERHEAD!CM40-CM44-CM45</f>
        <v>296063.62849336088</v>
      </c>
      <c r="CN46" s="72">
        <f>CN40-CN42-CN43-SUP_PRODUCCION!$C$68*(SUM($C$19:CN19)+SUM($C$20:CN20)+SUM($C$21:CN21))-SUP_OVERHEAD!CN40-CN44-CN45</f>
        <v>296063.62849336088</v>
      </c>
      <c r="CO46" s="72">
        <f>CO40-CO42-CO43-SUP_PRODUCCION!$C$68*(SUM($C$19:CO19)+SUM($C$20:CO20)+SUM($C$21:CO21))-SUP_OVERHEAD!CO40-CO44-CO45</f>
        <v>296063.62849336088</v>
      </c>
      <c r="CP46" s="72">
        <f>CP40-CP42-CP43-SUP_PRODUCCION!$C$68*(SUM($C$19:CP19)+SUM($C$20:CP20)+SUM($C$21:CP21))-SUP_OVERHEAD!CP40-CP44-CP45</f>
        <v>296063.62849336088</v>
      </c>
      <c r="CQ46" s="72">
        <f>CQ40-CQ42-CQ43-SUP_PRODUCCION!$C$68*(SUM($C$19:CQ19)+SUM($C$20:CQ20)+SUM($C$21:CQ21))-SUP_OVERHEAD!CQ40-CQ44-CQ45</f>
        <v>296063.62849336088</v>
      </c>
      <c r="CR46" s="72">
        <f>CR40-CR42-CR43-SUP_PRODUCCION!$C$68*(SUM($C$19:CR19)+SUM($C$20:CR20)+SUM($C$21:CR21))-SUP_OVERHEAD!CR40-CR44-CR45</f>
        <v>296063.62849336088</v>
      </c>
      <c r="CS46" s="72">
        <f>CS40-CS42-CS43-SUP_PRODUCCION!$C$68*(SUM($C$19:CS19)+SUM($C$20:CS20)+SUM($C$21:CS21))-SUP_OVERHEAD!CS40-CS44-CS45</f>
        <v>296063.62849336088</v>
      </c>
      <c r="CT46" s="72">
        <f>CT40-CT42-CT43-SUP_PRODUCCION!$C$68*(SUM($C$19:CT19)+SUM($C$20:CT20)+SUM($C$21:CT21))-SUP_OVERHEAD!CT40-CT44-CT45</f>
        <v>296063.62849336088</v>
      </c>
      <c r="CU46" s="72">
        <f>CU40-CU42-CU43-SUP_PRODUCCION!$C$68*(SUM($C$19:CU19)+SUM($C$20:CU20)+SUM($C$21:CU21))-SUP_OVERHEAD!CU40-CU44-CU45</f>
        <v>296063.62849336088</v>
      </c>
      <c r="CV46" s="72">
        <f>CV40-CV42-CV43-SUP_PRODUCCION!$C$68*(SUM($C$19:CV19)+SUM($C$20:CV20)+SUM($C$21:CV21))-SUP_OVERHEAD!CV40-CV44-CV45</f>
        <v>296063.62849336088</v>
      </c>
      <c r="CW46" s="72">
        <f>CW40-CW42-CW43-SUP_PRODUCCION!$C$68*(SUM($C$19:CW19)+SUM($C$20:CW20)+SUM($C$21:CW21))-SUP_OVERHEAD!CW40-CW44-CW45</f>
        <v>296063.62849336088</v>
      </c>
      <c r="CX46" s="72">
        <f>CX40-CX42-CX43-SUP_PRODUCCION!$C$68*(SUM($C$19:CX19)+SUM($C$20:CX20)+SUM($C$21:CX21))-SUP_OVERHEAD!CX40-CX44-CX45</f>
        <v>296063.62849336088</v>
      </c>
      <c r="CY46" s="72">
        <f>CY40-CY42-CY43-SUP_PRODUCCION!$C$68*(SUM($C$19:CY19)+SUM($C$20:CY20)+SUM($C$21:CY21))-SUP_OVERHEAD!CY40-CY44-CY45</f>
        <v>296063.62849336088</v>
      </c>
      <c r="CZ46" s="72">
        <f>CZ40-CZ42-CZ43-SUP_PRODUCCION!$C$68*(SUM($C$19:CZ19)+SUM($C$20:CZ20)+SUM($C$21:CZ21))-SUP_OVERHEAD!CZ40-CZ44-CZ45</f>
        <v>296063.62849336088</v>
      </c>
      <c r="DA46" s="72">
        <f>DA40-DA42-DA43-SUP_PRODUCCION!$C$68*(SUM($C$19:DA19)+SUM($C$20:DA20)+SUM($C$21:DA21))-SUP_OVERHEAD!DA40-DA44-DA45</f>
        <v>296063.62849336088</v>
      </c>
      <c r="DB46" s="72">
        <f>DB40-DB42-DB43-SUP_PRODUCCION!$C$68*(SUM($C$19:DB19)+SUM($C$20:DB20)+SUM($C$21:DB21))-SUP_OVERHEAD!DB40-DB44-DB45</f>
        <v>296063.62849336088</v>
      </c>
      <c r="DC46" s="72">
        <f>DC40-DC42-DC43-SUP_PRODUCCION!$C$68*(SUM($C$19:DC19)+SUM($C$20:DC20)+SUM($C$21:DC21))-SUP_OVERHEAD!DC40-DC44-DC45</f>
        <v>296063.62849336088</v>
      </c>
      <c r="DD46" s="72">
        <f>DD40-DD42-DD43-SUP_PRODUCCION!$C$68*(SUM($C$19:DD19)+SUM($C$20:DD20)+SUM($C$21:DD21))-SUP_OVERHEAD!DD40-DD44-DD45</f>
        <v>296063.62849336088</v>
      </c>
      <c r="DE46" s="72">
        <f>DE40-DE42-DE43-SUP_PRODUCCION!$C$68*(SUM($C$19:DE19)+SUM($C$20:DE20)+SUM($C$21:DE21))-SUP_OVERHEAD!DE40-DE44-DE45</f>
        <v>296063.62849336088</v>
      </c>
      <c r="DF46" s="72">
        <f>DF40-DF42-DF43-SUP_PRODUCCION!$C$68*(SUM($C$19:DF19)+SUM($C$20:DF20)+SUM($C$21:DF21))-SUP_OVERHEAD!DF40-DF44-DF45</f>
        <v>296063.62849336088</v>
      </c>
      <c r="DG46" s="72">
        <f>DG40-DG42-DG43-SUP_PRODUCCION!$C$68*(SUM($C$19:DG19)+SUM($C$20:DG20)+SUM($C$21:DG21))-SUP_OVERHEAD!DG40-DG44-DG45</f>
        <v>296063.62849336088</v>
      </c>
      <c r="DH46" s="72">
        <f>DH40-DH42-DH43-SUP_PRODUCCION!$C$68*(SUM($C$19:DH19)+SUM($C$20:DH20)+SUM($C$21:DH21))-SUP_OVERHEAD!DH40-DH44-DH45</f>
        <v>296063.62849336088</v>
      </c>
      <c r="DI46" s="72">
        <f>DI40-DI42-DI43-SUP_PRODUCCION!$C$68*(SUM($C$19:DI19)+SUM($C$20:DI20)+SUM($C$21:DI21))-SUP_OVERHEAD!DI40-DI44-DI45</f>
        <v>296063.62849336088</v>
      </c>
      <c r="DJ46" s="72">
        <f>DJ40-DJ42-DJ43-SUP_PRODUCCION!$C$68*(SUM($C$19:DJ19)+SUM($C$20:DJ20)+SUM($C$21:DJ21))-SUP_OVERHEAD!DJ40-DJ44-DJ45</f>
        <v>296063.62849336088</v>
      </c>
      <c r="DK46" s="72">
        <f>DK40-DK42-DK43-SUP_PRODUCCION!$C$68*(SUM($C$19:DK19)+SUM($C$20:DK20)+SUM($C$21:DK21))-SUP_OVERHEAD!DK40-DK44-DK45</f>
        <v>296063.62849336088</v>
      </c>
      <c r="DL46" s="72">
        <f>DL40-DL42-DL43-SUP_PRODUCCION!$C$68*(SUM($C$19:DL19)+SUM($C$20:DL20)+SUM($C$21:DL21))-SUP_OVERHEAD!DL40-DL44-DL45</f>
        <v>296063.62849336088</v>
      </c>
      <c r="DM46" s="72">
        <f>DM40-DM42-DM43-SUP_PRODUCCION!$C$68*(SUM($C$19:DM19)+SUM($C$20:DM20)+SUM($C$21:DM21))-SUP_OVERHEAD!DM40-DM44-DM45</f>
        <v>296063.62849336088</v>
      </c>
      <c r="DN46" s="72">
        <f>DN40-DN42-DN43-SUP_PRODUCCION!$C$68*(SUM($C$19:DN19)+SUM($C$20:DN20)+SUM($C$21:DN21))-SUP_OVERHEAD!DN40-DN44-DN45</f>
        <v>296063.62849336088</v>
      </c>
      <c r="DO46" s="72">
        <f>DO40-DO42-DO43-SUP_PRODUCCION!$C$68*(SUM($C$19:DO19)+SUM($C$20:DO20)+SUM($C$21:DO21))-SUP_OVERHEAD!DO40-DO44-DO45</f>
        <v>296063.62849336088</v>
      </c>
      <c r="DP46" s="72">
        <f>DP40-DP42-DP43-SUP_PRODUCCION!$C$68*(SUM($C$19:DP19)+SUM($C$20:DP20)+SUM($C$21:DP21))-SUP_OVERHEAD!DP40-DP44-DP45</f>
        <v>296063.62849336088</v>
      </c>
      <c r="DQ46" s="72">
        <f>DQ40-DQ42-DQ43-SUP_PRODUCCION!$C$68*(SUM($C$19:DQ19)+SUM($C$20:DQ20)+SUM($C$21:DQ21))-SUP_OVERHEAD!DQ40-DQ44-DQ45</f>
        <v>296063.62849336088</v>
      </c>
      <c r="DR46" s="72">
        <f>DR40-DR42-DR43-SUP_PRODUCCION!$C$68*(SUM($C$19:DR19)+SUM($C$20:DR20)+SUM($C$21:DR21))-SUP_OVERHEAD!DR40-DR44-DR45</f>
        <v>296063.62849336088</v>
      </c>
      <c r="DS46" s="72">
        <f>DS40-DS42-DS43-SUP_PRODUCCION!$C$68*(SUM($C$19:DS19)+SUM($C$20:DS20)+SUM($C$21:DS21))-SUP_OVERHEAD!DS40-DS44-DS45</f>
        <v>296063.62849336088</v>
      </c>
    </row>
    <row r="47" spans="1:123" ht="15" customHeight="1" x14ac:dyDescent="0.2">
      <c r="B47" s="37" t="s">
        <v>1030</v>
      </c>
      <c r="D47" s="77">
        <f>0</f>
        <v>0</v>
      </c>
      <c r="E47" s="77">
        <f t="shared" ref="E47:AJ47" si="16">D47+E29+E22</f>
        <v>0</v>
      </c>
      <c r="F47" s="77">
        <f t="shared" si="16"/>
        <v>0</v>
      </c>
      <c r="G47" s="77">
        <f t="shared" si="16"/>
        <v>0</v>
      </c>
      <c r="H47" s="77">
        <f t="shared" si="16"/>
        <v>0</v>
      </c>
      <c r="I47" s="77">
        <f t="shared" si="16"/>
        <v>0</v>
      </c>
      <c r="J47" s="77">
        <f t="shared" si="16"/>
        <v>0</v>
      </c>
      <c r="K47" s="77">
        <f t="shared" si="16"/>
        <v>0</v>
      </c>
      <c r="L47" s="77">
        <f t="shared" si="16"/>
        <v>0</v>
      </c>
      <c r="M47" s="77">
        <f t="shared" si="16"/>
        <v>0</v>
      </c>
      <c r="N47" s="77">
        <f t="shared" si="16"/>
        <v>0</v>
      </c>
      <c r="O47" s="77">
        <f t="shared" si="16"/>
        <v>0</v>
      </c>
      <c r="P47" s="77">
        <f t="shared" si="16"/>
        <v>0</v>
      </c>
      <c r="Q47" s="77">
        <f t="shared" si="16"/>
        <v>92556.936999999976</v>
      </c>
      <c r="R47" s="77">
        <f t="shared" si="16"/>
        <v>92556.936999999976</v>
      </c>
      <c r="S47" s="77">
        <f t="shared" si="16"/>
        <v>185113.87399999995</v>
      </c>
      <c r="T47" s="77">
        <f t="shared" si="16"/>
        <v>277670.81099999993</v>
      </c>
      <c r="U47" s="77">
        <f t="shared" si="16"/>
        <v>277670.81099999993</v>
      </c>
      <c r="V47" s="77">
        <f t="shared" si="16"/>
        <v>277670.81099999993</v>
      </c>
      <c r="W47" s="77">
        <f t="shared" si="16"/>
        <v>277670.81099999993</v>
      </c>
      <c r="X47" s="77">
        <f t="shared" si="16"/>
        <v>277670.81099999993</v>
      </c>
      <c r="Y47" s="77">
        <f t="shared" si="16"/>
        <v>277670.81099999993</v>
      </c>
      <c r="Z47" s="77">
        <f t="shared" si="16"/>
        <v>277670.81099999993</v>
      </c>
      <c r="AA47" s="77">
        <f t="shared" si="16"/>
        <v>620422.21899999992</v>
      </c>
      <c r="AB47" s="77">
        <f t="shared" si="16"/>
        <v>620422.21899999992</v>
      </c>
      <c r="AC47" s="77">
        <f t="shared" si="16"/>
        <v>759333.24124999996</v>
      </c>
      <c r="AD47" s="77">
        <f t="shared" si="16"/>
        <v>851890.17824999988</v>
      </c>
      <c r="AE47" s="77">
        <f t="shared" si="16"/>
        <v>851890.17824999988</v>
      </c>
      <c r="AF47" s="77">
        <f t="shared" si="16"/>
        <v>944447.1152499998</v>
      </c>
      <c r="AG47" s="77">
        <f t="shared" si="16"/>
        <v>1037004.0522499997</v>
      </c>
      <c r="AH47" s="77">
        <f t="shared" si="16"/>
        <v>1037004.0522499997</v>
      </c>
      <c r="AI47" s="77">
        <f t="shared" si="16"/>
        <v>1037004.0522499997</v>
      </c>
      <c r="AJ47" s="77">
        <f t="shared" si="16"/>
        <v>1175915.0744999996</v>
      </c>
      <c r="AK47" s="77">
        <f t="shared" ref="AK47:BP47" si="17">AJ47+AK29+AK22</f>
        <v>1268472.0114999996</v>
      </c>
      <c r="AL47" s="77">
        <f t="shared" si="17"/>
        <v>1361028.9484999995</v>
      </c>
      <c r="AM47" s="77">
        <f t="shared" si="17"/>
        <v>1453585.8854999994</v>
      </c>
      <c r="AN47" s="77">
        <f t="shared" si="17"/>
        <v>1453585.8854999994</v>
      </c>
      <c r="AO47" s="77">
        <f t="shared" si="17"/>
        <v>1592496.9077499993</v>
      </c>
      <c r="AP47" s="77">
        <f t="shared" si="17"/>
        <v>1592496.9077499993</v>
      </c>
      <c r="AQ47" s="77">
        <f t="shared" si="17"/>
        <v>1685053.8447499992</v>
      </c>
      <c r="AR47" s="77">
        <f t="shared" si="17"/>
        <v>1777610.7817499992</v>
      </c>
      <c r="AS47" s="77">
        <f t="shared" si="17"/>
        <v>1777610.7817499992</v>
      </c>
      <c r="AT47" s="77">
        <f t="shared" si="17"/>
        <v>1777610.7817499992</v>
      </c>
      <c r="AU47" s="77">
        <f t="shared" si="17"/>
        <v>1777610.7817499992</v>
      </c>
      <c r="AV47" s="77">
        <f t="shared" si="17"/>
        <v>1777610.7817499992</v>
      </c>
      <c r="AW47" s="77">
        <f t="shared" si="17"/>
        <v>2402324.6777499989</v>
      </c>
      <c r="AX47" s="77">
        <f t="shared" si="17"/>
        <v>2402324.6777499989</v>
      </c>
      <c r="AY47" s="77">
        <f t="shared" si="17"/>
        <v>2402324.6777499989</v>
      </c>
      <c r="AZ47" s="77">
        <f t="shared" si="17"/>
        <v>2402324.6777499989</v>
      </c>
      <c r="BA47" s="77">
        <f t="shared" si="17"/>
        <v>2887953.0984999989</v>
      </c>
      <c r="BB47" s="77">
        <f t="shared" si="17"/>
        <v>2980510.0354999988</v>
      </c>
      <c r="BC47" s="77">
        <f t="shared" si="17"/>
        <v>3119421.0577499988</v>
      </c>
      <c r="BD47" s="77">
        <f t="shared" si="17"/>
        <v>3211977.9947499987</v>
      </c>
      <c r="BE47" s="77">
        <f t="shared" si="17"/>
        <v>3304534.9317499986</v>
      </c>
      <c r="BF47" s="77">
        <f t="shared" si="17"/>
        <v>3397091.8687499985</v>
      </c>
      <c r="BG47" s="77">
        <f t="shared" si="17"/>
        <v>3536002.8909999984</v>
      </c>
      <c r="BH47" s="77">
        <f t="shared" si="17"/>
        <v>3628559.8279999983</v>
      </c>
      <c r="BI47" s="77">
        <f t="shared" si="17"/>
        <v>3721116.7649999983</v>
      </c>
      <c r="BJ47" s="77">
        <f t="shared" si="17"/>
        <v>3813673.7019999982</v>
      </c>
      <c r="BK47" s="77">
        <f t="shared" si="17"/>
        <v>3952584.7242499981</v>
      </c>
      <c r="BL47" s="77">
        <f t="shared" si="17"/>
        <v>4045141.661249998</v>
      </c>
      <c r="BM47" s="77">
        <f t="shared" si="17"/>
        <v>4137698.5982499979</v>
      </c>
      <c r="BN47" s="77">
        <f t="shared" si="17"/>
        <v>4230255.5352499979</v>
      </c>
      <c r="BO47" s="77">
        <f t="shared" si="17"/>
        <v>4369166.5574999982</v>
      </c>
      <c r="BP47" s="77">
        <f t="shared" si="17"/>
        <v>4854794.9782499978</v>
      </c>
      <c r="BQ47" s="77">
        <f t="shared" ref="BQ47:CV47" si="18">BP47+BQ29+BQ22</f>
        <v>4947351.9152499977</v>
      </c>
      <c r="BR47" s="77">
        <f t="shared" si="18"/>
        <v>5039908.8522499977</v>
      </c>
      <c r="BS47" s="77">
        <f t="shared" si="18"/>
        <v>5132465.7892499976</v>
      </c>
      <c r="BT47" s="77">
        <f t="shared" si="18"/>
        <v>5271376.811499998</v>
      </c>
      <c r="BU47" s="77">
        <f t="shared" si="18"/>
        <v>5363933.7484999979</v>
      </c>
      <c r="BV47" s="77">
        <f t="shared" si="18"/>
        <v>5456490.6854999978</v>
      </c>
      <c r="BW47" s="77">
        <f t="shared" si="18"/>
        <v>5549047.6224999977</v>
      </c>
      <c r="BX47" s="77">
        <f t="shared" si="18"/>
        <v>5687958.6447499981</v>
      </c>
      <c r="BY47" s="77">
        <f t="shared" si="18"/>
        <v>5780515.581749998</v>
      </c>
      <c r="BZ47" s="77">
        <f t="shared" si="18"/>
        <v>5873072.518749998</v>
      </c>
      <c r="CA47" s="77">
        <f t="shared" si="18"/>
        <v>5873072.518749998</v>
      </c>
      <c r="CB47" s="77">
        <f t="shared" si="18"/>
        <v>6446786.4147499977</v>
      </c>
      <c r="CC47" s="77">
        <f t="shared" si="18"/>
        <v>6446786.4147499977</v>
      </c>
      <c r="CD47" s="77">
        <f t="shared" si="18"/>
        <v>6446786.4147499977</v>
      </c>
      <c r="CE47" s="77">
        <f t="shared" si="18"/>
        <v>6446786.4147499977</v>
      </c>
      <c r="CF47" s="77">
        <f t="shared" si="18"/>
        <v>6446786.4147499977</v>
      </c>
      <c r="CG47" s="77">
        <f t="shared" si="18"/>
        <v>6446786.4147499977</v>
      </c>
      <c r="CH47" s="77">
        <f t="shared" si="18"/>
        <v>6446786.4147499977</v>
      </c>
      <c r="CI47" s="77">
        <f t="shared" si="18"/>
        <v>6446786.4147499977</v>
      </c>
      <c r="CJ47" s="77">
        <f t="shared" si="18"/>
        <v>6446786.4147499977</v>
      </c>
      <c r="CK47" s="77">
        <f t="shared" si="18"/>
        <v>6446786.4147499977</v>
      </c>
      <c r="CL47" s="77">
        <f t="shared" si="18"/>
        <v>6446786.4147499977</v>
      </c>
      <c r="CM47" s="77">
        <f t="shared" si="18"/>
        <v>6446786.4147499977</v>
      </c>
      <c r="CN47" s="77">
        <f t="shared" si="18"/>
        <v>6446786.4147499977</v>
      </c>
      <c r="CO47" s="77">
        <f t="shared" si="18"/>
        <v>6446786.4147499977</v>
      </c>
      <c r="CP47" s="77">
        <f t="shared" si="18"/>
        <v>6446786.4147499977</v>
      </c>
      <c r="CQ47" s="77">
        <f t="shared" si="18"/>
        <v>6446786.4147499977</v>
      </c>
      <c r="CR47" s="77">
        <f t="shared" si="18"/>
        <v>6446786.4147499977</v>
      </c>
      <c r="CS47" s="77">
        <f t="shared" si="18"/>
        <v>6446786.4147499977</v>
      </c>
      <c r="CT47" s="77">
        <f t="shared" si="18"/>
        <v>6446786.4147499977</v>
      </c>
      <c r="CU47" s="77">
        <f t="shared" si="18"/>
        <v>6446786.4147499977</v>
      </c>
      <c r="CV47" s="77">
        <f t="shared" si="18"/>
        <v>6446786.4147499977</v>
      </c>
      <c r="CW47" s="77">
        <f t="shared" ref="CW47:DS47" si="19">CV47+CW29+CW22</f>
        <v>6446786.4147499977</v>
      </c>
      <c r="CX47" s="77">
        <f t="shared" si="19"/>
        <v>6446786.4147499977</v>
      </c>
      <c r="CY47" s="77">
        <f t="shared" si="19"/>
        <v>6446786.4147499977</v>
      </c>
      <c r="CZ47" s="77">
        <f t="shared" si="19"/>
        <v>6446786.4147499977</v>
      </c>
      <c r="DA47" s="77">
        <f t="shared" si="19"/>
        <v>6446786.4147499977</v>
      </c>
      <c r="DB47" s="77">
        <f t="shared" si="19"/>
        <v>6446786.4147499977</v>
      </c>
      <c r="DC47" s="77">
        <f t="shared" si="19"/>
        <v>6446786.4147499977</v>
      </c>
      <c r="DD47" s="77">
        <f t="shared" si="19"/>
        <v>6446786.4147499977</v>
      </c>
      <c r="DE47" s="77">
        <f t="shared" si="19"/>
        <v>6446786.4147499977</v>
      </c>
      <c r="DF47" s="77">
        <f t="shared" si="19"/>
        <v>6446786.4147499977</v>
      </c>
      <c r="DG47" s="77">
        <f t="shared" si="19"/>
        <v>6446786.4147499977</v>
      </c>
      <c r="DH47" s="77">
        <f t="shared" si="19"/>
        <v>6446786.4147499977</v>
      </c>
      <c r="DI47" s="77">
        <f t="shared" si="19"/>
        <v>6446786.4147499977</v>
      </c>
      <c r="DJ47" s="77">
        <f t="shared" si="19"/>
        <v>6446786.4147499977</v>
      </c>
      <c r="DK47" s="77">
        <f t="shared" si="19"/>
        <v>6446786.4147499977</v>
      </c>
      <c r="DL47" s="77">
        <f t="shared" si="19"/>
        <v>6446786.4147499977</v>
      </c>
      <c r="DM47" s="77">
        <f t="shared" si="19"/>
        <v>6446786.4147499977</v>
      </c>
      <c r="DN47" s="77">
        <f t="shared" si="19"/>
        <v>6446786.4147499977</v>
      </c>
      <c r="DO47" s="77">
        <f t="shared" si="19"/>
        <v>6446786.4147499977</v>
      </c>
      <c r="DP47" s="77">
        <f t="shared" si="19"/>
        <v>6446786.4147499977</v>
      </c>
      <c r="DQ47" s="77">
        <f t="shared" si="19"/>
        <v>6446786.4147499977</v>
      </c>
      <c r="DR47" s="77">
        <f t="shared" si="19"/>
        <v>6446786.4147499977</v>
      </c>
      <c r="DS47" s="77">
        <f t="shared" si="19"/>
        <v>6446786.4147499977</v>
      </c>
    </row>
    <row r="48" spans="1:123" ht="15" customHeight="1" x14ac:dyDescent="0.2">
      <c r="B48" s="37" t="s">
        <v>947</v>
      </c>
      <c r="D48" s="77">
        <f>D47/(SUP_OPEX!$C$43*12)</f>
        <v>0</v>
      </c>
      <c r="E48" s="77">
        <f>E47/(SUP_OPEX!$C$43*12)</f>
        <v>0</v>
      </c>
      <c r="F48" s="77">
        <f>F47/(SUP_OPEX!$C$43*12)</f>
        <v>0</v>
      </c>
      <c r="G48" s="77">
        <f>G47/(SUP_OPEX!$C$43*12)</f>
        <v>0</v>
      </c>
      <c r="H48" s="77">
        <f>H47/(SUP_OPEX!$C$43*12)</f>
        <v>0</v>
      </c>
      <c r="I48" s="77">
        <f>I47/(SUP_OPEX!$C$43*12)</f>
        <v>0</v>
      </c>
      <c r="J48" s="77">
        <f>J47/(SUP_OPEX!$C$43*12)</f>
        <v>0</v>
      </c>
      <c r="K48" s="77">
        <f>K47/(SUP_OPEX!$C$43*12)</f>
        <v>0</v>
      </c>
      <c r="L48" s="77">
        <f>L47/(SUP_OPEX!$C$43*12)</f>
        <v>0</v>
      </c>
      <c r="M48" s="77">
        <f>M47/(SUP_OPEX!$C$43*12)</f>
        <v>0</v>
      </c>
      <c r="N48" s="77">
        <f>N47/(SUP_OPEX!$C$43*12)</f>
        <v>0</v>
      </c>
      <c r="O48" s="77">
        <f>O47/(SUP_OPEX!$C$43*12)</f>
        <v>0</v>
      </c>
      <c r="P48" s="77">
        <f>P47/(SUP_OPEX!$C$43*12)</f>
        <v>0</v>
      </c>
      <c r="Q48" s="77">
        <f>Q47/(SUP_OPEX!$C$43*12)</f>
        <v>771.30780833333313</v>
      </c>
      <c r="R48" s="77">
        <f>R47/(SUP_OPEX!$C$43*12)</f>
        <v>771.30780833333313</v>
      </c>
      <c r="S48" s="77">
        <f>S47/(SUP_OPEX!$C$43*12)</f>
        <v>1542.6156166666663</v>
      </c>
      <c r="T48" s="77">
        <f>T47/(SUP_OPEX!$C$43*12)</f>
        <v>2313.9234249999995</v>
      </c>
      <c r="U48" s="77">
        <f>U47/(SUP_OPEX!$C$43*12)</f>
        <v>2313.9234249999995</v>
      </c>
      <c r="V48" s="77">
        <f>V47/(SUP_OPEX!$C$43*12)</f>
        <v>2313.9234249999995</v>
      </c>
      <c r="W48" s="77">
        <f>W47/(SUP_OPEX!$C$43*12)</f>
        <v>2313.9234249999995</v>
      </c>
      <c r="X48" s="77">
        <f>X47/(SUP_OPEX!$C$43*12)</f>
        <v>2313.9234249999995</v>
      </c>
      <c r="Y48" s="77">
        <f>Y47/(SUP_OPEX!$C$43*12)</f>
        <v>2313.9234249999995</v>
      </c>
      <c r="Z48" s="77">
        <f>Z47/(SUP_OPEX!$C$43*12)</f>
        <v>2313.9234249999995</v>
      </c>
      <c r="AA48" s="77">
        <f>AA47/(SUP_OPEX!$C$43*12)</f>
        <v>5170.1851583333328</v>
      </c>
      <c r="AB48" s="77">
        <f>AB47/(SUP_OPEX!$C$43*12)</f>
        <v>5170.1851583333328</v>
      </c>
      <c r="AC48" s="77">
        <f>AC47/(SUP_OPEX!$C$43*12)</f>
        <v>6327.7770104166666</v>
      </c>
      <c r="AD48" s="77">
        <f>AD47/(SUP_OPEX!$C$43*12)</f>
        <v>7099.0848187499987</v>
      </c>
      <c r="AE48" s="77">
        <f>AE47/(SUP_OPEX!$C$43*12)</f>
        <v>7099.0848187499987</v>
      </c>
      <c r="AF48" s="77">
        <f>AF47/(SUP_OPEX!$C$43*12)</f>
        <v>7870.3926270833317</v>
      </c>
      <c r="AG48" s="77">
        <f>AG47/(SUP_OPEX!$C$43*12)</f>
        <v>8641.7004354166638</v>
      </c>
      <c r="AH48" s="77">
        <f>AH47/(SUP_OPEX!$C$43*12)</f>
        <v>8641.7004354166638</v>
      </c>
      <c r="AI48" s="77">
        <f>AI47/(SUP_OPEX!$C$43*12)</f>
        <v>8641.7004354166638</v>
      </c>
      <c r="AJ48" s="77">
        <f>AJ47/(SUP_OPEX!$C$43*12)</f>
        <v>9799.2922874999967</v>
      </c>
      <c r="AK48" s="77">
        <f>AK47/(SUP_OPEX!$C$43*12)</f>
        <v>10570.60009583333</v>
      </c>
      <c r="AL48" s="77">
        <f>AL47/(SUP_OPEX!$C$43*12)</f>
        <v>11341.907904166663</v>
      </c>
      <c r="AM48" s="77">
        <f>AM47/(SUP_OPEX!$C$43*12)</f>
        <v>12113.215712499996</v>
      </c>
      <c r="AN48" s="77">
        <f>AN47/(SUP_OPEX!$C$43*12)</f>
        <v>12113.215712499996</v>
      </c>
      <c r="AO48" s="77">
        <f>AO47/(SUP_OPEX!$C$43*12)</f>
        <v>13270.807564583327</v>
      </c>
      <c r="AP48" s="77">
        <f>AP47/(SUP_OPEX!$C$43*12)</f>
        <v>13270.807564583327</v>
      </c>
      <c r="AQ48" s="77">
        <f>AQ47/(SUP_OPEX!$C$43*12)</f>
        <v>14042.11537291666</v>
      </c>
      <c r="AR48" s="77">
        <f>AR47/(SUP_OPEX!$C$43*12)</f>
        <v>14813.423181249993</v>
      </c>
      <c r="AS48" s="77">
        <f>AS47/(SUP_OPEX!$C$43*12)</f>
        <v>14813.423181249993</v>
      </c>
      <c r="AT48" s="77">
        <f>AT47/(SUP_OPEX!$C$43*12)</f>
        <v>14813.423181249993</v>
      </c>
      <c r="AU48" s="77">
        <f>AU47/(SUP_OPEX!$C$43*12)</f>
        <v>14813.423181249993</v>
      </c>
      <c r="AV48" s="77">
        <f>AV47/(SUP_OPEX!$C$43*12)</f>
        <v>14813.423181249993</v>
      </c>
      <c r="AW48" s="77">
        <f>AW47/(SUP_OPEX!$C$43*12)</f>
        <v>20019.372314583325</v>
      </c>
      <c r="AX48" s="77">
        <f>AX47/(SUP_OPEX!$C$43*12)</f>
        <v>20019.372314583325</v>
      </c>
      <c r="AY48" s="77">
        <f>AY47/(SUP_OPEX!$C$43*12)</f>
        <v>20019.372314583325</v>
      </c>
      <c r="AZ48" s="77">
        <f>AZ47/(SUP_OPEX!$C$43*12)</f>
        <v>20019.372314583325</v>
      </c>
      <c r="BA48" s="77">
        <f>BA47/(SUP_OPEX!$C$43*12)</f>
        <v>24066.275820833325</v>
      </c>
      <c r="BB48" s="77">
        <f>BB47/(SUP_OPEX!$C$43*12)</f>
        <v>24837.583629166656</v>
      </c>
      <c r="BC48" s="77">
        <f>BC47/(SUP_OPEX!$C$43*12)</f>
        <v>25995.175481249989</v>
      </c>
      <c r="BD48" s="77">
        <f>BD47/(SUP_OPEX!$C$43*12)</f>
        <v>26766.483289583321</v>
      </c>
      <c r="BE48" s="77">
        <f>BE47/(SUP_OPEX!$C$43*12)</f>
        <v>27537.791097916655</v>
      </c>
      <c r="BF48" s="77">
        <f>BF47/(SUP_OPEX!$C$43*12)</f>
        <v>28309.098906249987</v>
      </c>
      <c r="BG48" s="77">
        <f>BG47/(SUP_OPEX!$C$43*12)</f>
        <v>29466.69075833332</v>
      </c>
      <c r="BH48" s="77">
        <f>BH47/(SUP_OPEX!$C$43*12)</f>
        <v>30237.998566666654</v>
      </c>
      <c r="BI48" s="77">
        <f>BI47/(SUP_OPEX!$C$43*12)</f>
        <v>31009.306374999986</v>
      </c>
      <c r="BJ48" s="77">
        <f>BJ47/(SUP_OPEX!$C$43*12)</f>
        <v>31780.614183333317</v>
      </c>
      <c r="BK48" s="77">
        <f>BK47/(SUP_OPEX!$C$43*12)</f>
        <v>32938.206035416653</v>
      </c>
      <c r="BL48" s="77">
        <f>BL47/(SUP_OPEX!$C$43*12)</f>
        <v>33709.513843749985</v>
      </c>
      <c r="BM48" s="77">
        <f>BM47/(SUP_OPEX!$C$43*12)</f>
        <v>34480.821652083316</v>
      </c>
      <c r="BN48" s="77">
        <f>BN47/(SUP_OPEX!$C$43*12)</f>
        <v>35252.129460416647</v>
      </c>
      <c r="BO48" s="77">
        <f>BO47/(SUP_OPEX!$C$43*12)</f>
        <v>36409.721312499983</v>
      </c>
      <c r="BP48" s="77">
        <f>BP47/(SUP_OPEX!$C$43*12)</f>
        <v>40456.62481874998</v>
      </c>
      <c r="BQ48" s="77">
        <f>BQ47/(SUP_OPEX!$C$43*12)</f>
        <v>41227.932627083312</v>
      </c>
      <c r="BR48" s="77">
        <f>BR47/(SUP_OPEX!$C$43*12)</f>
        <v>41999.24043541665</v>
      </c>
      <c r="BS48" s="77">
        <f>BS47/(SUP_OPEX!$C$43*12)</f>
        <v>42770.548243749981</v>
      </c>
      <c r="BT48" s="77">
        <f>BT47/(SUP_OPEX!$C$43*12)</f>
        <v>43928.140095833318</v>
      </c>
      <c r="BU48" s="77">
        <f>BU47/(SUP_OPEX!$C$43*12)</f>
        <v>44699.447904166649</v>
      </c>
      <c r="BV48" s="77">
        <f>BV47/(SUP_OPEX!$C$43*12)</f>
        <v>45470.75571249998</v>
      </c>
      <c r="BW48" s="77">
        <f>BW47/(SUP_OPEX!$C$43*12)</f>
        <v>46242.063520833311</v>
      </c>
      <c r="BX48" s="77">
        <f>BX47/(SUP_OPEX!$C$43*12)</f>
        <v>47399.655372916648</v>
      </c>
      <c r="BY48" s="77">
        <f>BY47/(SUP_OPEX!$C$43*12)</f>
        <v>48170.963181249987</v>
      </c>
      <c r="BZ48" s="77">
        <f>BZ47/(SUP_OPEX!$C$43*12)</f>
        <v>48942.270989583318</v>
      </c>
      <c r="CA48" s="77">
        <f>CA47/(SUP_OPEX!$C$43*12)</f>
        <v>48942.270989583318</v>
      </c>
      <c r="CB48" s="77">
        <f>CB47/(SUP_OPEX!$C$43*12)</f>
        <v>53723.220122916646</v>
      </c>
      <c r="CC48" s="77">
        <f>CC47/(SUP_OPEX!$C$43*12)</f>
        <v>53723.220122916646</v>
      </c>
      <c r="CD48" s="77">
        <f>CD47/(SUP_OPEX!$C$43*12)</f>
        <v>53723.220122916646</v>
      </c>
      <c r="CE48" s="77">
        <f>CE47/(SUP_OPEX!$C$43*12)</f>
        <v>53723.220122916646</v>
      </c>
      <c r="CF48" s="77">
        <f>CF47/(SUP_OPEX!$C$43*12)</f>
        <v>53723.220122916646</v>
      </c>
      <c r="CG48" s="77">
        <f>CG47/(SUP_OPEX!$C$43*12)</f>
        <v>53723.220122916646</v>
      </c>
      <c r="CH48" s="77">
        <f>CH47/(SUP_OPEX!$C$43*12)</f>
        <v>53723.220122916646</v>
      </c>
      <c r="CI48" s="77">
        <f>CI47/(SUP_OPEX!$C$43*12)</f>
        <v>53723.220122916646</v>
      </c>
      <c r="CJ48" s="77">
        <f>CJ47/(SUP_OPEX!$C$43*12)</f>
        <v>53723.220122916646</v>
      </c>
      <c r="CK48" s="77">
        <f>CK47/(SUP_OPEX!$C$43*12)</f>
        <v>53723.220122916646</v>
      </c>
      <c r="CL48" s="77">
        <f>CL47/(SUP_OPEX!$C$43*12)</f>
        <v>53723.220122916646</v>
      </c>
      <c r="CM48" s="77">
        <f>CM47/(SUP_OPEX!$C$43*12)</f>
        <v>53723.220122916646</v>
      </c>
      <c r="CN48" s="77">
        <f>CN47/(SUP_OPEX!$C$43*12)</f>
        <v>53723.220122916646</v>
      </c>
      <c r="CO48" s="77">
        <f>CO47/(SUP_OPEX!$C$43*12)</f>
        <v>53723.220122916646</v>
      </c>
      <c r="CP48" s="77">
        <f>CP47/(SUP_OPEX!$C$43*12)</f>
        <v>53723.220122916646</v>
      </c>
      <c r="CQ48" s="77">
        <f>CQ47/(SUP_OPEX!$C$43*12)</f>
        <v>53723.220122916646</v>
      </c>
      <c r="CR48" s="77">
        <f>CR47/(SUP_OPEX!$C$43*12)</f>
        <v>53723.220122916646</v>
      </c>
      <c r="CS48" s="77">
        <f>CS47/(SUP_OPEX!$C$43*12)</f>
        <v>53723.220122916646</v>
      </c>
      <c r="CT48" s="77">
        <f>CT47/(SUP_OPEX!$C$43*12)</f>
        <v>53723.220122916646</v>
      </c>
      <c r="CU48" s="77">
        <f>CU47/(SUP_OPEX!$C$43*12)</f>
        <v>53723.220122916646</v>
      </c>
      <c r="CV48" s="77">
        <f>CV47/(SUP_OPEX!$C$43*12)</f>
        <v>53723.220122916646</v>
      </c>
      <c r="CW48" s="77">
        <f>CW47/(SUP_OPEX!$C$43*12)</f>
        <v>53723.220122916646</v>
      </c>
      <c r="CX48" s="77">
        <f>CX47/(SUP_OPEX!$C$43*12)</f>
        <v>53723.220122916646</v>
      </c>
      <c r="CY48" s="77">
        <f>CY47/(SUP_OPEX!$C$43*12)</f>
        <v>53723.220122916646</v>
      </c>
      <c r="CZ48" s="77">
        <f>CZ47/(SUP_OPEX!$C$43*12)</f>
        <v>53723.220122916646</v>
      </c>
      <c r="DA48" s="77">
        <f>DA47/(SUP_OPEX!$C$43*12)</f>
        <v>53723.220122916646</v>
      </c>
      <c r="DB48" s="77">
        <f>DB47/(SUP_OPEX!$C$43*12)</f>
        <v>53723.220122916646</v>
      </c>
      <c r="DC48" s="77">
        <f>DC47/(SUP_OPEX!$C$43*12)</f>
        <v>53723.220122916646</v>
      </c>
      <c r="DD48" s="77">
        <f>DD47/(SUP_OPEX!$C$43*12)</f>
        <v>53723.220122916646</v>
      </c>
      <c r="DE48" s="77">
        <f>DE47/(SUP_OPEX!$C$43*12)</f>
        <v>53723.220122916646</v>
      </c>
      <c r="DF48" s="77">
        <f>DF47/(SUP_OPEX!$C$43*12)</f>
        <v>53723.220122916646</v>
      </c>
      <c r="DG48" s="77">
        <f>DG47/(SUP_OPEX!$C$43*12)</f>
        <v>53723.220122916646</v>
      </c>
      <c r="DH48" s="77">
        <f>DH47/(SUP_OPEX!$C$43*12)</f>
        <v>53723.220122916646</v>
      </c>
      <c r="DI48" s="77">
        <f>DI47/(SUP_OPEX!$C$43*12)</f>
        <v>53723.220122916646</v>
      </c>
      <c r="DJ48" s="77">
        <f>DJ47/(SUP_OPEX!$C$43*12)</f>
        <v>53723.220122916646</v>
      </c>
      <c r="DK48" s="77">
        <f>DK47/(SUP_OPEX!$C$43*12)</f>
        <v>53723.220122916646</v>
      </c>
      <c r="DL48" s="77">
        <f>DL47/(SUP_OPEX!$C$43*12)</f>
        <v>53723.220122916646</v>
      </c>
      <c r="DM48" s="77">
        <f>DM47/(SUP_OPEX!$C$43*12)</f>
        <v>53723.220122916646</v>
      </c>
      <c r="DN48" s="77">
        <f>DN47/(SUP_OPEX!$C$43*12)</f>
        <v>53723.220122916646</v>
      </c>
      <c r="DO48" s="77">
        <f>DO47/(SUP_OPEX!$C$43*12)</f>
        <v>53723.220122916646</v>
      </c>
      <c r="DP48" s="77">
        <f>DP47/(SUP_OPEX!$C$43*12)</f>
        <v>53723.220122916646</v>
      </c>
      <c r="DQ48" s="77">
        <f>DQ47/(SUP_OPEX!$C$43*12)</f>
        <v>53723.220122916646</v>
      </c>
      <c r="DR48" s="77">
        <f>DR47/(SUP_OPEX!$C$43*12)</f>
        <v>53723.220122916646</v>
      </c>
      <c r="DS48" s="77">
        <f>DS47/(SUP_OPEX!$C$43*12)</f>
        <v>53723.220122916646</v>
      </c>
    </row>
    <row r="49" spans="1:123" ht="15" customHeight="1" x14ac:dyDescent="0.2">
      <c r="B49" s="37" t="s">
        <v>910</v>
      </c>
      <c r="D49" s="77">
        <f t="shared" ref="D49:AI49" si="20">D46-D48</f>
        <v>0</v>
      </c>
      <c r="E49" s="77">
        <f t="shared" si="20"/>
        <v>0</v>
      </c>
      <c r="F49" s="77">
        <f t="shared" si="20"/>
        <v>0</v>
      </c>
      <c r="G49" s="77">
        <f t="shared" si="20"/>
        <v>0</v>
      </c>
      <c r="H49" s="77">
        <f t="shared" si="20"/>
        <v>0</v>
      </c>
      <c r="I49" s="77">
        <f t="shared" si="20"/>
        <v>0</v>
      </c>
      <c r="J49" s="77">
        <f t="shared" si="20"/>
        <v>0</v>
      </c>
      <c r="K49" s="77">
        <f t="shared" si="20"/>
        <v>0</v>
      </c>
      <c r="L49" s="77">
        <f t="shared" si="20"/>
        <v>0</v>
      </c>
      <c r="M49" s="77">
        <f t="shared" si="20"/>
        <v>0</v>
      </c>
      <c r="N49" s="77">
        <f t="shared" si="20"/>
        <v>0</v>
      </c>
      <c r="O49" s="77">
        <f t="shared" si="20"/>
        <v>0</v>
      </c>
      <c r="P49" s="77">
        <f t="shared" si="20"/>
        <v>0</v>
      </c>
      <c r="Q49" s="77">
        <f t="shared" si="20"/>
        <v>-771.30780833333313</v>
      </c>
      <c r="R49" s="77">
        <f t="shared" si="20"/>
        <v>-771.30780833333313</v>
      </c>
      <c r="S49" s="77">
        <f t="shared" si="20"/>
        <v>-1542.6156166666663</v>
      </c>
      <c r="T49" s="77">
        <f t="shared" si="20"/>
        <v>1278.9044038473289</v>
      </c>
      <c r="U49" s="77">
        <f t="shared" si="20"/>
        <v>3047.7377628409572</v>
      </c>
      <c r="V49" s="77">
        <f t="shared" si="20"/>
        <v>7909.768910198678</v>
      </c>
      <c r="W49" s="77">
        <f t="shared" si="20"/>
        <v>14641.309897081812</v>
      </c>
      <c r="X49" s="77">
        <f t="shared" si="20"/>
        <v>17645.800623202485</v>
      </c>
      <c r="Y49" s="77">
        <f t="shared" si="20"/>
        <v>20053.678579385934</v>
      </c>
      <c r="Z49" s="77">
        <f t="shared" si="20"/>
        <v>21258.989494170237</v>
      </c>
      <c r="AA49" s="77">
        <f t="shared" si="20"/>
        <v>14622.899703282943</v>
      </c>
      <c r="AB49" s="77">
        <f t="shared" si="20"/>
        <v>15933.795493516613</v>
      </c>
      <c r="AC49" s="77">
        <f t="shared" si="20"/>
        <v>14776.20364143328</v>
      </c>
      <c r="AD49" s="77">
        <f t="shared" si="20"/>
        <v>12904.667651268071</v>
      </c>
      <c r="AE49" s="77">
        <f t="shared" si="20"/>
        <v>12904.667651268071</v>
      </c>
      <c r="AF49" s="77">
        <f t="shared" si="20"/>
        <v>16623.417728288681</v>
      </c>
      <c r="AG49" s="77">
        <f t="shared" si="20"/>
        <v>21993.308675512155</v>
      </c>
      <c r="AH49" s="77">
        <f t="shared" si="20"/>
        <v>25383.244650062254</v>
      </c>
      <c r="AI49" s="77">
        <f t="shared" si="20"/>
        <v>32063.386639147546</v>
      </c>
      <c r="AJ49" s="77">
        <f t="shared" ref="AJ49:BO49" si="21">AJ46-AJ48</f>
        <v>37907.247963975096</v>
      </c>
      <c r="AK49" s="77">
        <f t="shared" si="21"/>
        <v>40212.656550993743</v>
      </c>
      <c r="AL49" s="77">
        <f t="shared" si="21"/>
        <v>39619.12801095035</v>
      </c>
      <c r="AM49" s="77">
        <f t="shared" si="21"/>
        <v>44640.590338453592</v>
      </c>
      <c r="AN49" s="77">
        <f t="shared" si="21"/>
        <v>52685.720135347772</v>
      </c>
      <c r="AO49" s="77">
        <f t="shared" si="21"/>
        <v>58984.449862734837</v>
      </c>
      <c r="AP49" s="77">
        <f t="shared" si="21"/>
        <v>67726.555362249477</v>
      </c>
      <c r="AQ49" s="77">
        <f t="shared" si="21"/>
        <v>71306.185367740298</v>
      </c>
      <c r="AR49" s="77">
        <f t="shared" si="21"/>
        <v>77975.097240769799</v>
      </c>
      <c r="AS49" s="77">
        <f t="shared" si="21"/>
        <v>81658.117598295255</v>
      </c>
      <c r="AT49" s="77">
        <f t="shared" si="21"/>
        <v>87380.744891181486</v>
      </c>
      <c r="AU49" s="77">
        <f t="shared" si="21"/>
        <v>95004.198556608375</v>
      </c>
      <c r="AV49" s="77">
        <f t="shared" si="21"/>
        <v>98141.192184440049</v>
      </c>
      <c r="AW49" s="77">
        <f t="shared" si="21"/>
        <v>86407.192229583263</v>
      </c>
      <c r="AX49" s="77">
        <f t="shared" si="21"/>
        <v>87643.749404729577</v>
      </c>
      <c r="AY49" s="77">
        <f t="shared" si="21"/>
        <v>87643.749404729577</v>
      </c>
      <c r="AZ49" s="77">
        <f t="shared" si="21"/>
        <v>90720.094100460425</v>
      </c>
      <c r="BA49" s="77">
        <f t="shared" si="21"/>
        <v>81719.994962598081</v>
      </c>
      <c r="BB49" s="77">
        <f t="shared" si="21"/>
        <v>80948.687154264742</v>
      </c>
      <c r="BC49" s="77">
        <f t="shared" si="21"/>
        <v>79791.09530218142</v>
      </c>
      <c r="BD49" s="77">
        <f t="shared" si="21"/>
        <v>76685.665058571278</v>
      </c>
      <c r="BE49" s="77">
        <f t="shared" si="21"/>
        <v>83561.135246391757</v>
      </c>
      <c r="BF49" s="77">
        <f t="shared" si="21"/>
        <v>87018.704487994342</v>
      </c>
      <c r="BG49" s="77">
        <f t="shared" si="21"/>
        <v>95662.097698614743</v>
      </c>
      <c r="BH49" s="77">
        <f t="shared" si="21"/>
        <v>103331.31017958806</v>
      </c>
      <c r="BI49" s="77">
        <f t="shared" si="21"/>
        <v>111025.09429964802</v>
      </c>
      <c r="BJ49" s="77">
        <f t="shared" si="21"/>
        <v>119198.43522053785</v>
      </c>
      <c r="BK49" s="77">
        <f t="shared" si="21"/>
        <v>120295.18428516542</v>
      </c>
      <c r="BL49" s="77">
        <f t="shared" si="21"/>
        <v>132537.27927566011</v>
      </c>
      <c r="BM49" s="77">
        <f t="shared" si="21"/>
        <v>140222.34543398852</v>
      </c>
      <c r="BN49" s="77">
        <f t="shared" si="21"/>
        <v>148377.14159764713</v>
      </c>
      <c r="BO49" s="77">
        <f t="shared" si="21"/>
        <v>155890.57257316515</v>
      </c>
      <c r="BP49" s="77">
        <f t="shared" ref="BP49:CU49" si="22">BP46-BP48</f>
        <v>154304.82394184195</v>
      </c>
      <c r="BQ49" s="77">
        <f t="shared" si="22"/>
        <v>161828.10440624098</v>
      </c>
      <c r="BR49" s="77">
        <f t="shared" si="22"/>
        <v>169789.89915113436</v>
      </c>
      <c r="BS49" s="77">
        <f t="shared" si="22"/>
        <v>171084.33219591473</v>
      </c>
      <c r="BT49" s="77">
        <f t="shared" si="22"/>
        <v>180061.92203831824</v>
      </c>
      <c r="BU49" s="77">
        <f t="shared" si="22"/>
        <v>181470.44235229952</v>
      </c>
      <c r="BV49" s="77">
        <f t="shared" si="22"/>
        <v>189659.29450139176</v>
      </c>
      <c r="BW49" s="77">
        <f t="shared" si="22"/>
        <v>197429.76779759326</v>
      </c>
      <c r="BX49" s="77">
        <f t="shared" si="22"/>
        <v>211784.25483482011</v>
      </c>
      <c r="BY49" s="77">
        <f t="shared" si="22"/>
        <v>219360.46492276085</v>
      </c>
      <c r="BZ49" s="77">
        <f t="shared" si="22"/>
        <v>228902.50022599855</v>
      </c>
      <c r="CA49" s="77">
        <f t="shared" si="22"/>
        <v>239313.04696967287</v>
      </c>
      <c r="CB49" s="77">
        <f t="shared" si="22"/>
        <v>236751.86181619906</v>
      </c>
      <c r="CC49" s="77">
        <f t="shared" si="22"/>
        <v>238421.30959244157</v>
      </c>
      <c r="CD49" s="77">
        <f t="shared" si="22"/>
        <v>241152.74077467338</v>
      </c>
      <c r="CE49" s="77">
        <f t="shared" si="22"/>
        <v>242340.40837044423</v>
      </c>
      <c r="CF49" s="77">
        <f t="shared" si="22"/>
        <v>242340.40837044423</v>
      </c>
      <c r="CG49" s="77">
        <f t="shared" si="22"/>
        <v>242340.40837044423</v>
      </c>
      <c r="CH49" s="77">
        <f t="shared" si="22"/>
        <v>242340.40837044423</v>
      </c>
      <c r="CI49" s="77">
        <f t="shared" si="22"/>
        <v>242340.40837044423</v>
      </c>
      <c r="CJ49" s="77">
        <f t="shared" si="22"/>
        <v>242340.40837044423</v>
      </c>
      <c r="CK49" s="77">
        <f t="shared" si="22"/>
        <v>242340.40837044423</v>
      </c>
      <c r="CL49" s="77">
        <f t="shared" si="22"/>
        <v>242340.40837044423</v>
      </c>
      <c r="CM49" s="77">
        <f t="shared" si="22"/>
        <v>242340.40837044423</v>
      </c>
      <c r="CN49" s="77">
        <f t="shared" si="22"/>
        <v>242340.40837044423</v>
      </c>
      <c r="CO49" s="77">
        <f t="shared" si="22"/>
        <v>242340.40837044423</v>
      </c>
      <c r="CP49" s="77">
        <f t="shared" si="22"/>
        <v>242340.40837044423</v>
      </c>
      <c r="CQ49" s="77">
        <f t="shared" si="22"/>
        <v>242340.40837044423</v>
      </c>
      <c r="CR49" s="77">
        <f t="shared" si="22"/>
        <v>242340.40837044423</v>
      </c>
      <c r="CS49" s="77">
        <f t="shared" si="22"/>
        <v>242340.40837044423</v>
      </c>
      <c r="CT49" s="77">
        <f t="shared" si="22"/>
        <v>242340.40837044423</v>
      </c>
      <c r="CU49" s="77">
        <f t="shared" si="22"/>
        <v>242340.40837044423</v>
      </c>
      <c r="CV49" s="77">
        <f t="shared" ref="CV49:EA49" si="23">CV46-CV48</f>
        <v>242340.40837044423</v>
      </c>
      <c r="CW49" s="77">
        <f t="shared" si="23"/>
        <v>242340.40837044423</v>
      </c>
      <c r="CX49" s="77">
        <f t="shared" si="23"/>
        <v>242340.40837044423</v>
      </c>
      <c r="CY49" s="77">
        <f t="shared" si="23"/>
        <v>242340.40837044423</v>
      </c>
      <c r="CZ49" s="77">
        <f t="shared" si="23"/>
        <v>242340.40837044423</v>
      </c>
      <c r="DA49" s="77">
        <f t="shared" si="23"/>
        <v>242340.40837044423</v>
      </c>
      <c r="DB49" s="77">
        <f t="shared" si="23"/>
        <v>242340.40837044423</v>
      </c>
      <c r="DC49" s="77">
        <f t="shared" si="23"/>
        <v>242340.40837044423</v>
      </c>
      <c r="DD49" s="77">
        <f t="shared" si="23"/>
        <v>242340.40837044423</v>
      </c>
      <c r="DE49" s="77">
        <f t="shared" si="23"/>
        <v>242340.40837044423</v>
      </c>
      <c r="DF49" s="77">
        <f t="shared" si="23"/>
        <v>242340.40837044423</v>
      </c>
      <c r="DG49" s="77">
        <f t="shared" si="23"/>
        <v>242340.40837044423</v>
      </c>
      <c r="DH49" s="77">
        <f t="shared" si="23"/>
        <v>242340.40837044423</v>
      </c>
      <c r="DI49" s="77">
        <f t="shared" si="23"/>
        <v>242340.40837044423</v>
      </c>
      <c r="DJ49" s="77">
        <f t="shared" si="23"/>
        <v>242340.40837044423</v>
      </c>
      <c r="DK49" s="77">
        <f t="shared" si="23"/>
        <v>242340.40837044423</v>
      </c>
      <c r="DL49" s="77">
        <f t="shared" si="23"/>
        <v>242340.40837044423</v>
      </c>
      <c r="DM49" s="77">
        <f t="shared" si="23"/>
        <v>242340.40837044423</v>
      </c>
      <c r="DN49" s="77">
        <f t="shared" si="23"/>
        <v>242340.40837044423</v>
      </c>
      <c r="DO49" s="77">
        <f t="shared" si="23"/>
        <v>242340.40837044423</v>
      </c>
      <c r="DP49" s="77">
        <f t="shared" si="23"/>
        <v>242340.40837044423</v>
      </c>
      <c r="DQ49" s="77">
        <f t="shared" si="23"/>
        <v>242340.40837044423</v>
      </c>
      <c r="DR49" s="77">
        <f t="shared" si="23"/>
        <v>242340.40837044423</v>
      </c>
      <c r="DS49" s="77">
        <f t="shared" si="23"/>
        <v>242340.40837044423</v>
      </c>
    </row>
    <row r="50" spans="1:123" ht="15" customHeight="1" x14ac:dyDescent="0.2">
      <c r="B50" s="37" t="s">
        <v>948</v>
      </c>
      <c r="D50" s="77">
        <f>MAX(0,D49)*SUP_CONTROL!$C$33</f>
        <v>0</v>
      </c>
      <c r="E50" s="77">
        <f>MAX(0,E49)*SUP_CONTROL!$C$33</f>
        <v>0</v>
      </c>
      <c r="F50" s="77">
        <f>MAX(0,F49)*SUP_CONTROL!$C$33</f>
        <v>0</v>
      </c>
      <c r="G50" s="77">
        <f>MAX(0,G49)*SUP_CONTROL!$C$33</f>
        <v>0</v>
      </c>
      <c r="H50" s="77">
        <f>MAX(0,H49)*SUP_CONTROL!$C$33</f>
        <v>0</v>
      </c>
      <c r="I50" s="77">
        <f>MAX(0,I49)*SUP_CONTROL!$C$33</f>
        <v>0</v>
      </c>
      <c r="J50" s="77">
        <f>MAX(0,J49)*SUP_CONTROL!$C$33</f>
        <v>0</v>
      </c>
      <c r="K50" s="77">
        <f>MAX(0,K49)*SUP_CONTROL!$C$33</f>
        <v>0</v>
      </c>
      <c r="L50" s="77">
        <f>MAX(0,L49)*SUP_CONTROL!$C$33</f>
        <v>0</v>
      </c>
      <c r="M50" s="77">
        <f>MAX(0,M49)*SUP_CONTROL!$C$33</f>
        <v>0</v>
      </c>
      <c r="N50" s="77">
        <f>MAX(0,N49)*SUP_CONTROL!$C$33</f>
        <v>0</v>
      </c>
      <c r="O50" s="77">
        <f>MAX(0,O49)*SUP_CONTROL!$C$33</f>
        <v>0</v>
      </c>
      <c r="P50" s="77">
        <f>MAX(0,P49)*SUP_CONTROL!$C$33</f>
        <v>0</v>
      </c>
      <c r="Q50" s="77">
        <f>MAX(0,Q49)*SUP_CONTROL!$C$33</f>
        <v>0</v>
      </c>
      <c r="R50" s="77">
        <f>MAX(0,R49)*SUP_CONTROL!$C$33</f>
        <v>0</v>
      </c>
      <c r="S50" s="77">
        <f>MAX(0,S49)*SUP_CONTROL!$C$33</f>
        <v>0</v>
      </c>
      <c r="T50" s="77">
        <f>MAX(0,T49)*SUP_CONTROL!$C$33</f>
        <v>434.82749730809189</v>
      </c>
      <c r="U50" s="77">
        <f>MAX(0,U49)*SUP_CONTROL!$C$33</f>
        <v>1036.2308393659255</v>
      </c>
      <c r="V50" s="77">
        <f>MAX(0,V49)*SUP_CONTROL!$C$33</f>
        <v>2689.3214294675508</v>
      </c>
      <c r="W50" s="77">
        <f>MAX(0,W49)*SUP_CONTROL!$C$33</f>
        <v>4978.0453650078161</v>
      </c>
      <c r="X50" s="77">
        <f>MAX(0,X49)*SUP_CONTROL!$C$33</f>
        <v>5999.5722118888452</v>
      </c>
      <c r="Y50" s="77">
        <f>MAX(0,Y49)*SUP_CONTROL!$C$33</f>
        <v>6818.2507169912178</v>
      </c>
      <c r="Z50" s="77">
        <f>MAX(0,Z49)*SUP_CONTROL!$C$33</f>
        <v>7228.0564280178814</v>
      </c>
      <c r="AA50" s="77">
        <f>MAX(0,AA49)*SUP_CONTROL!$C$33</f>
        <v>4971.7858991162011</v>
      </c>
      <c r="AB50" s="77">
        <f>MAX(0,AB49)*SUP_CONTROL!$C$33</f>
        <v>5417.4904677956483</v>
      </c>
      <c r="AC50" s="77">
        <f>MAX(0,AC49)*SUP_CONTROL!$C$33</f>
        <v>5023.9092380873153</v>
      </c>
      <c r="AD50" s="77">
        <f>MAX(0,AD49)*SUP_CONTROL!$C$33</f>
        <v>4387.5870014311449</v>
      </c>
      <c r="AE50" s="77">
        <f>MAX(0,AE49)*SUP_CONTROL!$C$33</f>
        <v>4387.5870014311449</v>
      </c>
      <c r="AF50" s="77">
        <f>MAX(0,AF49)*SUP_CONTROL!$C$33</f>
        <v>5651.9620276181522</v>
      </c>
      <c r="AG50" s="77">
        <f>MAX(0,AG49)*SUP_CONTROL!$C$33</f>
        <v>7477.7249496741333</v>
      </c>
      <c r="AH50" s="77">
        <f>MAX(0,AH49)*SUP_CONTROL!$C$33</f>
        <v>8630.3031810211669</v>
      </c>
      <c r="AI50" s="77">
        <f>MAX(0,AI49)*SUP_CONTROL!$C$33</f>
        <v>10901.551457310166</v>
      </c>
      <c r="AJ50" s="77">
        <f>MAX(0,AJ49)*SUP_CONTROL!$C$33</f>
        <v>12888.464307751534</v>
      </c>
      <c r="AK50" s="77">
        <f>MAX(0,AK49)*SUP_CONTROL!$C$33</f>
        <v>13672.303227337874</v>
      </c>
      <c r="AL50" s="77">
        <f>MAX(0,AL49)*SUP_CONTROL!$C$33</f>
        <v>13470.50352372312</v>
      </c>
      <c r="AM50" s="77">
        <f>MAX(0,AM49)*SUP_CONTROL!$C$33</f>
        <v>15177.800715074223</v>
      </c>
      <c r="AN50" s="77">
        <f>MAX(0,AN49)*SUP_CONTROL!$C$33</f>
        <v>17913.144846018244</v>
      </c>
      <c r="AO50" s="77">
        <f>MAX(0,AO49)*SUP_CONTROL!$C$33</f>
        <v>20054.712953329847</v>
      </c>
      <c r="AP50" s="77">
        <f>MAX(0,AP49)*SUP_CONTROL!$C$33</f>
        <v>23027.028823164823</v>
      </c>
      <c r="AQ50" s="77">
        <f>MAX(0,AQ49)*SUP_CONTROL!$C$33</f>
        <v>24244.103025031702</v>
      </c>
      <c r="AR50" s="77">
        <f>MAX(0,AR49)*SUP_CONTROL!$C$33</f>
        <v>26511.533061861734</v>
      </c>
      <c r="AS50" s="77">
        <f>MAX(0,AS49)*SUP_CONTROL!$C$33</f>
        <v>27763.75998342039</v>
      </c>
      <c r="AT50" s="77">
        <f>MAX(0,AT49)*SUP_CONTROL!$C$33</f>
        <v>29709.453263001709</v>
      </c>
      <c r="AU50" s="77">
        <f>MAX(0,AU49)*SUP_CONTROL!$C$33</f>
        <v>32301.427509246849</v>
      </c>
      <c r="AV50" s="77">
        <f>MAX(0,AV49)*SUP_CONTROL!$C$33</f>
        <v>33368.005342709621</v>
      </c>
      <c r="AW50" s="77">
        <f>MAX(0,AW49)*SUP_CONTROL!$C$33</f>
        <v>29378.44535805831</v>
      </c>
      <c r="AX50" s="77">
        <f>MAX(0,AX49)*SUP_CONTROL!$C$33</f>
        <v>29798.874797608059</v>
      </c>
      <c r="AY50" s="77">
        <f>MAX(0,AY49)*SUP_CONTROL!$C$33</f>
        <v>29798.874797608059</v>
      </c>
      <c r="AZ50" s="77">
        <f>MAX(0,AZ49)*SUP_CONTROL!$C$33</f>
        <v>30844.831994156546</v>
      </c>
      <c r="BA50" s="77">
        <f>MAX(0,BA49)*SUP_CONTROL!$C$33</f>
        <v>27784.798287283349</v>
      </c>
      <c r="BB50" s="77">
        <f>MAX(0,BB49)*SUP_CONTROL!$C$33</f>
        <v>27522.553632450014</v>
      </c>
      <c r="BC50" s="77">
        <f>MAX(0,BC49)*SUP_CONTROL!$C$33</f>
        <v>27128.972402741685</v>
      </c>
      <c r="BD50" s="77">
        <f>MAX(0,BD49)*SUP_CONTROL!$C$33</f>
        <v>26073.126119914235</v>
      </c>
      <c r="BE50" s="77">
        <f>MAX(0,BE49)*SUP_CONTROL!$C$33</f>
        <v>28410.785983773199</v>
      </c>
      <c r="BF50" s="77">
        <f>MAX(0,BF49)*SUP_CONTROL!$C$33</f>
        <v>29586.35952591808</v>
      </c>
      <c r="BG50" s="77">
        <f>MAX(0,BG49)*SUP_CONTROL!$C$33</f>
        <v>32525.113217529015</v>
      </c>
      <c r="BH50" s="77">
        <f>MAX(0,BH49)*SUP_CONTROL!$C$33</f>
        <v>35132.645461059947</v>
      </c>
      <c r="BI50" s="77">
        <f>MAX(0,BI49)*SUP_CONTROL!$C$33</f>
        <v>37748.532061880331</v>
      </c>
      <c r="BJ50" s="77">
        <f>MAX(0,BJ49)*SUP_CONTROL!$C$33</f>
        <v>40527.467974982872</v>
      </c>
      <c r="BK50" s="77">
        <f>MAX(0,BK49)*SUP_CONTROL!$C$33</f>
        <v>40900.362656956248</v>
      </c>
      <c r="BL50" s="77">
        <f>MAX(0,BL49)*SUP_CONTROL!$C$33</f>
        <v>45062.67495372444</v>
      </c>
      <c r="BM50" s="77">
        <f>MAX(0,BM49)*SUP_CONTROL!$C$33</f>
        <v>47675.597447556102</v>
      </c>
      <c r="BN50" s="77">
        <f>MAX(0,BN49)*SUP_CONTROL!$C$33</f>
        <v>50448.228143200031</v>
      </c>
      <c r="BO50" s="77">
        <f>MAX(0,BO49)*SUP_CONTROL!$C$33</f>
        <v>53002.794674876153</v>
      </c>
      <c r="BP50" s="77">
        <f>MAX(0,BP49)*SUP_CONTROL!$C$33</f>
        <v>52463.640140226271</v>
      </c>
      <c r="BQ50" s="77">
        <f>MAX(0,BQ49)*SUP_CONTROL!$C$33</f>
        <v>55021.555498121939</v>
      </c>
      <c r="BR50" s="77">
        <f>MAX(0,BR49)*SUP_CONTROL!$C$33</f>
        <v>57728.565711385687</v>
      </c>
      <c r="BS50" s="77">
        <f>MAX(0,BS49)*SUP_CONTROL!$C$33</f>
        <v>58168.672946611012</v>
      </c>
      <c r="BT50" s="77">
        <f>MAX(0,BT49)*SUP_CONTROL!$C$33</f>
        <v>61221.053493028208</v>
      </c>
      <c r="BU50" s="77">
        <f>MAX(0,BU49)*SUP_CONTROL!$C$33</f>
        <v>61699.950399781839</v>
      </c>
      <c r="BV50" s="77">
        <f>MAX(0,BV49)*SUP_CONTROL!$C$33</f>
        <v>64484.160130473203</v>
      </c>
      <c r="BW50" s="77">
        <f>MAX(0,BW49)*SUP_CONTROL!$C$33</f>
        <v>67126.121051181719</v>
      </c>
      <c r="BX50" s="77">
        <f>MAX(0,BX49)*SUP_CONTROL!$C$33</f>
        <v>72006.646643838845</v>
      </c>
      <c r="BY50" s="77">
        <f>MAX(0,BY49)*SUP_CONTROL!$C$33</f>
        <v>74582.558073738692</v>
      </c>
      <c r="BZ50" s="77">
        <f>MAX(0,BZ49)*SUP_CONTROL!$C$33</f>
        <v>77826.850076839517</v>
      </c>
      <c r="CA50" s="77">
        <f>MAX(0,CA49)*SUP_CONTROL!$C$33</f>
        <v>81366.435969688784</v>
      </c>
      <c r="CB50" s="77">
        <f>MAX(0,CB49)*SUP_CONTROL!$C$33</f>
        <v>80495.633017507687</v>
      </c>
      <c r="CC50" s="77">
        <f>MAX(0,CC49)*SUP_CONTROL!$C$33</f>
        <v>81063.245261430144</v>
      </c>
      <c r="CD50" s="77">
        <f>MAX(0,CD49)*SUP_CONTROL!$C$33</f>
        <v>81991.931863388949</v>
      </c>
      <c r="CE50" s="77">
        <f>MAX(0,CE49)*SUP_CONTROL!$C$33</f>
        <v>82395.73884595104</v>
      </c>
      <c r="CF50" s="77">
        <f>MAX(0,CF49)*SUP_CONTROL!$C$33</f>
        <v>82395.73884595104</v>
      </c>
      <c r="CG50" s="77">
        <f>MAX(0,CG49)*SUP_CONTROL!$C$33</f>
        <v>82395.73884595104</v>
      </c>
      <c r="CH50" s="77">
        <f>MAX(0,CH49)*SUP_CONTROL!$C$33</f>
        <v>82395.73884595104</v>
      </c>
      <c r="CI50" s="77">
        <f>MAX(0,CI49)*SUP_CONTROL!$C$33</f>
        <v>82395.73884595104</v>
      </c>
      <c r="CJ50" s="77">
        <f>MAX(0,CJ49)*SUP_CONTROL!$C$33</f>
        <v>82395.73884595104</v>
      </c>
      <c r="CK50" s="77">
        <f>MAX(0,CK49)*SUP_CONTROL!$C$33</f>
        <v>82395.73884595104</v>
      </c>
      <c r="CL50" s="77">
        <f>MAX(0,CL49)*SUP_CONTROL!$C$33</f>
        <v>82395.73884595104</v>
      </c>
      <c r="CM50" s="77">
        <f>MAX(0,CM49)*SUP_CONTROL!$C$33</f>
        <v>82395.73884595104</v>
      </c>
      <c r="CN50" s="77">
        <f>MAX(0,CN49)*SUP_CONTROL!$C$33</f>
        <v>82395.73884595104</v>
      </c>
      <c r="CO50" s="77">
        <f>MAX(0,CO49)*SUP_CONTROL!$C$33</f>
        <v>82395.73884595104</v>
      </c>
      <c r="CP50" s="77">
        <f>MAX(0,CP49)*SUP_CONTROL!$C$33</f>
        <v>82395.73884595104</v>
      </c>
      <c r="CQ50" s="77">
        <f>MAX(0,CQ49)*SUP_CONTROL!$C$33</f>
        <v>82395.73884595104</v>
      </c>
      <c r="CR50" s="77">
        <f>MAX(0,CR49)*SUP_CONTROL!$C$33</f>
        <v>82395.73884595104</v>
      </c>
      <c r="CS50" s="77">
        <f>MAX(0,CS49)*SUP_CONTROL!$C$33</f>
        <v>82395.73884595104</v>
      </c>
      <c r="CT50" s="77">
        <f>MAX(0,CT49)*SUP_CONTROL!$C$33</f>
        <v>82395.73884595104</v>
      </c>
      <c r="CU50" s="77">
        <f>MAX(0,CU49)*SUP_CONTROL!$C$33</f>
        <v>82395.73884595104</v>
      </c>
      <c r="CV50" s="77">
        <f>MAX(0,CV49)*SUP_CONTROL!$C$33</f>
        <v>82395.73884595104</v>
      </c>
      <c r="CW50" s="77">
        <f>MAX(0,CW49)*SUP_CONTROL!$C$33</f>
        <v>82395.73884595104</v>
      </c>
      <c r="CX50" s="77">
        <f>MAX(0,CX49)*SUP_CONTROL!$C$33</f>
        <v>82395.73884595104</v>
      </c>
      <c r="CY50" s="77">
        <f>MAX(0,CY49)*SUP_CONTROL!$C$33</f>
        <v>82395.73884595104</v>
      </c>
      <c r="CZ50" s="77">
        <f>MAX(0,CZ49)*SUP_CONTROL!$C$33</f>
        <v>82395.73884595104</v>
      </c>
      <c r="DA50" s="77">
        <f>MAX(0,DA49)*SUP_CONTROL!$C$33</f>
        <v>82395.73884595104</v>
      </c>
      <c r="DB50" s="77">
        <f>MAX(0,DB49)*SUP_CONTROL!$C$33</f>
        <v>82395.73884595104</v>
      </c>
      <c r="DC50" s="77">
        <f>MAX(0,DC49)*SUP_CONTROL!$C$33</f>
        <v>82395.73884595104</v>
      </c>
      <c r="DD50" s="77">
        <f>MAX(0,DD49)*SUP_CONTROL!$C$33</f>
        <v>82395.73884595104</v>
      </c>
      <c r="DE50" s="77">
        <f>MAX(0,DE49)*SUP_CONTROL!$C$33</f>
        <v>82395.73884595104</v>
      </c>
      <c r="DF50" s="77">
        <f>MAX(0,DF49)*SUP_CONTROL!$C$33</f>
        <v>82395.73884595104</v>
      </c>
      <c r="DG50" s="77">
        <f>MAX(0,DG49)*SUP_CONTROL!$C$33</f>
        <v>82395.73884595104</v>
      </c>
      <c r="DH50" s="77">
        <f>MAX(0,DH49)*SUP_CONTROL!$C$33</f>
        <v>82395.73884595104</v>
      </c>
      <c r="DI50" s="77">
        <f>MAX(0,DI49)*SUP_CONTROL!$C$33</f>
        <v>82395.73884595104</v>
      </c>
      <c r="DJ50" s="77">
        <f>MAX(0,DJ49)*SUP_CONTROL!$C$33</f>
        <v>82395.73884595104</v>
      </c>
      <c r="DK50" s="77">
        <f>MAX(0,DK49)*SUP_CONTROL!$C$33</f>
        <v>82395.73884595104</v>
      </c>
      <c r="DL50" s="77">
        <f>MAX(0,DL49)*SUP_CONTROL!$C$33</f>
        <v>82395.73884595104</v>
      </c>
      <c r="DM50" s="77">
        <f>MAX(0,DM49)*SUP_CONTROL!$C$33</f>
        <v>82395.73884595104</v>
      </c>
      <c r="DN50" s="77">
        <f>MAX(0,DN49)*SUP_CONTROL!$C$33</f>
        <v>82395.73884595104</v>
      </c>
      <c r="DO50" s="77">
        <f>MAX(0,DO49)*SUP_CONTROL!$C$33</f>
        <v>82395.73884595104</v>
      </c>
      <c r="DP50" s="77">
        <f>MAX(0,DP49)*SUP_CONTROL!$C$33</f>
        <v>82395.73884595104</v>
      </c>
      <c r="DQ50" s="77">
        <f>MAX(0,DQ49)*SUP_CONTROL!$C$33</f>
        <v>82395.73884595104</v>
      </c>
      <c r="DR50" s="77">
        <f>MAX(0,DR49)*SUP_CONTROL!$C$33</f>
        <v>82395.73884595104</v>
      </c>
      <c r="DS50" s="77">
        <f>MAX(0,DS49)*SUP_CONTROL!$C$33</f>
        <v>82395.73884595104</v>
      </c>
    </row>
    <row r="51" spans="1:123" ht="15" customHeight="1" x14ac:dyDescent="0.2">
      <c r="B51" s="20" t="s">
        <v>1031</v>
      </c>
      <c r="D51" s="72">
        <f t="shared" ref="D51:AI51" si="24">D46-D50</f>
        <v>0</v>
      </c>
      <c r="E51" s="72">
        <f t="shared" si="24"/>
        <v>0</v>
      </c>
      <c r="F51" s="72">
        <f t="shared" si="24"/>
        <v>0</v>
      </c>
      <c r="G51" s="72">
        <f t="shared" si="24"/>
        <v>0</v>
      </c>
      <c r="H51" s="72">
        <f t="shared" si="24"/>
        <v>0</v>
      </c>
      <c r="I51" s="72">
        <f t="shared" si="24"/>
        <v>0</v>
      </c>
      <c r="J51" s="72">
        <f t="shared" si="24"/>
        <v>0</v>
      </c>
      <c r="K51" s="72">
        <f t="shared" si="24"/>
        <v>0</v>
      </c>
      <c r="L51" s="72">
        <f t="shared" si="24"/>
        <v>0</v>
      </c>
      <c r="M51" s="72">
        <f t="shared" si="24"/>
        <v>0</v>
      </c>
      <c r="N51" s="72">
        <f t="shared" si="24"/>
        <v>0</v>
      </c>
      <c r="O51" s="72">
        <f t="shared" si="24"/>
        <v>0</v>
      </c>
      <c r="P51" s="72">
        <f t="shared" si="24"/>
        <v>0</v>
      </c>
      <c r="Q51" s="72">
        <f t="shared" si="24"/>
        <v>0</v>
      </c>
      <c r="R51" s="72">
        <f t="shared" si="24"/>
        <v>0</v>
      </c>
      <c r="S51" s="72">
        <f t="shared" si="24"/>
        <v>0</v>
      </c>
      <c r="T51" s="72">
        <f t="shared" si="24"/>
        <v>3158.0003315392364</v>
      </c>
      <c r="U51" s="72">
        <f t="shared" si="24"/>
        <v>4325.4303484750308</v>
      </c>
      <c r="V51" s="72">
        <f t="shared" si="24"/>
        <v>7534.3709057311262</v>
      </c>
      <c r="W51" s="72">
        <f t="shared" si="24"/>
        <v>11977.187957073995</v>
      </c>
      <c r="X51" s="72">
        <f t="shared" si="24"/>
        <v>13960.151836313642</v>
      </c>
      <c r="Y51" s="72">
        <f t="shared" si="24"/>
        <v>15549.351287394718</v>
      </c>
      <c r="Z51" s="72">
        <f t="shared" si="24"/>
        <v>16344.856491152357</v>
      </c>
      <c r="AA51" s="72">
        <f t="shared" si="24"/>
        <v>14821.298962500076</v>
      </c>
      <c r="AB51" s="72">
        <f t="shared" si="24"/>
        <v>15686.490184054299</v>
      </c>
      <c r="AC51" s="72">
        <f t="shared" si="24"/>
        <v>16080.071413762631</v>
      </c>
      <c r="AD51" s="72">
        <f t="shared" si="24"/>
        <v>15616.165468586925</v>
      </c>
      <c r="AE51" s="72">
        <f t="shared" si="24"/>
        <v>15616.165468586925</v>
      </c>
      <c r="AF51" s="72">
        <f t="shared" si="24"/>
        <v>18841.848327753862</v>
      </c>
      <c r="AG51" s="72">
        <f t="shared" si="24"/>
        <v>23157.284161254684</v>
      </c>
      <c r="AH51" s="72">
        <f t="shared" si="24"/>
        <v>25394.641904457749</v>
      </c>
      <c r="AI51" s="72">
        <f t="shared" si="24"/>
        <v>29803.535617254041</v>
      </c>
      <c r="AJ51" s="72">
        <f t="shared" ref="AJ51:BO51" si="25">AJ46-AJ50</f>
        <v>34818.075943723561</v>
      </c>
      <c r="AK51" s="72">
        <f t="shared" si="25"/>
        <v>37110.953419489204</v>
      </c>
      <c r="AL51" s="72">
        <f t="shared" si="25"/>
        <v>37490.532391393892</v>
      </c>
      <c r="AM51" s="72">
        <f t="shared" si="25"/>
        <v>41576.005335879367</v>
      </c>
      <c r="AN51" s="72">
        <f t="shared" si="25"/>
        <v>46885.791001829522</v>
      </c>
      <c r="AO51" s="72">
        <f t="shared" si="25"/>
        <v>52200.544473988324</v>
      </c>
      <c r="AP51" s="72">
        <f t="shared" si="25"/>
        <v>57970.334103667985</v>
      </c>
      <c r="AQ51" s="72">
        <f t="shared" si="25"/>
        <v>61104.197715625254</v>
      </c>
      <c r="AR51" s="72">
        <f t="shared" si="25"/>
        <v>66276.987360158062</v>
      </c>
      <c r="AS51" s="72">
        <f t="shared" si="25"/>
        <v>68707.780796124862</v>
      </c>
      <c r="AT51" s="72">
        <f t="shared" si="25"/>
        <v>72484.714809429774</v>
      </c>
      <c r="AU51" s="72">
        <f t="shared" si="25"/>
        <v>77516.194228611523</v>
      </c>
      <c r="AV51" s="72">
        <f t="shared" si="25"/>
        <v>79586.610022980429</v>
      </c>
      <c r="AW51" s="72">
        <f t="shared" si="25"/>
        <v>77048.119186108277</v>
      </c>
      <c r="AX51" s="72">
        <f t="shared" si="25"/>
        <v>77864.246921704835</v>
      </c>
      <c r="AY51" s="72">
        <f t="shared" si="25"/>
        <v>77864.246921704835</v>
      </c>
      <c r="AZ51" s="72">
        <f t="shared" si="25"/>
        <v>79894.634420887203</v>
      </c>
      <c r="BA51" s="72">
        <f t="shared" si="25"/>
        <v>78001.472496148053</v>
      </c>
      <c r="BB51" s="72">
        <f t="shared" si="25"/>
        <v>78263.717150981392</v>
      </c>
      <c r="BC51" s="72">
        <f t="shared" si="25"/>
        <v>78657.298380689725</v>
      </c>
      <c r="BD51" s="72">
        <f t="shared" si="25"/>
        <v>77379.02222824037</v>
      </c>
      <c r="BE51" s="72">
        <f t="shared" si="25"/>
        <v>82688.14036053521</v>
      </c>
      <c r="BF51" s="72">
        <f t="shared" si="25"/>
        <v>85741.443868326256</v>
      </c>
      <c r="BG51" s="72">
        <f t="shared" si="25"/>
        <v>92603.675239419055</v>
      </c>
      <c r="BH51" s="72">
        <f t="shared" si="25"/>
        <v>98436.663285194765</v>
      </c>
      <c r="BI51" s="72">
        <f t="shared" si="25"/>
        <v>104285.86861276766</v>
      </c>
      <c r="BJ51" s="72">
        <f t="shared" si="25"/>
        <v>110451.58142888831</v>
      </c>
      <c r="BK51" s="72">
        <f t="shared" si="25"/>
        <v>112333.02766362583</v>
      </c>
      <c r="BL51" s="72">
        <f t="shared" si="25"/>
        <v>121184.11816568568</v>
      </c>
      <c r="BM51" s="72">
        <f t="shared" si="25"/>
        <v>127027.56963851574</v>
      </c>
      <c r="BN51" s="72">
        <f t="shared" si="25"/>
        <v>133181.04291486373</v>
      </c>
      <c r="BO51" s="72">
        <f t="shared" si="25"/>
        <v>139297.49921078898</v>
      </c>
      <c r="BP51" s="72">
        <f t="shared" ref="BP51:CU51" si="26">BP46-BP50</f>
        <v>142297.80862036569</v>
      </c>
      <c r="BQ51" s="72">
        <f t="shared" si="26"/>
        <v>148034.48153520233</v>
      </c>
      <c r="BR51" s="72">
        <f t="shared" si="26"/>
        <v>154060.57387516531</v>
      </c>
      <c r="BS51" s="72">
        <f t="shared" si="26"/>
        <v>155686.20749305369</v>
      </c>
      <c r="BT51" s="72">
        <f t="shared" si="26"/>
        <v>162769.00864112334</v>
      </c>
      <c r="BU51" s="72">
        <f t="shared" si="26"/>
        <v>164469.93985668433</v>
      </c>
      <c r="BV51" s="72">
        <f t="shared" si="26"/>
        <v>170645.89008341855</v>
      </c>
      <c r="BW51" s="72">
        <f t="shared" si="26"/>
        <v>176545.71026724484</v>
      </c>
      <c r="BX51" s="72">
        <f t="shared" si="26"/>
        <v>187177.26356389793</v>
      </c>
      <c r="BY51" s="72">
        <f t="shared" si="26"/>
        <v>192948.87003027211</v>
      </c>
      <c r="BZ51" s="72">
        <f t="shared" si="26"/>
        <v>200017.92113874236</v>
      </c>
      <c r="CA51" s="72">
        <f t="shared" si="26"/>
        <v>206888.8819895674</v>
      </c>
      <c r="CB51" s="72">
        <f t="shared" si="26"/>
        <v>209979.44892160804</v>
      </c>
      <c r="CC51" s="72">
        <f t="shared" si="26"/>
        <v>211081.28445392806</v>
      </c>
      <c r="CD51" s="72">
        <f t="shared" si="26"/>
        <v>212884.02903420108</v>
      </c>
      <c r="CE51" s="72">
        <f t="shared" si="26"/>
        <v>213667.88964740984</v>
      </c>
      <c r="CF51" s="72">
        <f t="shared" si="26"/>
        <v>213667.88964740984</v>
      </c>
      <c r="CG51" s="72">
        <f t="shared" si="26"/>
        <v>213667.88964740984</v>
      </c>
      <c r="CH51" s="72">
        <f t="shared" si="26"/>
        <v>213667.88964740984</v>
      </c>
      <c r="CI51" s="72">
        <f t="shared" si="26"/>
        <v>213667.88964740984</v>
      </c>
      <c r="CJ51" s="72">
        <f t="shared" si="26"/>
        <v>213667.88964740984</v>
      </c>
      <c r="CK51" s="72">
        <f t="shared" si="26"/>
        <v>213667.88964740984</v>
      </c>
      <c r="CL51" s="72">
        <f t="shared" si="26"/>
        <v>213667.88964740984</v>
      </c>
      <c r="CM51" s="72">
        <f t="shared" si="26"/>
        <v>213667.88964740984</v>
      </c>
      <c r="CN51" s="72">
        <f t="shared" si="26"/>
        <v>213667.88964740984</v>
      </c>
      <c r="CO51" s="72">
        <f t="shared" si="26"/>
        <v>213667.88964740984</v>
      </c>
      <c r="CP51" s="72">
        <f t="shared" si="26"/>
        <v>213667.88964740984</v>
      </c>
      <c r="CQ51" s="72">
        <f t="shared" si="26"/>
        <v>213667.88964740984</v>
      </c>
      <c r="CR51" s="72">
        <f t="shared" si="26"/>
        <v>213667.88964740984</v>
      </c>
      <c r="CS51" s="72">
        <f t="shared" si="26"/>
        <v>213667.88964740984</v>
      </c>
      <c r="CT51" s="72">
        <f t="shared" si="26"/>
        <v>213667.88964740984</v>
      </c>
      <c r="CU51" s="72">
        <f t="shared" si="26"/>
        <v>213667.88964740984</v>
      </c>
      <c r="CV51" s="72">
        <f t="shared" ref="CV51:EA51" si="27">CV46-CV50</f>
        <v>213667.88964740984</v>
      </c>
      <c r="CW51" s="72">
        <f t="shared" si="27"/>
        <v>213667.88964740984</v>
      </c>
      <c r="CX51" s="72">
        <f t="shared" si="27"/>
        <v>213667.88964740984</v>
      </c>
      <c r="CY51" s="72">
        <f t="shared" si="27"/>
        <v>213667.88964740984</v>
      </c>
      <c r="CZ51" s="72">
        <f t="shared" si="27"/>
        <v>213667.88964740984</v>
      </c>
      <c r="DA51" s="72">
        <f t="shared" si="27"/>
        <v>213667.88964740984</v>
      </c>
      <c r="DB51" s="72">
        <f t="shared" si="27"/>
        <v>213667.88964740984</v>
      </c>
      <c r="DC51" s="72">
        <f t="shared" si="27"/>
        <v>213667.88964740984</v>
      </c>
      <c r="DD51" s="72">
        <f t="shared" si="27"/>
        <v>213667.88964740984</v>
      </c>
      <c r="DE51" s="72">
        <f t="shared" si="27"/>
        <v>213667.88964740984</v>
      </c>
      <c r="DF51" s="72">
        <f t="shared" si="27"/>
        <v>213667.88964740984</v>
      </c>
      <c r="DG51" s="72">
        <f t="shared" si="27"/>
        <v>213667.88964740984</v>
      </c>
      <c r="DH51" s="72">
        <f t="shared" si="27"/>
        <v>213667.88964740984</v>
      </c>
      <c r="DI51" s="72">
        <f t="shared" si="27"/>
        <v>213667.88964740984</v>
      </c>
      <c r="DJ51" s="72">
        <f t="shared" si="27"/>
        <v>213667.88964740984</v>
      </c>
      <c r="DK51" s="72">
        <f t="shared" si="27"/>
        <v>213667.88964740984</v>
      </c>
      <c r="DL51" s="72">
        <f t="shared" si="27"/>
        <v>213667.88964740984</v>
      </c>
      <c r="DM51" s="72">
        <f t="shared" si="27"/>
        <v>213667.88964740984</v>
      </c>
      <c r="DN51" s="72">
        <f t="shared" si="27"/>
        <v>213667.88964740984</v>
      </c>
      <c r="DO51" s="72">
        <f t="shared" si="27"/>
        <v>213667.88964740984</v>
      </c>
      <c r="DP51" s="72">
        <f t="shared" si="27"/>
        <v>213667.88964740984</v>
      </c>
      <c r="DQ51" s="72">
        <f t="shared" si="27"/>
        <v>213667.88964740984</v>
      </c>
      <c r="DR51" s="72">
        <f t="shared" si="27"/>
        <v>213667.88964740984</v>
      </c>
      <c r="DS51" s="72">
        <f t="shared" si="27"/>
        <v>213667.88964740984</v>
      </c>
    </row>
    <row r="53" spans="1:123" ht="15" customHeight="1" x14ac:dyDescent="0.2">
      <c r="B53" s="20" t="s">
        <v>1032</v>
      </c>
      <c r="D53" s="72">
        <f t="shared" ref="D53:AI53" si="28">D16+D11+D67-D22-D29-D30-D59</f>
        <v>183600</v>
      </c>
      <c r="E53" s="72">
        <f t="shared" si="28"/>
        <v>167885</v>
      </c>
      <c r="F53" s="72">
        <f t="shared" si="28"/>
        <v>152170</v>
      </c>
      <c r="G53" s="72">
        <f t="shared" si="28"/>
        <v>139247.25050096362</v>
      </c>
      <c r="H53" s="72">
        <f t="shared" si="28"/>
        <v>144781.97906559735</v>
      </c>
      <c r="I53" s="72">
        <f t="shared" si="28"/>
        <v>167168.89298965177</v>
      </c>
      <c r="J53" s="72">
        <f t="shared" si="28"/>
        <v>200898.68282664227</v>
      </c>
      <c r="K53" s="72">
        <f t="shared" si="28"/>
        <v>246994.8188742153</v>
      </c>
      <c r="L53" s="72">
        <f t="shared" si="28"/>
        <v>299027.65166206344</v>
      </c>
      <c r="M53" s="72">
        <f t="shared" si="28"/>
        <v>354210.5684345474</v>
      </c>
      <c r="N53" s="72">
        <f t="shared" si="28"/>
        <v>409393.48520703136</v>
      </c>
      <c r="O53" s="72">
        <f t="shared" si="28"/>
        <v>464576.40197951533</v>
      </c>
      <c r="P53" s="72">
        <f t="shared" si="28"/>
        <v>522902.8468569796</v>
      </c>
      <c r="Q53" s="72">
        <f t="shared" si="28"/>
        <v>484527.35473444388</v>
      </c>
      <c r="R53" s="72">
        <f t="shared" si="28"/>
        <v>542853.79961190815</v>
      </c>
      <c r="S53" s="72">
        <f t="shared" si="28"/>
        <v>504478.3074893725</v>
      </c>
      <c r="T53" s="72">
        <f t="shared" si="28"/>
        <v>459667.34740373323</v>
      </c>
      <c r="U53" s="72">
        <f t="shared" si="28"/>
        <v>524813.154642493</v>
      </c>
      <c r="V53" s="72">
        <f t="shared" si="28"/>
        <v>583573.31350324862</v>
      </c>
      <c r="W53" s="72">
        <f t="shared" si="28"/>
        <v>647202.6543103992</v>
      </c>
      <c r="X53" s="72">
        <f t="shared" si="28"/>
        <v>724923.37899154844</v>
      </c>
      <c r="Y53" s="72">
        <f t="shared" si="28"/>
        <v>802317.21077189653</v>
      </c>
      <c r="Z53" s="72">
        <f t="shared" si="28"/>
        <v>878547.5961018441</v>
      </c>
      <c r="AA53" s="72">
        <f t="shared" si="28"/>
        <v>607433.98822112498</v>
      </c>
      <c r="AB53" s="72">
        <f t="shared" si="28"/>
        <v>683080.50766694045</v>
      </c>
      <c r="AC53" s="72">
        <f t="shared" si="28"/>
        <v>614494.58609246416</v>
      </c>
      <c r="AD53" s="72">
        <f t="shared" si="28"/>
        <v>593296.14051153511</v>
      </c>
      <c r="AE53" s="72">
        <f t="shared" si="28"/>
        <v>668799.63193060609</v>
      </c>
      <c r="AF53" s="72">
        <f t="shared" si="28"/>
        <v>635455.9710976847</v>
      </c>
      <c r="AG53" s="72">
        <f t="shared" si="28"/>
        <v>616190.09501277073</v>
      </c>
      <c r="AH53" s="72">
        <f t="shared" si="28"/>
        <v>708036.9195090268</v>
      </c>
      <c r="AI53" s="72">
        <f t="shared" si="28"/>
        <v>791600.6295461033</v>
      </c>
      <c r="AJ53" s="72">
        <f t="shared" ref="AJ53:BO53" si="29">AJ16+AJ11+AJ67-AJ22-AJ29-AJ30-AJ59</f>
        <v>736020.98150236357</v>
      </c>
      <c r="AK53" s="72">
        <f t="shared" si="29"/>
        <v>742780.13084664475</v>
      </c>
      <c r="AL53" s="72">
        <f t="shared" si="29"/>
        <v>747925.79100973718</v>
      </c>
      <c r="AM53" s="72">
        <f t="shared" si="29"/>
        <v>739577.52376239956</v>
      </c>
      <c r="AN53" s="72">
        <f t="shared" si="29"/>
        <v>844356.0347758173</v>
      </c>
      <c r="AO53" s="72">
        <f t="shared" si="29"/>
        <v>812169.84209682955</v>
      </c>
      <c r="AP53" s="72">
        <f t="shared" si="29"/>
        <v>929529.83236431784</v>
      </c>
      <c r="AQ53" s="72">
        <f t="shared" si="29"/>
        <v>963433.61207670416</v>
      </c>
      <c r="AR53" s="72">
        <f t="shared" si="29"/>
        <v>984824.66064568842</v>
      </c>
      <c r="AS53" s="72">
        <f t="shared" si="29"/>
        <v>1122632.295152013</v>
      </c>
      <c r="AT53" s="72">
        <f t="shared" si="29"/>
        <v>1254429.0319333388</v>
      </c>
      <c r="AU53" s="72">
        <f t="shared" si="29"/>
        <v>1390293.5060425508</v>
      </c>
      <c r="AV53" s="72">
        <f t="shared" si="29"/>
        <v>1540289.0385732376</v>
      </c>
      <c r="AW53" s="72">
        <f t="shared" si="29"/>
        <v>1057716.4445464376</v>
      </c>
      <c r="AX53" s="72">
        <f t="shared" si="29"/>
        <v>1198710.1698882275</v>
      </c>
      <c r="AY53" s="72">
        <f t="shared" si="29"/>
        <v>1339703.8952300174</v>
      </c>
      <c r="AZ53" s="72">
        <f t="shared" si="29"/>
        <v>1484299.7721234798</v>
      </c>
      <c r="BA53" s="72">
        <f t="shared" si="29"/>
        <v>1122584.3799717897</v>
      </c>
      <c r="BB53" s="72">
        <f t="shared" si="29"/>
        <v>1168702.716224933</v>
      </c>
      <c r="BC53" s="72">
        <f t="shared" si="29"/>
        <v>1167290.5484577848</v>
      </c>
      <c r="BD53" s="72">
        <f t="shared" si="29"/>
        <v>1162973.9143613321</v>
      </c>
      <c r="BE53" s="72">
        <f t="shared" si="29"/>
        <v>1214269.5430563039</v>
      </c>
      <c r="BF53" s="72">
        <f t="shared" si="29"/>
        <v>1264857.6504851172</v>
      </c>
      <c r="BG53" s="72">
        <f t="shared" si="29"/>
        <v>1273899.5243624689</v>
      </c>
      <c r="BH53" s="72">
        <f t="shared" si="29"/>
        <v>1336963.4675183613</v>
      </c>
      <c r="BI53" s="72">
        <f t="shared" si="29"/>
        <v>1404925.3947027945</v>
      </c>
      <c r="BJ53" s="72">
        <f t="shared" si="29"/>
        <v>1473323.2418348573</v>
      </c>
      <c r="BK53" s="72">
        <f t="shared" si="29"/>
        <v>1502989.5520954544</v>
      </c>
      <c r="BL53" s="72">
        <f t="shared" si="29"/>
        <v>1591210.4326873389</v>
      </c>
      <c r="BM53" s="72">
        <f t="shared" si="29"/>
        <v>1684271.2090977733</v>
      </c>
      <c r="BN53" s="72">
        <f t="shared" si="29"/>
        <v>1777700.5118529841</v>
      </c>
      <c r="BO53" s="72">
        <f t="shared" si="29"/>
        <v>1836699.8372540041</v>
      </c>
      <c r="BP53" s="72">
        <f t="shared" ref="BP53:CU53" si="30">BP16+BP11+BP67-BP22-BP29-BP30-BP59</f>
        <v>1539139.3004319696</v>
      </c>
      <c r="BQ53" s="72">
        <f t="shared" si="30"/>
        <v>1653846.3229881944</v>
      </c>
      <c r="BR53" s="72">
        <f t="shared" si="30"/>
        <v>1768755.0125422082</v>
      </c>
      <c r="BS53" s="72">
        <f t="shared" si="30"/>
        <v>1852722.60354713</v>
      </c>
      <c r="BT53" s="72">
        <f t="shared" si="30"/>
        <v>1944001.3318411221</v>
      </c>
      <c r="BU53" s="72">
        <f t="shared" si="30"/>
        <v>2083769.4631207222</v>
      </c>
      <c r="BV53" s="72">
        <f t="shared" si="30"/>
        <v>2221843.7204740378</v>
      </c>
      <c r="BW53" s="72">
        <f t="shared" si="30"/>
        <v>2359952.7854781547</v>
      </c>
      <c r="BX53" s="72">
        <f t="shared" si="30"/>
        <v>2469653.9930470153</v>
      </c>
      <c r="BY53" s="72">
        <f t="shared" si="30"/>
        <v>2633157.7871229229</v>
      </c>
      <c r="BZ53" s="72">
        <f t="shared" si="30"/>
        <v>2802649.3158532586</v>
      </c>
      <c r="CA53" s="72">
        <f t="shared" si="30"/>
        <v>3069839.9230446806</v>
      </c>
      <c r="CB53" s="72">
        <f t="shared" si="30"/>
        <v>2772759.6030179746</v>
      </c>
      <c r="CC53" s="72">
        <f t="shared" si="30"/>
        <v>3050544.8079141839</v>
      </c>
      <c r="CD53" s="72">
        <f t="shared" si="30"/>
        <v>3338956.3225026233</v>
      </c>
      <c r="CE53" s="72">
        <f t="shared" si="30"/>
        <v>3626161.8847833369</v>
      </c>
      <c r="CF53" s="72">
        <f t="shared" si="30"/>
        <v>3911367.4470640505</v>
      </c>
      <c r="CG53" s="72">
        <f t="shared" si="30"/>
        <v>4196573.0093447641</v>
      </c>
      <c r="CH53" s="72">
        <f t="shared" si="30"/>
        <v>4481778.5716254776</v>
      </c>
      <c r="CI53" s="72">
        <f t="shared" si="30"/>
        <v>4766984.1339061912</v>
      </c>
      <c r="CJ53" s="72">
        <f t="shared" si="30"/>
        <v>5052189.6961869048</v>
      </c>
      <c r="CK53" s="72">
        <f t="shared" si="30"/>
        <v>5337395.2584676184</v>
      </c>
      <c r="CL53" s="72">
        <f t="shared" si="30"/>
        <v>5622600.820748332</v>
      </c>
      <c r="CM53" s="72">
        <f t="shared" si="30"/>
        <v>5907806.3830290455</v>
      </c>
      <c r="CN53" s="72">
        <f t="shared" si="30"/>
        <v>6193011.9453097591</v>
      </c>
      <c r="CO53" s="72">
        <f t="shared" si="30"/>
        <v>6478217.5075904727</v>
      </c>
      <c r="CP53" s="72">
        <f t="shared" si="30"/>
        <v>6763423.0698711863</v>
      </c>
      <c r="CQ53" s="72">
        <f t="shared" si="30"/>
        <v>7048628.6321518999</v>
      </c>
      <c r="CR53" s="72">
        <f t="shared" si="30"/>
        <v>7333834.1944326134</v>
      </c>
      <c r="CS53" s="72">
        <f t="shared" si="30"/>
        <v>7619039.756713327</v>
      </c>
      <c r="CT53" s="72">
        <f t="shared" si="30"/>
        <v>7904245.3189940406</v>
      </c>
      <c r="CU53" s="72">
        <f t="shared" si="30"/>
        <v>8189450.8812747542</v>
      </c>
      <c r="CV53" s="72">
        <f t="shared" ref="CV53:DS53" si="31">CV16+CV11+CV67-CV22-CV29-CV30-CV59</f>
        <v>8474656.4435554687</v>
      </c>
      <c r="CW53" s="72">
        <f t="shared" si="31"/>
        <v>8759862.0058361832</v>
      </c>
      <c r="CX53" s="72">
        <f t="shared" si="31"/>
        <v>9045067.5681168977</v>
      </c>
      <c r="CY53" s="72">
        <f t="shared" si="31"/>
        <v>9330273.1303976122</v>
      </c>
      <c r="CZ53" s="72">
        <f t="shared" si="31"/>
        <v>9615478.6926783267</v>
      </c>
      <c r="DA53" s="72">
        <f t="shared" si="31"/>
        <v>9900684.2549590413</v>
      </c>
      <c r="DB53" s="72">
        <f t="shared" si="31"/>
        <v>10185889.817239756</v>
      </c>
      <c r="DC53" s="72">
        <f t="shared" si="31"/>
        <v>10471095.37952047</v>
      </c>
      <c r="DD53" s="72">
        <f t="shared" si="31"/>
        <v>10756300.941801185</v>
      </c>
      <c r="DE53" s="72">
        <f t="shared" si="31"/>
        <v>11041506.504081899</v>
      </c>
      <c r="DF53" s="72">
        <f t="shared" si="31"/>
        <v>11326712.066362614</v>
      </c>
      <c r="DG53" s="72">
        <f t="shared" si="31"/>
        <v>11611917.628643328</v>
      </c>
      <c r="DH53" s="72">
        <f t="shared" si="31"/>
        <v>11897123.190924043</v>
      </c>
      <c r="DI53" s="72">
        <f t="shared" si="31"/>
        <v>12182328.753204757</v>
      </c>
      <c r="DJ53" s="72">
        <f t="shared" si="31"/>
        <v>12467534.315485472</v>
      </c>
      <c r="DK53" s="72">
        <f t="shared" si="31"/>
        <v>12752739.877766186</v>
      </c>
      <c r="DL53" s="72">
        <f t="shared" si="31"/>
        <v>13037945.440046901</v>
      </c>
      <c r="DM53" s="72">
        <f t="shared" si="31"/>
        <v>13323151.002327615</v>
      </c>
      <c r="DN53" s="72">
        <f t="shared" si="31"/>
        <v>13608356.56460833</v>
      </c>
      <c r="DO53" s="72">
        <f t="shared" si="31"/>
        <v>13893562.126889044</v>
      </c>
      <c r="DP53" s="72">
        <f t="shared" si="31"/>
        <v>14178767.689169759</v>
      </c>
      <c r="DQ53" s="72">
        <f t="shared" si="31"/>
        <v>14463973.251450473</v>
      </c>
      <c r="DR53" s="72">
        <f t="shared" si="31"/>
        <v>14749178.813731188</v>
      </c>
      <c r="DS53" s="72">
        <f t="shared" si="31"/>
        <v>15034384.376011902</v>
      </c>
    </row>
    <row r="55" spans="1:123" ht="15" customHeight="1" x14ac:dyDescent="0.2">
      <c r="B55" s="20" t="s">
        <v>1033</v>
      </c>
      <c r="D55" s="72">
        <f t="shared" ref="D55:AI55" si="32">D51-D22-D29-D30-D59</f>
        <v>0</v>
      </c>
      <c r="E55" s="72">
        <f t="shared" si="32"/>
        <v>0</v>
      </c>
      <c r="F55" s="72">
        <f t="shared" si="32"/>
        <v>0</v>
      </c>
      <c r="G55" s="72">
        <f t="shared" si="32"/>
        <v>0</v>
      </c>
      <c r="H55" s="72">
        <f t="shared" si="32"/>
        <v>0</v>
      </c>
      <c r="I55" s="72">
        <f t="shared" si="32"/>
        <v>0</v>
      </c>
      <c r="J55" s="72">
        <f t="shared" si="32"/>
        <v>0</v>
      </c>
      <c r="K55" s="72">
        <f t="shared" si="32"/>
        <v>0</v>
      </c>
      <c r="L55" s="72">
        <f t="shared" si="32"/>
        <v>0</v>
      </c>
      <c r="M55" s="72">
        <f t="shared" si="32"/>
        <v>0</v>
      </c>
      <c r="N55" s="72">
        <f t="shared" si="32"/>
        <v>0</v>
      </c>
      <c r="O55" s="72">
        <f t="shared" si="32"/>
        <v>0</v>
      </c>
      <c r="P55" s="72">
        <f t="shared" si="32"/>
        <v>0</v>
      </c>
      <c r="Q55" s="72">
        <f t="shared" si="32"/>
        <v>-96701.936999999976</v>
      </c>
      <c r="R55" s="72">
        <f t="shared" si="32"/>
        <v>0</v>
      </c>
      <c r="S55" s="72">
        <f t="shared" si="32"/>
        <v>-96701.936999999976</v>
      </c>
      <c r="T55" s="72">
        <f t="shared" si="32"/>
        <v>-103543.93666846074</v>
      </c>
      <c r="U55" s="72">
        <f t="shared" si="32"/>
        <v>6325.4303484750308</v>
      </c>
      <c r="V55" s="72">
        <f t="shared" si="32"/>
        <v>-465.62909426887381</v>
      </c>
      <c r="W55" s="72">
        <f t="shared" si="32"/>
        <v>3977.1879570739948</v>
      </c>
      <c r="X55" s="72">
        <f t="shared" si="32"/>
        <v>17960.151836313642</v>
      </c>
      <c r="Y55" s="72">
        <f t="shared" si="32"/>
        <v>17549.351287394718</v>
      </c>
      <c r="Z55" s="72">
        <f t="shared" si="32"/>
        <v>16344.856491152357</v>
      </c>
      <c r="AA55" s="72">
        <f t="shared" si="32"/>
        <v>-327930.10903749993</v>
      </c>
      <c r="AB55" s="72">
        <f t="shared" si="32"/>
        <v>15686.490184054299</v>
      </c>
      <c r="AC55" s="72">
        <f t="shared" si="32"/>
        <v>-128545.95083623737</v>
      </c>
      <c r="AD55" s="72">
        <f t="shared" si="32"/>
        <v>-81085.771531413047</v>
      </c>
      <c r="AE55" s="72">
        <f t="shared" si="32"/>
        <v>15616.165468586925</v>
      </c>
      <c r="AF55" s="72">
        <f t="shared" si="32"/>
        <v>-93860.088672246115</v>
      </c>
      <c r="AG55" s="72">
        <f t="shared" si="32"/>
        <v>-80344.6528387453</v>
      </c>
      <c r="AH55" s="72">
        <f t="shared" si="32"/>
        <v>30594.641904457749</v>
      </c>
      <c r="AI55" s="72">
        <f t="shared" si="32"/>
        <v>21803.535617254041</v>
      </c>
      <c r="AJ55" s="72">
        <f t="shared" ref="AJ55:BO55" si="33">AJ51-AJ22-AJ29-AJ30-AJ59</f>
        <v>-117807.94630627646</v>
      </c>
      <c r="AK55" s="72">
        <f t="shared" si="33"/>
        <v>-55590.983580510772</v>
      </c>
      <c r="AL55" s="72">
        <f t="shared" si="33"/>
        <v>-57211.404608606084</v>
      </c>
      <c r="AM55" s="72">
        <f t="shared" si="33"/>
        <v>-71125.93166412061</v>
      </c>
      <c r="AN55" s="72">
        <f t="shared" si="33"/>
        <v>40085.791001829522</v>
      </c>
      <c r="AO55" s="72">
        <f t="shared" si="33"/>
        <v>-97225.477776011685</v>
      </c>
      <c r="AP55" s="72">
        <f t="shared" si="33"/>
        <v>51970.334103667985</v>
      </c>
      <c r="AQ55" s="72">
        <f t="shared" si="33"/>
        <v>-31597.739284374722</v>
      </c>
      <c r="AR55" s="72">
        <f t="shared" si="33"/>
        <v>-44424.949639841914</v>
      </c>
      <c r="AS55" s="72">
        <f t="shared" si="33"/>
        <v>71907.780796124862</v>
      </c>
      <c r="AT55" s="72">
        <f t="shared" si="33"/>
        <v>65684.714809429774</v>
      </c>
      <c r="AU55" s="72">
        <f t="shared" si="33"/>
        <v>69516.194228611523</v>
      </c>
      <c r="AV55" s="72">
        <f t="shared" si="33"/>
        <v>83586.610022980429</v>
      </c>
      <c r="AW55" s="72">
        <f t="shared" si="33"/>
        <v>-545665.77681389172</v>
      </c>
      <c r="AX55" s="72">
        <f t="shared" si="33"/>
        <v>77864.246921704835</v>
      </c>
      <c r="AY55" s="72">
        <f t="shared" si="33"/>
        <v>77864.246921704835</v>
      </c>
      <c r="AZ55" s="72">
        <f t="shared" si="33"/>
        <v>79894.634420887203</v>
      </c>
      <c r="BA55" s="72">
        <f t="shared" si="33"/>
        <v>-426271.94825385197</v>
      </c>
      <c r="BB55" s="72">
        <f t="shared" si="33"/>
        <v>-18438.219849018584</v>
      </c>
      <c r="BC55" s="72">
        <f t="shared" si="33"/>
        <v>-65968.723869310284</v>
      </c>
      <c r="BD55" s="72">
        <f t="shared" si="33"/>
        <v>-69322.914771759606</v>
      </c>
      <c r="BE55" s="72">
        <f t="shared" si="33"/>
        <v>-14013.796639464766</v>
      </c>
      <c r="BF55" s="72">
        <f t="shared" si="33"/>
        <v>-14960.49313167372</v>
      </c>
      <c r="BG55" s="72">
        <f t="shared" si="33"/>
        <v>-56822.347010580954</v>
      </c>
      <c r="BH55" s="72">
        <f t="shared" si="33"/>
        <v>-3065.2737148052111</v>
      </c>
      <c r="BI55" s="72">
        <f t="shared" si="33"/>
        <v>1583.9316127676866</v>
      </c>
      <c r="BJ55" s="72">
        <f t="shared" si="33"/>
        <v>1749.6444288883358</v>
      </c>
      <c r="BK55" s="72">
        <f t="shared" si="33"/>
        <v>-37092.994586374174</v>
      </c>
      <c r="BL55" s="72">
        <f t="shared" si="33"/>
        <v>19682.181165685703</v>
      </c>
      <c r="BM55" s="72">
        <f t="shared" si="33"/>
        <v>24325.632638515759</v>
      </c>
      <c r="BN55" s="72">
        <f t="shared" si="33"/>
        <v>24479.105914863758</v>
      </c>
      <c r="BO55" s="72">
        <f t="shared" si="33"/>
        <v>-10128.523039211024</v>
      </c>
      <c r="BP55" s="72">
        <f t="shared" ref="BP55:CU55" si="34">BP51-BP22-BP29-BP30-BP59</f>
        <v>-366775.6121296343</v>
      </c>
      <c r="BQ55" s="72">
        <f t="shared" si="34"/>
        <v>45332.544535202353</v>
      </c>
      <c r="BR55" s="72">
        <f t="shared" si="34"/>
        <v>45358.636875165335</v>
      </c>
      <c r="BS55" s="72">
        <f t="shared" si="34"/>
        <v>14184.270493053715</v>
      </c>
      <c r="BT55" s="72">
        <f t="shared" si="34"/>
        <v>21342.986391123326</v>
      </c>
      <c r="BU55" s="72">
        <f t="shared" si="34"/>
        <v>69768.002856684354</v>
      </c>
      <c r="BV55" s="72">
        <f t="shared" si="34"/>
        <v>67943.953083418572</v>
      </c>
      <c r="BW55" s="72">
        <f t="shared" si="34"/>
        <v>67843.773267244862</v>
      </c>
      <c r="BX55" s="72">
        <f t="shared" si="34"/>
        <v>37751.241313897917</v>
      </c>
      <c r="BY55" s="72">
        <f t="shared" si="34"/>
        <v>91446.933030272136</v>
      </c>
      <c r="BZ55" s="72">
        <f t="shared" si="34"/>
        <v>97315.98413874238</v>
      </c>
      <c r="CA55" s="72">
        <f t="shared" si="34"/>
        <v>194888.8819895674</v>
      </c>
      <c r="CB55" s="72">
        <f t="shared" si="34"/>
        <v>-368534.44707839191</v>
      </c>
      <c r="CC55" s="72">
        <f t="shared" si="34"/>
        <v>206281.28445392806</v>
      </c>
      <c r="CD55" s="72">
        <f t="shared" si="34"/>
        <v>216884.02903420108</v>
      </c>
      <c r="CE55" s="72">
        <f t="shared" si="34"/>
        <v>215667.88964740984</v>
      </c>
      <c r="CF55" s="72">
        <f t="shared" si="34"/>
        <v>213667.88964740984</v>
      </c>
      <c r="CG55" s="72">
        <f t="shared" si="34"/>
        <v>213667.88964740984</v>
      </c>
      <c r="CH55" s="72">
        <f t="shared" si="34"/>
        <v>213667.88964740984</v>
      </c>
      <c r="CI55" s="72">
        <f t="shared" si="34"/>
        <v>213667.88964740984</v>
      </c>
      <c r="CJ55" s="72">
        <f t="shared" si="34"/>
        <v>213667.88964740984</v>
      </c>
      <c r="CK55" s="72">
        <f t="shared" si="34"/>
        <v>213667.88964740984</v>
      </c>
      <c r="CL55" s="72">
        <f t="shared" si="34"/>
        <v>213667.88964740984</v>
      </c>
      <c r="CM55" s="72">
        <f t="shared" si="34"/>
        <v>213667.88964740984</v>
      </c>
      <c r="CN55" s="72">
        <f t="shared" si="34"/>
        <v>213667.88964740984</v>
      </c>
      <c r="CO55" s="72">
        <f t="shared" si="34"/>
        <v>213667.88964740984</v>
      </c>
      <c r="CP55" s="72">
        <f t="shared" si="34"/>
        <v>213667.88964740984</v>
      </c>
      <c r="CQ55" s="72">
        <f t="shared" si="34"/>
        <v>213667.88964740984</v>
      </c>
      <c r="CR55" s="72">
        <f t="shared" si="34"/>
        <v>213667.88964740984</v>
      </c>
      <c r="CS55" s="72">
        <f t="shared" si="34"/>
        <v>213667.88964740984</v>
      </c>
      <c r="CT55" s="72">
        <f t="shared" si="34"/>
        <v>213667.88964740984</v>
      </c>
      <c r="CU55" s="72">
        <f t="shared" si="34"/>
        <v>213667.88964740984</v>
      </c>
      <c r="CV55" s="72">
        <f t="shared" ref="CV55:DS55" si="35">CV51-CV22-CV29-CV30-CV59</f>
        <v>213667.88964740984</v>
      </c>
      <c r="CW55" s="72">
        <f t="shared" si="35"/>
        <v>213667.88964740984</v>
      </c>
      <c r="CX55" s="72">
        <f t="shared" si="35"/>
        <v>213667.88964740984</v>
      </c>
      <c r="CY55" s="72">
        <f t="shared" si="35"/>
        <v>213667.88964740984</v>
      </c>
      <c r="CZ55" s="72">
        <f t="shared" si="35"/>
        <v>213667.88964740984</v>
      </c>
      <c r="DA55" s="72">
        <f t="shared" si="35"/>
        <v>213667.88964740984</v>
      </c>
      <c r="DB55" s="72">
        <f t="shared" si="35"/>
        <v>213667.88964740984</v>
      </c>
      <c r="DC55" s="72">
        <f t="shared" si="35"/>
        <v>213667.88964740984</v>
      </c>
      <c r="DD55" s="72">
        <f t="shared" si="35"/>
        <v>213667.88964740984</v>
      </c>
      <c r="DE55" s="72">
        <f t="shared" si="35"/>
        <v>213667.88964740984</v>
      </c>
      <c r="DF55" s="72">
        <f t="shared" si="35"/>
        <v>213667.88964740984</v>
      </c>
      <c r="DG55" s="72">
        <f t="shared" si="35"/>
        <v>213667.88964740984</v>
      </c>
      <c r="DH55" s="72">
        <f t="shared" si="35"/>
        <v>213667.88964740984</v>
      </c>
      <c r="DI55" s="72">
        <f t="shared" si="35"/>
        <v>213667.88964740984</v>
      </c>
      <c r="DJ55" s="72">
        <f t="shared" si="35"/>
        <v>213667.88964740984</v>
      </c>
      <c r="DK55" s="72">
        <f t="shared" si="35"/>
        <v>213667.88964740984</v>
      </c>
      <c r="DL55" s="72">
        <f t="shared" si="35"/>
        <v>213667.88964740984</v>
      </c>
      <c r="DM55" s="72">
        <f t="shared" si="35"/>
        <v>213667.88964740984</v>
      </c>
      <c r="DN55" s="72">
        <f t="shared" si="35"/>
        <v>213667.88964740984</v>
      </c>
      <c r="DO55" s="72">
        <f t="shared" si="35"/>
        <v>213667.88964740984</v>
      </c>
      <c r="DP55" s="72">
        <f t="shared" si="35"/>
        <v>213667.88964740984</v>
      </c>
      <c r="DQ55" s="72">
        <f t="shared" si="35"/>
        <v>213667.88964740984</v>
      </c>
      <c r="DR55" s="72">
        <f t="shared" si="35"/>
        <v>213667.88964740984</v>
      </c>
      <c r="DS55" s="72">
        <f t="shared" si="35"/>
        <v>213667.88964740984</v>
      </c>
    </row>
    <row r="56" spans="1:123" ht="15" customHeight="1" x14ac:dyDescent="0.2">
      <c r="B56" s="86" t="s">
        <v>1034</v>
      </c>
      <c r="D56">
        <v>0</v>
      </c>
      <c r="E56">
        <v>0</v>
      </c>
      <c r="F56">
        <v>0</v>
      </c>
      <c r="G56" s="69">
        <f t="shared" ref="G56:AL56" si="36">D25</f>
        <v>0</v>
      </c>
      <c r="H56" s="69">
        <f t="shared" si="36"/>
        <v>0</v>
      </c>
      <c r="I56" s="69">
        <f t="shared" si="36"/>
        <v>0</v>
      </c>
      <c r="J56" s="69">
        <f t="shared" si="36"/>
        <v>0</v>
      </c>
      <c r="K56" s="69">
        <f t="shared" si="36"/>
        <v>0</v>
      </c>
      <c r="L56" s="69">
        <f t="shared" si="36"/>
        <v>0</v>
      </c>
      <c r="M56" s="69">
        <f t="shared" si="36"/>
        <v>0</v>
      </c>
      <c r="N56" s="69">
        <f t="shared" si="36"/>
        <v>0</v>
      </c>
      <c r="O56" s="69">
        <f t="shared" si="36"/>
        <v>0</v>
      </c>
      <c r="P56" s="69">
        <f t="shared" si="36"/>
        <v>0</v>
      </c>
      <c r="Q56" s="69">
        <f t="shared" si="36"/>
        <v>0</v>
      </c>
      <c r="R56" s="69">
        <f t="shared" si="36"/>
        <v>0</v>
      </c>
      <c r="S56" s="69">
        <f t="shared" si="36"/>
        <v>0</v>
      </c>
      <c r="T56" s="69">
        <f t="shared" si="36"/>
        <v>1</v>
      </c>
      <c r="U56" s="69">
        <f t="shared" si="36"/>
        <v>1</v>
      </c>
      <c r="V56" s="69">
        <f t="shared" si="36"/>
        <v>2</v>
      </c>
      <c r="W56" s="69">
        <f t="shared" si="36"/>
        <v>3</v>
      </c>
      <c r="X56" s="69">
        <f t="shared" si="36"/>
        <v>3</v>
      </c>
      <c r="Y56" s="69">
        <f t="shared" si="36"/>
        <v>3</v>
      </c>
      <c r="Z56" s="69">
        <f t="shared" si="36"/>
        <v>3</v>
      </c>
      <c r="AA56" s="69">
        <f t="shared" si="36"/>
        <v>3</v>
      </c>
      <c r="AB56" s="69">
        <f t="shared" si="36"/>
        <v>3</v>
      </c>
      <c r="AC56" s="69">
        <f t="shared" si="36"/>
        <v>3</v>
      </c>
      <c r="AD56" s="69">
        <f t="shared" si="36"/>
        <v>3</v>
      </c>
      <c r="AE56" s="69">
        <f t="shared" si="36"/>
        <v>3</v>
      </c>
      <c r="AF56" s="69">
        <f t="shared" si="36"/>
        <v>4</v>
      </c>
      <c r="AG56" s="69">
        <f t="shared" si="36"/>
        <v>5</v>
      </c>
      <c r="AH56" s="69">
        <f t="shared" si="36"/>
        <v>5</v>
      </c>
      <c r="AI56" s="69">
        <f t="shared" si="36"/>
        <v>6</v>
      </c>
      <c r="AJ56" s="69">
        <f t="shared" si="36"/>
        <v>7</v>
      </c>
      <c r="AK56" s="69">
        <f t="shared" si="36"/>
        <v>7</v>
      </c>
      <c r="AL56" s="69">
        <f t="shared" si="36"/>
        <v>7</v>
      </c>
      <c r="AM56" s="69">
        <f t="shared" ref="AM56:BR56" si="37">AJ25</f>
        <v>8</v>
      </c>
      <c r="AN56" s="69">
        <f t="shared" si="37"/>
        <v>9</v>
      </c>
      <c r="AO56" s="69">
        <f t="shared" si="37"/>
        <v>10</v>
      </c>
      <c r="AP56" s="69">
        <f t="shared" si="37"/>
        <v>11</v>
      </c>
      <c r="AQ56" s="69">
        <f t="shared" si="37"/>
        <v>11</v>
      </c>
      <c r="AR56" s="69">
        <f t="shared" si="37"/>
        <v>12</v>
      </c>
      <c r="AS56" s="69">
        <f t="shared" si="37"/>
        <v>12</v>
      </c>
      <c r="AT56" s="69">
        <f t="shared" si="37"/>
        <v>13</v>
      </c>
      <c r="AU56" s="69">
        <f t="shared" si="37"/>
        <v>14</v>
      </c>
      <c r="AV56" s="69">
        <f t="shared" si="37"/>
        <v>14</v>
      </c>
      <c r="AW56" s="69">
        <f t="shared" si="37"/>
        <v>14</v>
      </c>
      <c r="AX56" s="69">
        <f t="shared" si="37"/>
        <v>14</v>
      </c>
      <c r="AY56" s="69">
        <f t="shared" si="37"/>
        <v>14</v>
      </c>
      <c r="AZ56" s="69">
        <f t="shared" si="37"/>
        <v>14</v>
      </c>
      <c r="BA56" s="69">
        <f t="shared" si="37"/>
        <v>14</v>
      </c>
      <c r="BB56" s="69">
        <f t="shared" si="37"/>
        <v>14</v>
      </c>
      <c r="BC56" s="69">
        <f t="shared" si="37"/>
        <v>14</v>
      </c>
      <c r="BD56" s="69">
        <f t="shared" si="37"/>
        <v>15</v>
      </c>
      <c r="BE56" s="69">
        <f t="shared" si="37"/>
        <v>16</v>
      </c>
      <c r="BF56" s="69">
        <f t="shared" si="37"/>
        <v>17</v>
      </c>
      <c r="BG56" s="69">
        <f t="shared" si="37"/>
        <v>18</v>
      </c>
      <c r="BH56" s="69">
        <f t="shared" si="37"/>
        <v>19</v>
      </c>
      <c r="BI56" s="69">
        <f t="shared" si="37"/>
        <v>20</v>
      </c>
      <c r="BJ56" s="69">
        <f t="shared" si="37"/>
        <v>21</v>
      </c>
      <c r="BK56" s="69">
        <f t="shared" si="37"/>
        <v>22</v>
      </c>
      <c r="BL56" s="69">
        <f t="shared" si="37"/>
        <v>23</v>
      </c>
      <c r="BM56" s="69">
        <f t="shared" si="37"/>
        <v>24</v>
      </c>
      <c r="BN56" s="69">
        <f t="shared" si="37"/>
        <v>25</v>
      </c>
      <c r="BO56" s="69">
        <f t="shared" si="37"/>
        <v>26</v>
      </c>
      <c r="BP56" s="69">
        <f t="shared" si="37"/>
        <v>27</v>
      </c>
      <c r="BQ56" s="69">
        <f t="shared" si="37"/>
        <v>28</v>
      </c>
      <c r="BR56" s="69">
        <f t="shared" si="37"/>
        <v>29</v>
      </c>
      <c r="BS56" s="69">
        <f t="shared" ref="BS56:CX56" si="38">BP25</f>
        <v>30</v>
      </c>
      <c r="BT56" s="69">
        <f t="shared" si="38"/>
        <v>31</v>
      </c>
      <c r="BU56" s="69">
        <f t="shared" si="38"/>
        <v>32</v>
      </c>
      <c r="BV56" s="69">
        <f t="shared" si="38"/>
        <v>33</v>
      </c>
      <c r="BW56" s="69">
        <f t="shared" si="38"/>
        <v>34</v>
      </c>
      <c r="BX56" s="69">
        <f t="shared" si="38"/>
        <v>35</v>
      </c>
      <c r="BY56" s="69">
        <f t="shared" si="38"/>
        <v>36</v>
      </c>
      <c r="BZ56" s="69">
        <f t="shared" si="38"/>
        <v>37</v>
      </c>
      <c r="CA56" s="69">
        <f t="shared" si="38"/>
        <v>38</v>
      </c>
      <c r="CB56" s="69">
        <f t="shared" si="38"/>
        <v>39</v>
      </c>
      <c r="CC56" s="69">
        <f t="shared" si="38"/>
        <v>40</v>
      </c>
      <c r="CD56" s="69">
        <f t="shared" si="38"/>
        <v>40</v>
      </c>
      <c r="CE56" s="69">
        <f t="shared" si="38"/>
        <v>40</v>
      </c>
      <c r="CF56" s="69">
        <f t="shared" si="38"/>
        <v>40</v>
      </c>
      <c r="CG56" s="69">
        <f t="shared" si="38"/>
        <v>40</v>
      </c>
      <c r="CH56" s="69">
        <f t="shared" si="38"/>
        <v>40</v>
      </c>
      <c r="CI56" s="69">
        <f t="shared" si="38"/>
        <v>40</v>
      </c>
      <c r="CJ56" s="69">
        <f t="shared" si="38"/>
        <v>40</v>
      </c>
      <c r="CK56" s="69">
        <f t="shared" si="38"/>
        <v>40</v>
      </c>
      <c r="CL56" s="69">
        <f t="shared" si="38"/>
        <v>40</v>
      </c>
      <c r="CM56" s="69">
        <f t="shared" si="38"/>
        <v>40</v>
      </c>
      <c r="CN56" s="69">
        <f t="shared" si="38"/>
        <v>40</v>
      </c>
      <c r="CO56" s="69">
        <f t="shared" si="38"/>
        <v>40</v>
      </c>
      <c r="CP56" s="69">
        <f t="shared" si="38"/>
        <v>40</v>
      </c>
      <c r="CQ56" s="69">
        <f t="shared" si="38"/>
        <v>40</v>
      </c>
      <c r="CR56" s="69">
        <f t="shared" si="38"/>
        <v>40</v>
      </c>
      <c r="CS56" s="69">
        <f t="shared" si="38"/>
        <v>40</v>
      </c>
      <c r="CT56" s="69">
        <f t="shared" si="38"/>
        <v>40</v>
      </c>
      <c r="CU56" s="69">
        <f t="shared" si="38"/>
        <v>40</v>
      </c>
      <c r="CV56" s="69">
        <f t="shared" si="38"/>
        <v>40</v>
      </c>
      <c r="CW56" s="69">
        <f t="shared" si="38"/>
        <v>40</v>
      </c>
      <c r="CX56" s="69">
        <f t="shared" si="38"/>
        <v>40</v>
      </c>
      <c r="CY56" s="69">
        <f t="shared" ref="CY56:ED56" si="39">CV25</f>
        <v>40</v>
      </c>
      <c r="CZ56" s="69">
        <f t="shared" si="39"/>
        <v>40</v>
      </c>
      <c r="DA56" s="69">
        <f t="shared" si="39"/>
        <v>40</v>
      </c>
      <c r="DB56" s="69">
        <f t="shared" si="39"/>
        <v>40</v>
      </c>
      <c r="DC56" s="69">
        <f t="shared" si="39"/>
        <v>40</v>
      </c>
      <c r="DD56" s="69">
        <f t="shared" si="39"/>
        <v>40</v>
      </c>
      <c r="DE56" s="69">
        <f t="shared" si="39"/>
        <v>40</v>
      </c>
      <c r="DF56" s="69">
        <f t="shared" si="39"/>
        <v>40</v>
      </c>
      <c r="DG56" s="69">
        <f t="shared" si="39"/>
        <v>40</v>
      </c>
      <c r="DH56" s="69">
        <f t="shared" si="39"/>
        <v>40</v>
      </c>
      <c r="DI56" s="69">
        <f t="shared" si="39"/>
        <v>40</v>
      </c>
      <c r="DJ56" s="69">
        <f t="shared" si="39"/>
        <v>40</v>
      </c>
      <c r="DK56" s="69">
        <f t="shared" si="39"/>
        <v>40</v>
      </c>
      <c r="DL56" s="69">
        <f t="shared" si="39"/>
        <v>40</v>
      </c>
      <c r="DM56" s="69">
        <f t="shared" si="39"/>
        <v>40</v>
      </c>
      <c r="DN56" s="69">
        <f t="shared" si="39"/>
        <v>40</v>
      </c>
      <c r="DO56" s="69">
        <f t="shared" si="39"/>
        <v>40</v>
      </c>
      <c r="DP56" s="69">
        <f t="shared" si="39"/>
        <v>40</v>
      </c>
      <c r="DQ56" s="69">
        <f t="shared" si="39"/>
        <v>40</v>
      </c>
      <c r="DR56" s="69">
        <f t="shared" si="39"/>
        <v>40</v>
      </c>
      <c r="DS56" s="69">
        <f t="shared" si="39"/>
        <v>40</v>
      </c>
    </row>
    <row r="57" spans="1:123" ht="15" customHeight="1" x14ac:dyDescent="0.2">
      <c r="A57" s="25" t="s">
        <v>1035</v>
      </c>
      <c r="B57" s="100" t="s">
        <v>1036</v>
      </c>
      <c r="C57" s="26"/>
      <c r="D57">
        <v>0</v>
      </c>
      <c r="E57">
        <v>0</v>
      </c>
      <c r="F57">
        <v>0</v>
      </c>
      <c r="G57">
        <f t="shared" ref="G57:AL57" si="40">D56</f>
        <v>0</v>
      </c>
      <c r="H57">
        <f t="shared" si="40"/>
        <v>0</v>
      </c>
      <c r="I57">
        <f t="shared" si="40"/>
        <v>0</v>
      </c>
      <c r="J57" s="69">
        <f t="shared" si="40"/>
        <v>0</v>
      </c>
      <c r="K57" s="69">
        <f t="shared" si="40"/>
        <v>0</v>
      </c>
      <c r="L57" s="69">
        <f t="shared" si="40"/>
        <v>0</v>
      </c>
      <c r="M57" s="69">
        <f t="shared" si="40"/>
        <v>0</v>
      </c>
      <c r="N57" s="69">
        <f t="shared" si="40"/>
        <v>0</v>
      </c>
      <c r="O57" s="69">
        <f t="shared" si="40"/>
        <v>0</v>
      </c>
      <c r="P57" s="69">
        <f t="shared" si="40"/>
        <v>0</v>
      </c>
      <c r="Q57" s="69">
        <f t="shared" si="40"/>
        <v>0</v>
      </c>
      <c r="R57" s="69">
        <f t="shared" si="40"/>
        <v>0</v>
      </c>
      <c r="S57" s="69">
        <f t="shared" si="40"/>
        <v>0</v>
      </c>
      <c r="T57" s="69">
        <f t="shared" si="40"/>
        <v>0</v>
      </c>
      <c r="U57" s="69">
        <f t="shared" si="40"/>
        <v>0</v>
      </c>
      <c r="V57" s="69">
        <f t="shared" si="40"/>
        <v>0</v>
      </c>
      <c r="W57" s="69">
        <f t="shared" si="40"/>
        <v>1</v>
      </c>
      <c r="X57" s="69">
        <f t="shared" si="40"/>
        <v>1</v>
      </c>
      <c r="Y57" s="69">
        <f t="shared" si="40"/>
        <v>2</v>
      </c>
      <c r="Z57" s="69">
        <f t="shared" si="40"/>
        <v>3</v>
      </c>
      <c r="AA57" s="69">
        <f t="shared" si="40"/>
        <v>3</v>
      </c>
      <c r="AB57" s="69">
        <f t="shared" si="40"/>
        <v>3</v>
      </c>
      <c r="AC57" s="69">
        <f t="shared" si="40"/>
        <v>3</v>
      </c>
      <c r="AD57" s="69">
        <f t="shared" si="40"/>
        <v>3</v>
      </c>
      <c r="AE57" s="69">
        <f t="shared" si="40"/>
        <v>3</v>
      </c>
      <c r="AF57" s="69">
        <f t="shared" si="40"/>
        <v>3</v>
      </c>
      <c r="AG57" s="69">
        <f t="shared" si="40"/>
        <v>3</v>
      </c>
      <c r="AH57" s="69">
        <f t="shared" si="40"/>
        <v>3</v>
      </c>
      <c r="AI57" s="69">
        <f t="shared" si="40"/>
        <v>4</v>
      </c>
      <c r="AJ57" s="69">
        <f t="shared" si="40"/>
        <v>5</v>
      </c>
      <c r="AK57" s="69">
        <f t="shared" si="40"/>
        <v>5</v>
      </c>
      <c r="AL57" s="69">
        <f t="shared" si="40"/>
        <v>6</v>
      </c>
      <c r="AM57" s="69">
        <f t="shared" ref="AM57:BR57" si="41">AJ56</f>
        <v>7</v>
      </c>
      <c r="AN57" s="69">
        <f t="shared" si="41"/>
        <v>7</v>
      </c>
      <c r="AO57" s="69">
        <f t="shared" si="41"/>
        <v>7</v>
      </c>
      <c r="AP57" s="69">
        <f t="shared" si="41"/>
        <v>8</v>
      </c>
      <c r="AQ57" s="69">
        <f t="shared" si="41"/>
        <v>9</v>
      </c>
      <c r="AR57" s="69">
        <f t="shared" si="41"/>
        <v>10</v>
      </c>
      <c r="AS57" s="69">
        <f t="shared" si="41"/>
        <v>11</v>
      </c>
      <c r="AT57" s="69">
        <f t="shared" si="41"/>
        <v>11</v>
      </c>
      <c r="AU57" s="69">
        <f t="shared" si="41"/>
        <v>12</v>
      </c>
      <c r="AV57" s="69">
        <f t="shared" si="41"/>
        <v>12</v>
      </c>
      <c r="AW57" s="69">
        <f t="shared" si="41"/>
        <v>13</v>
      </c>
      <c r="AX57" s="69">
        <f t="shared" si="41"/>
        <v>14</v>
      </c>
      <c r="AY57" s="69">
        <f t="shared" si="41"/>
        <v>14</v>
      </c>
      <c r="AZ57" s="69">
        <f t="shared" si="41"/>
        <v>14</v>
      </c>
      <c r="BA57" s="69">
        <f t="shared" si="41"/>
        <v>14</v>
      </c>
      <c r="BB57" s="69">
        <f t="shared" si="41"/>
        <v>14</v>
      </c>
      <c r="BC57" s="69">
        <f t="shared" si="41"/>
        <v>14</v>
      </c>
      <c r="BD57" s="69">
        <f t="shared" si="41"/>
        <v>14</v>
      </c>
      <c r="BE57" s="69">
        <f t="shared" si="41"/>
        <v>14</v>
      </c>
      <c r="BF57" s="69">
        <f t="shared" si="41"/>
        <v>14</v>
      </c>
      <c r="BG57" s="69">
        <f t="shared" si="41"/>
        <v>15</v>
      </c>
      <c r="BH57" s="69">
        <f t="shared" si="41"/>
        <v>16</v>
      </c>
      <c r="BI57" s="69">
        <f t="shared" si="41"/>
        <v>17</v>
      </c>
      <c r="BJ57" s="69">
        <f t="shared" si="41"/>
        <v>18</v>
      </c>
      <c r="BK57" s="69">
        <f t="shared" si="41"/>
        <v>19</v>
      </c>
      <c r="BL57" s="69">
        <f t="shared" si="41"/>
        <v>20</v>
      </c>
      <c r="BM57" s="69">
        <f t="shared" si="41"/>
        <v>21</v>
      </c>
      <c r="BN57" s="69">
        <f t="shared" si="41"/>
        <v>22</v>
      </c>
      <c r="BO57" s="69">
        <f t="shared" si="41"/>
        <v>23</v>
      </c>
      <c r="BP57" s="69">
        <f t="shared" si="41"/>
        <v>24</v>
      </c>
      <c r="BQ57" s="69">
        <f t="shared" si="41"/>
        <v>25</v>
      </c>
      <c r="BR57" s="69">
        <f t="shared" si="41"/>
        <v>26</v>
      </c>
      <c r="BS57" s="69">
        <f t="shared" ref="BS57:CX57" si="42">BP56</f>
        <v>27</v>
      </c>
      <c r="BT57" s="69">
        <f t="shared" si="42"/>
        <v>28</v>
      </c>
      <c r="BU57" s="69">
        <f t="shared" si="42"/>
        <v>29</v>
      </c>
      <c r="BV57" s="69">
        <f t="shared" si="42"/>
        <v>30</v>
      </c>
      <c r="BW57" s="69">
        <f t="shared" si="42"/>
        <v>31</v>
      </c>
      <c r="BX57" s="69">
        <f t="shared" si="42"/>
        <v>32</v>
      </c>
      <c r="BY57" s="69">
        <f t="shared" si="42"/>
        <v>33</v>
      </c>
      <c r="BZ57" s="69">
        <f t="shared" si="42"/>
        <v>34</v>
      </c>
      <c r="CA57" s="69">
        <f t="shared" si="42"/>
        <v>35</v>
      </c>
      <c r="CB57" s="69">
        <f t="shared" si="42"/>
        <v>36</v>
      </c>
      <c r="CC57" s="69">
        <f t="shared" si="42"/>
        <v>37</v>
      </c>
      <c r="CD57" s="69">
        <f t="shared" si="42"/>
        <v>38</v>
      </c>
      <c r="CE57" s="69">
        <f t="shared" si="42"/>
        <v>39</v>
      </c>
      <c r="CF57" s="69">
        <f t="shared" si="42"/>
        <v>40</v>
      </c>
      <c r="CG57" s="69">
        <f t="shared" si="42"/>
        <v>40</v>
      </c>
      <c r="CH57" s="69">
        <f t="shared" si="42"/>
        <v>40</v>
      </c>
      <c r="CI57" s="69">
        <f t="shared" si="42"/>
        <v>40</v>
      </c>
      <c r="CJ57" s="69">
        <f t="shared" si="42"/>
        <v>40</v>
      </c>
      <c r="CK57" s="69">
        <f t="shared" si="42"/>
        <v>40</v>
      </c>
      <c r="CL57" s="69">
        <f t="shared" si="42"/>
        <v>40</v>
      </c>
      <c r="CM57" s="69">
        <f t="shared" si="42"/>
        <v>40</v>
      </c>
      <c r="CN57" s="69">
        <f t="shared" si="42"/>
        <v>40</v>
      </c>
      <c r="CO57" s="69">
        <f t="shared" si="42"/>
        <v>40</v>
      </c>
      <c r="CP57" s="69">
        <f t="shared" si="42"/>
        <v>40</v>
      </c>
      <c r="CQ57" s="69">
        <f t="shared" si="42"/>
        <v>40</v>
      </c>
      <c r="CR57" s="69">
        <f t="shared" si="42"/>
        <v>40</v>
      </c>
      <c r="CS57" s="69">
        <f t="shared" si="42"/>
        <v>40</v>
      </c>
      <c r="CT57" s="69">
        <f t="shared" si="42"/>
        <v>40</v>
      </c>
      <c r="CU57" s="69">
        <f t="shared" si="42"/>
        <v>40</v>
      </c>
      <c r="CV57" s="69">
        <f t="shared" si="42"/>
        <v>40</v>
      </c>
      <c r="CW57" s="69">
        <f t="shared" si="42"/>
        <v>40</v>
      </c>
      <c r="CX57" s="69">
        <f t="shared" si="42"/>
        <v>40</v>
      </c>
      <c r="CY57" s="69">
        <f t="shared" ref="CY57:ED57" si="43">CV56</f>
        <v>40</v>
      </c>
      <c r="CZ57" s="69">
        <f t="shared" si="43"/>
        <v>40</v>
      </c>
      <c r="DA57" s="69">
        <f t="shared" si="43"/>
        <v>40</v>
      </c>
      <c r="DB57" s="69">
        <f t="shared" si="43"/>
        <v>40</v>
      </c>
      <c r="DC57" s="69">
        <f t="shared" si="43"/>
        <v>40</v>
      </c>
      <c r="DD57" s="69">
        <f t="shared" si="43"/>
        <v>40</v>
      </c>
      <c r="DE57" s="69">
        <f t="shared" si="43"/>
        <v>40</v>
      </c>
      <c r="DF57" s="69">
        <f t="shared" si="43"/>
        <v>40</v>
      </c>
      <c r="DG57" s="69">
        <f t="shared" si="43"/>
        <v>40</v>
      </c>
      <c r="DH57" s="69">
        <f t="shared" si="43"/>
        <v>40</v>
      </c>
      <c r="DI57" s="69">
        <f t="shared" si="43"/>
        <v>40</v>
      </c>
      <c r="DJ57" s="69">
        <f t="shared" si="43"/>
        <v>40</v>
      </c>
      <c r="DK57" s="69">
        <f t="shared" si="43"/>
        <v>40</v>
      </c>
      <c r="DL57" s="69">
        <f t="shared" si="43"/>
        <v>40</v>
      </c>
      <c r="DM57" s="69">
        <f t="shared" si="43"/>
        <v>40</v>
      </c>
      <c r="DN57" s="69">
        <f t="shared" si="43"/>
        <v>40</v>
      </c>
      <c r="DO57" s="69">
        <f t="shared" si="43"/>
        <v>40</v>
      </c>
      <c r="DP57" s="69">
        <f t="shared" si="43"/>
        <v>40</v>
      </c>
      <c r="DQ57" s="69">
        <f t="shared" si="43"/>
        <v>40</v>
      </c>
      <c r="DR57" s="69">
        <f t="shared" si="43"/>
        <v>40</v>
      </c>
      <c r="DS57" s="69">
        <f t="shared" si="43"/>
        <v>40</v>
      </c>
    </row>
    <row r="58" spans="1:123" ht="15" customHeight="1" x14ac:dyDescent="0.2">
      <c r="B58" s="20" t="s">
        <v>1037</v>
      </c>
      <c r="C58" s="83">
        <f>DS25</f>
        <v>40</v>
      </c>
    </row>
    <row r="59" spans="1:123" ht="15" customHeight="1" x14ac:dyDescent="0.2">
      <c r="B59" s="86" t="s">
        <v>1038</v>
      </c>
      <c r="C59" s="83">
        <f>DS35</f>
        <v>50</v>
      </c>
      <c r="D59">
        <f t="shared" ref="D59:AI59" si="44">D65+D66</f>
        <v>0</v>
      </c>
      <c r="E59">
        <f t="shared" si="44"/>
        <v>0</v>
      </c>
      <c r="F59">
        <f t="shared" si="44"/>
        <v>0</v>
      </c>
      <c r="G59">
        <f t="shared" si="44"/>
        <v>0</v>
      </c>
      <c r="H59">
        <f t="shared" si="44"/>
        <v>0</v>
      </c>
      <c r="I59">
        <f t="shared" si="44"/>
        <v>0</v>
      </c>
      <c r="J59">
        <f t="shared" si="44"/>
        <v>0</v>
      </c>
      <c r="K59">
        <f t="shared" si="44"/>
        <v>0</v>
      </c>
      <c r="L59">
        <f t="shared" si="44"/>
        <v>0</v>
      </c>
      <c r="M59">
        <f t="shared" si="44"/>
        <v>0</v>
      </c>
      <c r="N59">
        <f t="shared" si="44"/>
        <v>0</v>
      </c>
      <c r="O59">
        <f t="shared" si="44"/>
        <v>0</v>
      </c>
      <c r="P59">
        <f t="shared" si="44"/>
        <v>0</v>
      </c>
      <c r="Q59">
        <f t="shared" si="44"/>
        <v>0</v>
      </c>
      <c r="R59">
        <f t="shared" si="44"/>
        <v>0</v>
      </c>
      <c r="S59">
        <f t="shared" si="44"/>
        <v>0</v>
      </c>
      <c r="T59">
        <f t="shared" si="44"/>
        <v>10000</v>
      </c>
      <c r="U59">
        <f t="shared" si="44"/>
        <v>-2000</v>
      </c>
      <c r="V59">
        <f t="shared" si="44"/>
        <v>8000</v>
      </c>
      <c r="W59">
        <f t="shared" si="44"/>
        <v>8000</v>
      </c>
      <c r="X59">
        <f t="shared" si="44"/>
        <v>-4000</v>
      </c>
      <c r="Y59">
        <f t="shared" si="44"/>
        <v>-2000</v>
      </c>
      <c r="Z59">
        <f t="shared" si="44"/>
        <v>0</v>
      </c>
      <c r="AA59">
        <f t="shared" si="44"/>
        <v>0</v>
      </c>
      <c r="AB59">
        <f t="shared" si="44"/>
        <v>0</v>
      </c>
      <c r="AC59">
        <f t="shared" si="44"/>
        <v>0</v>
      </c>
      <c r="AD59">
        <f t="shared" si="44"/>
        <v>0</v>
      </c>
      <c r="AE59">
        <f t="shared" si="44"/>
        <v>0</v>
      </c>
      <c r="AF59">
        <f t="shared" si="44"/>
        <v>16000</v>
      </c>
      <c r="AG59">
        <f t="shared" si="44"/>
        <v>6800</v>
      </c>
      <c r="AH59">
        <f t="shared" si="44"/>
        <v>-5200</v>
      </c>
      <c r="AI59">
        <f t="shared" si="44"/>
        <v>8000</v>
      </c>
      <c r="AJ59">
        <f t="shared" ref="AJ59:BO59" si="45">AJ65+AJ66</f>
        <v>8000</v>
      </c>
      <c r="AK59">
        <f t="shared" si="45"/>
        <v>-4000</v>
      </c>
      <c r="AL59">
        <f t="shared" si="45"/>
        <v>-2000</v>
      </c>
      <c r="AM59">
        <f t="shared" si="45"/>
        <v>16000</v>
      </c>
      <c r="AN59">
        <f t="shared" si="45"/>
        <v>6800</v>
      </c>
      <c r="AO59">
        <f t="shared" si="45"/>
        <v>4800</v>
      </c>
      <c r="AP59">
        <f t="shared" si="45"/>
        <v>6000</v>
      </c>
      <c r="AQ59">
        <f t="shared" si="45"/>
        <v>-4000</v>
      </c>
      <c r="AR59">
        <f t="shared" si="45"/>
        <v>14000</v>
      </c>
      <c r="AS59">
        <f t="shared" si="45"/>
        <v>-3200</v>
      </c>
      <c r="AT59">
        <f t="shared" si="45"/>
        <v>6800</v>
      </c>
      <c r="AU59">
        <f t="shared" si="45"/>
        <v>8000</v>
      </c>
      <c r="AV59">
        <f t="shared" si="45"/>
        <v>-4000</v>
      </c>
      <c r="AW59">
        <f t="shared" si="45"/>
        <v>-2000</v>
      </c>
      <c r="AX59">
        <f t="shared" si="45"/>
        <v>0</v>
      </c>
      <c r="AY59">
        <f t="shared" si="45"/>
        <v>0</v>
      </c>
      <c r="AZ59">
        <f t="shared" si="45"/>
        <v>0</v>
      </c>
      <c r="BA59">
        <f t="shared" si="45"/>
        <v>0</v>
      </c>
      <c r="BB59">
        <f t="shared" si="45"/>
        <v>0</v>
      </c>
      <c r="BC59">
        <f t="shared" si="45"/>
        <v>0</v>
      </c>
      <c r="BD59">
        <f t="shared" si="45"/>
        <v>50000</v>
      </c>
      <c r="BE59">
        <f t="shared" si="45"/>
        <v>0</v>
      </c>
      <c r="BF59">
        <f t="shared" si="45"/>
        <v>4000</v>
      </c>
      <c r="BG59">
        <f t="shared" si="45"/>
        <v>4800</v>
      </c>
      <c r="BH59">
        <f t="shared" si="45"/>
        <v>4800</v>
      </c>
      <c r="BI59">
        <f t="shared" si="45"/>
        <v>6000</v>
      </c>
      <c r="BJ59">
        <f t="shared" si="45"/>
        <v>12000</v>
      </c>
      <c r="BK59">
        <f t="shared" si="45"/>
        <v>4800</v>
      </c>
      <c r="BL59">
        <f t="shared" si="45"/>
        <v>4800</v>
      </c>
      <c r="BM59">
        <f t="shared" si="45"/>
        <v>6000</v>
      </c>
      <c r="BN59">
        <f t="shared" si="45"/>
        <v>12000</v>
      </c>
      <c r="BO59">
        <f t="shared" si="45"/>
        <v>4800</v>
      </c>
      <c r="BP59">
        <f t="shared" ref="BP59:CU59" si="46">BP65+BP66</f>
        <v>4800</v>
      </c>
      <c r="BQ59">
        <f t="shared" si="46"/>
        <v>6000</v>
      </c>
      <c r="BR59">
        <f t="shared" si="46"/>
        <v>12000</v>
      </c>
      <c r="BS59">
        <f t="shared" si="46"/>
        <v>44800</v>
      </c>
      <c r="BT59">
        <f t="shared" si="46"/>
        <v>-3200</v>
      </c>
      <c r="BU59">
        <f t="shared" si="46"/>
        <v>-2000</v>
      </c>
      <c r="BV59">
        <f t="shared" si="46"/>
        <v>6000</v>
      </c>
      <c r="BW59">
        <f t="shared" si="46"/>
        <v>12000</v>
      </c>
      <c r="BX59">
        <f t="shared" si="46"/>
        <v>4800</v>
      </c>
      <c r="BY59">
        <f t="shared" si="46"/>
        <v>4800</v>
      </c>
      <c r="BZ59">
        <f t="shared" si="46"/>
        <v>6000</v>
      </c>
      <c r="CA59">
        <f t="shared" si="46"/>
        <v>12000</v>
      </c>
      <c r="CB59">
        <f t="shared" si="46"/>
        <v>4800</v>
      </c>
      <c r="CC59">
        <f t="shared" si="46"/>
        <v>4800</v>
      </c>
      <c r="CD59">
        <f t="shared" si="46"/>
        <v>-4000</v>
      </c>
      <c r="CE59">
        <f t="shared" si="46"/>
        <v>-2000</v>
      </c>
      <c r="CF59">
        <f t="shared" si="46"/>
        <v>0</v>
      </c>
      <c r="CG59">
        <f t="shared" si="46"/>
        <v>0</v>
      </c>
      <c r="CH59">
        <f t="shared" si="46"/>
        <v>0</v>
      </c>
      <c r="CI59">
        <f t="shared" si="46"/>
        <v>0</v>
      </c>
      <c r="CJ59">
        <f t="shared" si="46"/>
        <v>0</v>
      </c>
      <c r="CK59">
        <f t="shared" si="46"/>
        <v>0</v>
      </c>
      <c r="CL59">
        <f t="shared" si="46"/>
        <v>0</v>
      </c>
      <c r="CM59">
        <f t="shared" si="46"/>
        <v>0</v>
      </c>
      <c r="CN59">
        <f t="shared" si="46"/>
        <v>0</v>
      </c>
      <c r="CO59">
        <f t="shared" si="46"/>
        <v>0</v>
      </c>
      <c r="CP59">
        <f t="shared" si="46"/>
        <v>0</v>
      </c>
      <c r="CQ59">
        <f t="shared" si="46"/>
        <v>0</v>
      </c>
      <c r="CR59">
        <f t="shared" si="46"/>
        <v>0</v>
      </c>
      <c r="CS59">
        <f t="shared" si="46"/>
        <v>0</v>
      </c>
      <c r="CT59">
        <f t="shared" si="46"/>
        <v>0</v>
      </c>
      <c r="CU59">
        <f t="shared" si="46"/>
        <v>0</v>
      </c>
      <c r="CV59">
        <f t="shared" ref="CV59:DS59" si="47">CV65+CV66</f>
        <v>0</v>
      </c>
      <c r="CW59">
        <f t="shared" si="47"/>
        <v>0</v>
      </c>
      <c r="CX59">
        <f t="shared" si="47"/>
        <v>0</v>
      </c>
      <c r="CY59">
        <f t="shared" si="47"/>
        <v>0</v>
      </c>
      <c r="CZ59">
        <f t="shared" si="47"/>
        <v>0</v>
      </c>
      <c r="DA59">
        <f t="shared" si="47"/>
        <v>0</v>
      </c>
      <c r="DB59">
        <f t="shared" si="47"/>
        <v>0</v>
      </c>
      <c r="DC59">
        <f t="shared" si="47"/>
        <v>0</v>
      </c>
      <c r="DD59">
        <f t="shared" si="47"/>
        <v>0</v>
      </c>
      <c r="DE59">
        <f t="shared" si="47"/>
        <v>0</v>
      </c>
      <c r="DF59">
        <f t="shared" si="47"/>
        <v>0</v>
      </c>
      <c r="DG59">
        <f t="shared" si="47"/>
        <v>0</v>
      </c>
      <c r="DH59">
        <f t="shared" si="47"/>
        <v>0</v>
      </c>
      <c r="DI59">
        <f t="shared" si="47"/>
        <v>0</v>
      </c>
      <c r="DJ59">
        <f t="shared" si="47"/>
        <v>0</v>
      </c>
      <c r="DK59">
        <f t="shared" si="47"/>
        <v>0</v>
      </c>
      <c r="DL59">
        <f t="shared" si="47"/>
        <v>0</v>
      </c>
      <c r="DM59">
        <f t="shared" si="47"/>
        <v>0</v>
      </c>
      <c r="DN59">
        <f t="shared" si="47"/>
        <v>0</v>
      </c>
      <c r="DO59">
        <f t="shared" si="47"/>
        <v>0</v>
      </c>
      <c r="DP59">
        <f t="shared" si="47"/>
        <v>0</v>
      </c>
      <c r="DQ59">
        <f t="shared" si="47"/>
        <v>0</v>
      </c>
      <c r="DR59">
        <f t="shared" si="47"/>
        <v>0</v>
      </c>
      <c r="DS59">
        <f t="shared" si="47"/>
        <v>0</v>
      </c>
    </row>
    <row r="60" spans="1:123" ht="15" customHeight="1" x14ac:dyDescent="0.2">
      <c r="B60" s="20" t="s">
        <v>1039</v>
      </c>
      <c r="C60" s="72">
        <f>SUM(D22:DS22)+SUM(D29:DS29)+SUM(D30:DS30)</f>
        <v>6655716.4147499986</v>
      </c>
    </row>
    <row r="61" spans="1:123" ht="15" customHeight="1" x14ac:dyDescent="0.2">
      <c r="B61" s="20" t="s">
        <v>1040</v>
      </c>
      <c r="C61" s="72">
        <f>NPV(SUP_CONTROL!$C$32,D55:DS55)</f>
        <v>468768.39811875299</v>
      </c>
    </row>
    <row r="62" spans="1:123" ht="15" customHeight="1" x14ac:dyDescent="0.2">
      <c r="B62" s="20" t="s">
        <v>1041</v>
      </c>
      <c r="C62" s="72">
        <f>SUM(DH46:DS46)</f>
        <v>3552763.5419203299</v>
      </c>
    </row>
    <row r="63" spans="1:123" ht="15" customHeight="1" x14ac:dyDescent="0.2">
      <c r="B63" s="20" t="s">
        <v>1042</v>
      </c>
      <c r="C63" s="72">
        <f>DS53</f>
        <v>15034384.376011902</v>
      </c>
    </row>
    <row r="65" spans="2:123" ht="15" customHeight="1" x14ac:dyDescent="0.2">
      <c r="B65" s="86" t="s">
        <v>1043</v>
      </c>
      <c r="D65">
        <f>IF(D56=0,0,3*SUP_OPEX!$D$20*(IF(D56=0,0,INDEX(SUP_C3_EXPANSION!$H$20:$H$59,D56))-IF(0=0,0,INDEX(SUP_C3_EXPANSION!$H$20:$H$59,0)))+3*SUP_OPEX!$E$20*(IF(D56=0,0,INDEX(SUP_C3_EXPANSION!$I$20:$I$59,D56))-IF(0=0,0,INDEX(SUP_C3_EXPANSION!$I$20:$I$59,0)))+3*SUP_OPEX!$F$20*(IF(D56=0,0,INDEX(SUP_C3_EXPANSION!$J$20:$J$59,D56))-IF(0=0,0,INDEX(SUP_C3_EXPANSION!$J$20:$J$59,0))))</f>
        <v>0</v>
      </c>
      <c r="E65">
        <f>IF(E56=D56,0,3*SUP_OPEX!$D$20*(IF(E56=0,0,INDEX(SUP_C3_EXPANSION!$H$20:$H$59,E56))-IF(D56=0,0,INDEX(SUP_C3_EXPANSION!$H$20:$H$59,D56)))+3*SUP_OPEX!$E$20*(IF(E56=0,0,INDEX(SUP_C3_EXPANSION!$I$20:$I$59,E56))-IF(D56=0,0,INDEX(SUP_C3_EXPANSION!$I$20:$I$59,D56)))+3*SUP_OPEX!$F$20*(IF(E56=0,0,INDEX(SUP_C3_EXPANSION!$J$20:$J$59,E56))-IF(D56=0,0,INDEX(SUP_C3_EXPANSION!$J$20:$J$59,D56))))</f>
        <v>0</v>
      </c>
      <c r="F65">
        <f>IF(F56=E56,0,3*SUP_OPEX!$D$20*(IF(F56=0,0,INDEX(SUP_C3_EXPANSION!$H$20:$H$59,F56))-IF(E56=0,0,INDEX(SUP_C3_EXPANSION!$H$20:$H$59,E56)))+3*SUP_OPEX!$E$20*(IF(F56=0,0,INDEX(SUP_C3_EXPANSION!$I$20:$I$59,F56))-IF(E56=0,0,INDEX(SUP_C3_EXPANSION!$I$20:$I$59,E56)))+3*SUP_OPEX!$F$20*(IF(F56=0,0,INDEX(SUP_C3_EXPANSION!$J$20:$J$59,F56))-IF(E56=0,0,INDEX(SUP_C3_EXPANSION!$J$20:$J$59,E56))))</f>
        <v>0</v>
      </c>
      <c r="G65">
        <f>IF(G56=F56,0,3*SUP_OPEX!$D$20*(IF(G56=0,0,INDEX(SUP_C3_EXPANSION!$H$20:$H$59,G56))-IF(F56=0,0,INDEX(SUP_C3_EXPANSION!$H$20:$H$59,F56)))+3*SUP_OPEX!$E$20*(IF(G56=0,0,INDEX(SUP_C3_EXPANSION!$I$20:$I$59,G56))-IF(F56=0,0,INDEX(SUP_C3_EXPANSION!$I$20:$I$59,F56)))+3*SUP_OPEX!$F$20*(IF(G56=0,0,INDEX(SUP_C3_EXPANSION!$J$20:$J$59,G56))-IF(F56=0,0,INDEX(SUP_C3_EXPANSION!$J$20:$J$59,F56))))</f>
        <v>0</v>
      </c>
      <c r="H65">
        <f>IF(H56=G56,0,3*SUP_OPEX!$D$20*(IF(H56=0,0,INDEX(SUP_C3_EXPANSION!$H$20:$H$59,H56))-IF(G56=0,0,INDEX(SUP_C3_EXPANSION!$H$20:$H$59,G56)))+3*SUP_OPEX!$E$20*(IF(H56=0,0,INDEX(SUP_C3_EXPANSION!$I$20:$I$59,H56))-IF(G56=0,0,INDEX(SUP_C3_EXPANSION!$I$20:$I$59,G56)))+3*SUP_OPEX!$F$20*(IF(H56=0,0,INDEX(SUP_C3_EXPANSION!$J$20:$J$59,H56))-IF(G56=0,0,INDEX(SUP_C3_EXPANSION!$J$20:$J$59,G56))))</f>
        <v>0</v>
      </c>
      <c r="I65">
        <f>IF(I56=H56,0,3*SUP_OPEX!$D$20*(IF(I56=0,0,INDEX(SUP_C3_EXPANSION!$H$20:$H$59,I56))-IF(H56=0,0,INDEX(SUP_C3_EXPANSION!$H$20:$H$59,H56)))+3*SUP_OPEX!$E$20*(IF(I56=0,0,INDEX(SUP_C3_EXPANSION!$I$20:$I$59,I56))-IF(H56=0,0,INDEX(SUP_C3_EXPANSION!$I$20:$I$59,H56)))+3*SUP_OPEX!$F$20*(IF(I56=0,0,INDEX(SUP_C3_EXPANSION!$J$20:$J$59,I56))-IF(H56=0,0,INDEX(SUP_C3_EXPANSION!$J$20:$J$59,H56))))</f>
        <v>0</v>
      </c>
      <c r="J65">
        <f>IF(J56=I56,0,3*SUP_OPEX!$D$20*(IF(J56=0,0,INDEX(SUP_C3_EXPANSION!$H$20:$H$59,J56))-IF(I56=0,0,INDEX(SUP_C3_EXPANSION!$H$20:$H$59,I56)))+3*SUP_OPEX!$E$20*(IF(J56=0,0,INDEX(SUP_C3_EXPANSION!$I$20:$I$59,J56))-IF(I56=0,0,INDEX(SUP_C3_EXPANSION!$I$20:$I$59,I56)))+3*SUP_OPEX!$F$20*(IF(J56=0,0,INDEX(SUP_C3_EXPANSION!$J$20:$J$59,J56))-IF(I56=0,0,INDEX(SUP_C3_EXPANSION!$J$20:$J$59,I56))))</f>
        <v>0</v>
      </c>
      <c r="K65">
        <f>IF(K56=J56,0,3*SUP_OPEX!$D$20*(IF(K56=0,0,INDEX(SUP_C3_EXPANSION!$H$20:$H$59,K56))-IF(J56=0,0,INDEX(SUP_C3_EXPANSION!$H$20:$H$59,J56)))+3*SUP_OPEX!$E$20*(IF(K56=0,0,INDEX(SUP_C3_EXPANSION!$I$20:$I$59,K56))-IF(J56=0,0,INDEX(SUP_C3_EXPANSION!$I$20:$I$59,J56)))+3*SUP_OPEX!$F$20*(IF(K56=0,0,INDEX(SUP_C3_EXPANSION!$J$20:$J$59,K56))-IF(J56=0,0,INDEX(SUP_C3_EXPANSION!$J$20:$J$59,J56))))</f>
        <v>0</v>
      </c>
      <c r="L65">
        <f>IF(L56=K56,0,3*SUP_OPEX!$D$20*(IF(L56=0,0,INDEX(SUP_C3_EXPANSION!$H$20:$H$59,L56))-IF(K56=0,0,INDEX(SUP_C3_EXPANSION!$H$20:$H$59,K56)))+3*SUP_OPEX!$E$20*(IF(L56=0,0,INDEX(SUP_C3_EXPANSION!$I$20:$I$59,L56))-IF(K56=0,0,INDEX(SUP_C3_EXPANSION!$I$20:$I$59,K56)))+3*SUP_OPEX!$F$20*(IF(L56=0,0,INDEX(SUP_C3_EXPANSION!$J$20:$J$59,L56))-IF(K56=0,0,INDEX(SUP_C3_EXPANSION!$J$20:$J$59,K56))))</f>
        <v>0</v>
      </c>
      <c r="M65">
        <f>IF(M56=L56,0,3*SUP_OPEX!$D$20*(IF(M56=0,0,INDEX(SUP_C3_EXPANSION!$H$20:$H$59,M56))-IF(L56=0,0,INDEX(SUP_C3_EXPANSION!$H$20:$H$59,L56)))+3*SUP_OPEX!$E$20*(IF(M56=0,0,INDEX(SUP_C3_EXPANSION!$I$20:$I$59,M56))-IF(L56=0,0,INDEX(SUP_C3_EXPANSION!$I$20:$I$59,L56)))+3*SUP_OPEX!$F$20*(IF(M56=0,0,INDEX(SUP_C3_EXPANSION!$J$20:$J$59,M56))-IF(L56=0,0,INDEX(SUP_C3_EXPANSION!$J$20:$J$59,L56))))</f>
        <v>0</v>
      </c>
      <c r="N65">
        <f>IF(N56=M56,0,3*SUP_OPEX!$D$20*(IF(N56=0,0,INDEX(SUP_C3_EXPANSION!$H$20:$H$59,N56))-IF(M56=0,0,INDEX(SUP_C3_EXPANSION!$H$20:$H$59,M56)))+3*SUP_OPEX!$E$20*(IF(N56=0,0,INDEX(SUP_C3_EXPANSION!$I$20:$I$59,N56))-IF(M56=0,0,INDEX(SUP_C3_EXPANSION!$I$20:$I$59,M56)))+3*SUP_OPEX!$F$20*(IF(N56=0,0,INDEX(SUP_C3_EXPANSION!$J$20:$J$59,N56))-IF(M56=0,0,INDEX(SUP_C3_EXPANSION!$J$20:$J$59,M56))))</f>
        <v>0</v>
      </c>
      <c r="O65">
        <f>IF(O56=N56,0,3*SUP_OPEX!$D$20*(IF(O56=0,0,INDEX(SUP_C3_EXPANSION!$H$20:$H$59,O56))-IF(N56=0,0,INDEX(SUP_C3_EXPANSION!$H$20:$H$59,N56)))+3*SUP_OPEX!$E$20*(IF(O56=0,0,INDEX(SUP_C3_EXPANSION!$I$20:$I$59,O56))-IF(N56=0,0,INDEX(SUP_C3_EXPANSION!$I$20:$I$59,N56)))+3*SUP_OPEX!$F$20*(IF(O56=0,0,INDEX(SUP_C3_EXPANSION!$J$20:$J$59,O56))-IF(N56=0,0,INDEX(SUP_C3_EXPANSION!$J$20:$J$59,N56))))</f>
        <v>0</v>
      </c>
      <c r="P65">
        <f>IF(P56=O56,0,3*SUP_OPEX!$D$20*(IF(P56=0,0,INDEX(SUP_C3_EXPANSION!$H$20:$H$59,P56))-IF(O56=0,0,INDEX(SUP_C3_EXPANSION!$H$20:$H$59,O56)))+3*SUP_OPEX!$E$20*(IF(P56=0,0,INDEX(SUP_C3_EXPANSION!$I$20:$I$59,P56))-IF(O56=0,0,INDEX(SUP_C3_EXPANSION!$I$20:$I$59,O56)))+3*SUP_OPEX!$F$20*(IF(P56=0,0,INDEX(SUP_C3_EXPANSION!$J$20:$J$59,P56))-IF(O56=0,0,INDEX(SUP_C3_EXPANSION!$J$20:$J$59,O56))))</f>
        <v>0</v>
      </c>
      <c r="Q65">
        <f>IF(Q56=P56,0,3*SUP_OPEX!$D$20*(IF(Q56=0,0,INDEX(SUP_C3_EXPANSION!$H$20:$H$59,Q56))-IF(P56=0,0,INDEX(SUP_C3_EXPANSION!$H$20:$H$59,P56)))+3*SUP_OPEX!$E$20*(IF(Q56=0,0,INDEX(SUP_C3_EXPANSION!$I$20:$I$59,Q56))-IF(P56=0,0,INDEX(SUP_C3_EXPANSION!$I$20:$I$59,P56)))+3*SUP_OPEX!$F$20*(IF(Q56=0,0,INDEX(SUP_C3_EXPANSION!$J$20:$J$59,Q56))-IF(P56=0,0,INDEX(SUP_C3_EXPANSION!$J$20:$J$59,P56))))</f>
        <v>0</v>
      </c>
      <c r="R65">
        <f>IF(R56=Q56,0,3*SUP_OPEX!$D$20*(IF(R56=0,0,INDEX(SUP_C3_EXPANSION!$H$20:$H$59,R56))-IF(Q56=0,0,INDEX(SUP_C3_EXPANSION!$H$20:$H$59,Q56)))+3*SUP_OPEX!$E$20*(IF(R56=0,0,INDEX(SUP_C3_EXPANSION!$I$20:$I$59,R56))-IF(Q56=0,0,INDEX(SUP_C3_EXPANSION!$I$20:$I$59,Q56)))+3*SUP_OPEX!$F$20*(IF(R56=0,0,INDEX(SUP_C3_EXPANSION!$J$20:$J$59,R56))-IF(Q56=0,0,INDEX(SUP_C3_EXPANSION!$J$20:$J$59,Q56))))</f>
        <v>0</v>
      </c>
      <c r="S65">
        <f>IF(S56=R56,0,3*SUP_OPEX!$D$20*(IF(S56=0,0,INDEX(SUP_C3_EXPANSION!$H$20:$H$59,S56))-IF(R56=0,0,INDEX(SUP_C3_EXPANSION!$H$20:$H$59,R56)))+3*SUP_OPEX!$E$20*(IF(S56=0,0,INDEX(SUP_C3_EXPANSION!$I$20:$I$59,S56))-IF(R56=0,0,INDEX(SUP_C3_EXPANSION!$I$20:$I$59,R56)))+3*SUP_OPEX!$F$20*(IF(S56=0,0,INDEX(SUP_C3_EXPANSION!$J$20:$J$59,S56))-IF(R56=0,0,INDEX(SUP_C3_EXPANSION!$J$20:$J$59,R56))))</f>
        <v>0</v>
      </c>
      <c r="T65">
        <f>IF(T56=S56,0,3*SUP_OPEX!$D$20*(IF(T56=0,0,INDEX(SUP_C3_EXPANSION!$H$20:$H$59,T56))-IF(S56=0,0,INDEX(SUP_C3_EXPANSION!$H$20:$H$59,S56)))+3*SUP_OPEX!$E$20*(IF(T56=0,0,INDEX(SUP_C3_EXPANSION!$I$20:$I$59,T56))-IF(S56=0,0,INDEX(SUP_C3_EXPANSION!$I$20:$I$59,S56)))+3*SUP_OPEX!$F$20*(IF(T56=0,0,INDEX(SUP_C3_EXPANSION!$J$20:$J$59,T56))-IF(S56=0,0,INDEX(SUP_C3_EXPANSION!$J$20:$J$59,S56))))</f>
        <v>6000</v>
      </c>
      <c r="U65">
        <f>IF(U56=T56,0,3*SUP_OPEX!$D$20*(IF(U56=0,0,INDEX(SUP_C3_EXPANSION!$H$20:$H$59,U56))-IF(T56=0,0,INDEX(SUP_C3_EXPANSION!$H$20:$H$59,T56)))+3*SUP_OPEX!$E$20*(IF(U56=0,0,INDEX(SUP_C3_EXPANSION!$I$20:$I$59,U56))-IF(T56=0,0,INDEX(SUP_C3_EXPANSION!$I$20:$I$59,T56)))+3*SUP_OPEX!$F$20*(IF(U56=0,0,INDEX(SUP_C3_EXPANSION!$J$20:$J$59,U56))-IF(T56=0,0,INDEX(SUP_C3_EXPANSION!$J$20:$J$59,T56))))</f>
        <v>0</v>
      </c>
      <c r="V65">
        <f>IF(V56=U56,0,3*SUP_OPEX!$D$20*(IF(V56=0,0,INDEX(SUP_C3_EXPANSION!$H$20:$H$59,V56))-IF(U56=0,0,INDEX(SUP_C3_EXPANSION!$H$20:$H$59,U56)))+3*SUP_OPEX!$E$20*(IF(V56=0,0,INDEX(SUP_C3_EXPANSION!$I$20:$I$59,V56))-IF(U56=0,0,INDEX(SUP_C3_EXPANSION!$I$20:$I$59,U56)))+3*SUP_OPEX!$F$20*(IF(V56=0,0,INDEX(SUP_C3_EXPANSION!$J$20:$J$59,V56))-IF(U56=0,0,INDEX(SUP_C3_EXPANSION!$J$20:$J$59,U56))))</f>
        <v>6000</v>
      </c>
      <c r="W65">
        <f>IF(W56=V56,0,3*SUP_OPEX!$D$20*(IF(W56=0,0,INDEX(SUP_C3_EXPANSION!$H$20:$H$59,W56))-IF(V56=0,0,INDEX(SUP_C3_EXPANSION!$H$20:$H$59,V56)))+3*SUP_OPEX!$E$20*(IF(W56=0,0,INDEX(SUP_C3_EXPANSION!$I$20:$I$59,W56))-IF(V56=0,0,INDEX(SUP_C3_EXPANSION!$I$20:$I$59,V56)))+3*SUP_OPEX!$F$20*(IF(W56=0,0,INDEX(SUP_C3_EXPANSION!$J$20:$J$59,W56))-IF(V56=0,0,INDEX(SUP_C3_EXPANSION!$J$20:$J$59,V56))))</f>
        <v>6000</v>
      </c>
      <c r="X65">
        <f>IF(X56=W56,0,3*SUP_OPEX!$D$20*(IF(X56=0,0,INDEX(SUP_C3_EXPANSION!$H$20:$H$59,X56))-IF(W56=0,0,INDEX(SUP_C3_EXPANSION!$H$20:$H$59,W56)))+3*SUP_OPEX!$E$20*(IF(X56=0,0,INDEX(SUP_C3_EXPANSION!$I$20:$I$59,X56))-IF(W56=0,0,INDEX(SUP_C3_EXPANSION!$I$20:$I$59,W56)))+3*SUP_OPEX!$F$20*(IF(X56=0,0,INDEX(SUP_C3_EXPANSION!$J$20:$J$59,X56))-IF(W56=0,0,INDEX(SUP_C3_EXPANSION!$J$20:$J$59,W56))))</f>
        <v>0</v>
      </c>
      <c r="Y65">
        <f>IF(Y56=X56,0,3*SUP_OPEX!$D$20*(IF(Y56=0,0,INDEX(SUP_C3_EXPANSION!$H$20:$H$59,Y56))-IF(X56=0,0,INDEX(SUP_C3_EXPANSION!$H$20:$H$59,X56)))+3*SUP_OPEX!$E$20*(IF(Y56=0,0,INDEX(SUP_C3_EXPANSION!$I$20:$I$59,Y56))-IF(X56=0,0,INDEX(SUP_C3_EXPANSION!$I$20:$I$59,X56)))+3*SUP_OPEX!$F$20*(IF(Y56=0,0,INDEX(SUP_C3_EXPANSION!$J$20:$J$59,Y56))-IF(X56=0,0,INDEX(SUP_C3_EXPANSION!$J$20:$J$59,X56))))</f>
        <v>0</v>
      </c>
      <c r="Z65">
        <f>IF(Z56=Y56,0,3*SUP_OPEX!$D$20*(IF(Z56=0,0,INDEX(SUP_C3_EXPANSION!$H$20:$H$59,Z56))-IF(Y56=0,0,INDEX(SUP_C3_EXPANSION!$H$20:$H$59,Y56)))+3*SUP_OPEX!$E$20*(IF(Z56=0,0,INDEX(SUP_C3_EXPANSION!$I$20:$I$59,Z56))-IF(Y56=0,0,INDEX(SUP_C3_EXPANSION!$I$20:$I$59,Y56)))+3*SUP_OPEX!$F$20*(IF(Z56=0,0,INDEX(SUP_C3_EXPANSION!$J$20:$J$59,Z56))-IF(Y56=0,0,INDEX(SUP_C3_EXPANSION!$J$20:$J$59,Y56))))</f>
        <v>0</v>
      </c>
      <c r="AA65">
        <f>IF(AA56=Z56,0,3*SUP_OPEX!$D$20*(IF(AA56=0,0,INDEX(SUP_C3_EXPANSION!$H$20:$H$59,AA56))-IF(Z56=0,0,INDEX(SUP_C3_EXPANSION!$H$20:$H$59,Z56)))+3*SUP_OPEX!$E$20*(IF(AA56=0,0,INDEX(SUP_C3_EXPANSION!$I$20:$I$59,AA56))-IF(Z56=0,0,INDEX(SUP_C3_EXPANSION!$I$20:$I$59,Z56)))+3*SUP_OPEX!$F$20*(IF(AA56=0,0,INDEX(SUP_C3_EXPANSION!$J$20:$J$59,AA56))-IF(Z56=0,0,INDEX(SUP_C3_EXPANSION!$J$20:$J$59,Z56))))</f>
        <v>0</v>
      </c>
      <c r="AB65">
        <f>IF(AB56=AA56,0,3*SUP_OPEX!$D$20*(IF(AB56=0,0,INDEX(SUP_C3_EXPANSION!$H$20:$H$59,AB56))-IF(AA56=0,0,INDEX(SUP_C3_EXPANSION!$H$20:$H$59,AA56)))+3*SUP_OPEX!$E$20*(IF(AB56=0,0,INDEX(SUP_C3_EXPANSION!$I$20:$I$59,AB56))-IF(AA56=0,0,INDEX(SUP_C3_EXPANSION!$I$20:$I$59,AA56)))+3*SUP_OPEX!$F$20*(IF(AB56=0,0,INDEX(SUP_C3_EXPANSION!$J$20:$J$59,AB56))-IF(AA56=0,0,INDEX(SUP_C3_EXPANSION!$J$20:$J$59,AA56))))</f>
        <v>0</v>
      </c>
      <c r="AC65">
        <f>IF(AC56=AB56,0,3*SUP_OPEX!$D$20*(IF(AC56=0,0,INDEX(SUP_C3_EXPANSION!$H$20:$H$59,AC56))-IF(AB56=0,0,INDEX(SUP_C3_EXPANSION!$H$20:$H$59,AB56)))+3*SUP_OPEX!$E$20*(IF(AC56=0,0,INDEX(SUP_C3_EXPANSION!$I$20:$I$59,AC56))-IF(AB56=0,0,INDEX(SUP_C3_EXPANSION!$I$20:$I$59,AB56)))+3*SUP_OPEX!$F$20*(IF(AC56=0,0,INDEX(SUP_C3_EXPANSION!$J$20:$J$59,AC56))-IF(AB56=0,0,INDEX(SUP_C3_EXPANSION!$J$20:$J$59,AB56))))</f>
        <v>0</v>
      </c>
      <c r="AD65">
        <f>IF(AD56=AC56,0,3*SUP_OPEX!$D$20*(IF(AD56=0,0,INDEX(SUP_C3_EXPANSION!$H$20:$H$59,AD56))-IF(AC56=0,0,INDEX(SUP_C3_EXPANSION!$H$20:$H$59,AC56)))+3*SUP_OPEX!$E$20*(IF(AD56=0,0,INDEX(SUP_C3_EXPANSION!$I$20:$I$59,AD56))-IF(AC56=0,0,INDEX(SUP_C3_EXPANSION!$I$20:$I$59,AC56)))+3*SUP_OPEX!$F$20*(IF(AD56=0,0,INDEX(SUP_C3_EXPANSION!$J$20:$J$59,AD56))-IF(AC56=0,0,INDEX(SUP_C3_EXPANSION!$J$20:$J$59,AC56))))</f>
        <v>0</v>
      </c>
      <c r="AE65">
        <f>IF(AE56=AD56,0,3*SUP_OPEX!$D$20*(IF(AE56=0,0,INDEX(SUP_C3_EXPANSION!$H$20:$H$59,AE56))-IF(AD56=0,0,INDEX(SUP_C3_EXPANSION!$H$20:$H$59,AD56)))+3*SUP_OPEX!$E$20*(IF(AE56=0,0,INDEX(SUP_C3_EXPANSION!$I$20:$I$59,AE56))-IF(AD56=0,0,INDEX(SUP_C3_EXPANSION!$I$20:$I$59,AD56)))+3*SUP_OPEX!$F$20*(IF(AE56=0,0,INDEX(SUP_C3_EXPANSION!$J$20:$J$59,AE56))-IF(AD56=0,0,INDEX(SUP_C3_EXPANSION!$J$20:$J$59,AD56))))</f>
        <v>0</v>
      </c>
      <c r="AF65">
        <f>IF(AF56=AE56,0,3*SUP_OPEX!$D$20*(IF(AF56=0,0,INDEX(SUP_C3_EXPANSION!$H$20:$H$59,AF56))-IF(AE56=0,0,INDEX(SUP_C3_EXPANSION!$H$20:$H$59,AE56)))+3*SUP_OPEX!$E$20*(IF(AF56=0,0,INDEX(SUP_C3_EXPANSION!$I$20:$I$59,AF56))-IF(AE56=0,0,INDEX(SUP_C3_EXPANSION!$I$20:$I$59,AE56)))+3*SUP_OPEX!$F$20*(IF(AF56=0,0,INDEX(SUP_C3_EXPANSION!$J$20:$J$59,AF56))-IF(AE56=0,0,INDEX(SUP_C3_EXPANSION!$J$20:$J$59,AE56))))</f>
        <v>9600</v>
      </c>
      <c r="AG65">
        <f>IF(AG56=AF56,0,3*SUP_OPEX!$D$20*(IF(AG56=0,0,INDEX(SUP_C3_EXPANSION!$H$20:$H$59,AG56))-IF(AF56=0,0,INDEX(SUP_C3_EXPANSION!$H$20:$H$59,AF56)))+3*SUP_OPEX!$E$20*(IF(AG56=0,0,INDEX(SUP_C3_EXPANSION!$I$20:$I$59,AG56))-IF(AF56=0,0,INDEX(SUP_C3_EXPANSION!$I$20:$I$59,AF56)))+3*SUP_OPEX!$F$20*(IF(AG56=0,0,INDEX(SUP_C3_EXPANSION!$J$20:$J$59,AG56))-IF(AF56=0,0,INDEX(SUP_C3_EXPANSION!$J$20:$J$59,AF56))))</f>
        <v>6000</v>
      </c>
      <c r="AH65">
        <f>IF(AH56=AG56,0,3*SUP_OPEX!$D$20*(IF(AH56=0,0,INDEX(SUP_C3_EXPANSION!$H$20:$H$59,AH56))-IF(AG56=0,0,INDEX(SUP_C3_EXPANSION!$H$20:$H$59,AG56)))+3*SUP_OPEX!$E$20*(IF(AH56=0,0,INDEX(SUP_C3_EXPANSION!$I$20:$I$59,AH56))-IF(AG56=0,0,INDEX(SUP_C3_EXPANSION!$I$20:$I$59,AG56)))+3*SUP_OPEX!$F$20*(IF(AH56=0,0,INDEX(SUP_C3_EXPANSION!$J$20:$J$59,AH56))-IF(AG56=0,0,INDEX(SUP_C3_EXPANSION!$J$20:$J$59,AG56))))</f>
        <v>0</v>
      </c>
      <c r="AI65">
        <f>IF(AI56=AH56,0,3*SUP_OPEX!$D$20*(IF(AI56=0,0,INDEX(SUP_C3_EXPANSION!$H$20:$H$59,AI56))-IF(AH56=0,0,INDEX(SUP_C3_EXPANSION!$H$20:$H$59,AH56)))+3*SUP_OPEX!$E$20*(IF(AI56=0,0,INDEX(SUP_C3_EXPANSION!$I$20:$I$59,AI56))-IF(AH56=0,0,INDEX(SUP_C3_EXPANSION!$I$20:$I$59,AH56)))+3*SUP_OPEX!$F$20*(IF(AI56=0,0,INDEX(SUP_C3_EXPANSION!$J$20:$J$59,AI56))-IF(AH56=0,0,INDEX(SUP_C3_EXPANSION!$J$20:$J$59,AH56))))</f>
        <v>6000</v>
      </c>
      <c r="AJ65">
        <f>IF(AJ56=AI56,0,3*SUP_OPEX!$D$20*(IF(AJ56=0,0,INDEX(SUP_C3_EXPANSION!$H$20:$H$59,AJ56))-IF(AI56=0,0,INDEX(SUP_C3_EXPANSION!$H$20:$H$59,AI56)))+3*SUP_OPEX!$E$20*(IF(AJ56=0,0,INDEX(SUP_C3_EXPANSION!$I$20:$I$59,AJ56))-IF(AI56=0,0,INDEX(SUP_C3_EXPANSION!$I$20:$I$59,AI56)))+3*SUP_OPEX!$F$20*(IF(AJ56=0,0,INDEX(SUP_C3_EXPANSION!$J$20:$J$59,AJ56))-IF(AI56=0,0,INDEX(SUP_C3_EXPANSION!$J$20:$J$59,AI56))))</f>
        <v>6000</v>
      </c>
      <c r="AK65">
        <f>IF(AK56=AJ56,0,3*SUP_OPEX!$D$20*(IF(AK56=0,0,INDEX(SUP_C3_EXPANSION!$H$20:$H$59,AK56))-IF(AJ56=0,0,INDEX(SUP_C3_EXPANSION!$H$20:$H$59,AJ56)))+3*SUP_OPEX!$E$20*(IF(AK56=0,0,INDEX(SUP_C3_EXPANSION!$I$20:$I$59,AK56))-IF(AJ56=0,0,INDEX(SUP_C3_EXPANSION!$I$20:$I$59,AJ56)))+3*SUP_OPEX!$F$20*(IF(AK56=0,0,INDEX(SUP_C3_EXPANSION!$J$20:$J$59,AK56))-IF(AJ56=0,0,INDEX(SUP_C3_EXPANSION!$J$20:$J$59,AJ56))))</f>
        <v>0</v>
      </c>
      <c r="AL65">
        <f>IF(AL56=AK56,0,3*SUP_OPEX!$D$20*(IF(AL56=0,0,INDEX(SUP_C3_EXPANSION!$H$20:$H$59,AL56))-IF(AK56=0,0,INDEX(SUP_C3_EXPANSION!$H$20:$H$59,AK56)))+3*SUP_OPEX!$E$20*(IF(AL56=0,0,INDEX(SUP_C3_EXPANSION!$I$20:$I$59,AL56))-IF(AK56=0,0,INDEX(SUP_C3_EXPANSION!$I$20:$I$59,AK56)))+3*SUP_OPEX!$F$20*(IF(AL56=0,0,INDEX(SUP_C3_EXPANSION!$J$20:$J$59,AL56))-IF(AK56=0,0,INDEX(SUP_C3_EXPANSION!$J$20:$J$59,AK56))))</f>
        <v>0</v>
      </c>
      <c r="AM65">
        <f>IF(AM56=AL56,0,3*SUP_OPEX!$D$20*(IF(AM56=0,0,INDEX(SUP_C3_EXPANSION!$H$20:$H$59,AM56))-IF(AL56=0,0,INDEX(SUP_C3_EXPANSION!$H$20:$H$59,AL56)))+3*SUP_OPEX!$E$20*(IF(AM56=0,0,INDEX(SUP_C3_EXPANSION!$I$20:$I$59,AM56))-IF(AL56=0,0,INDEX(SUP_C3_EXPANSION!$I$20:$I$59,AL56)))+3*SUP_OPEX!$F$20*(IF(AM56=0,0,INDEX(SUP_C3_EXPANSION!$J$20:$J$59,AM56))-IF(AL56=0,0,INDEX(SUP_C3_EXPANSION!$J$20:$J$59,AL56))))</f>
        <v>9600</v>
      </c>
      <c r="AN65">
        <f>IF(AN56=AM56,0,3*SUP_OPEX!$D$20*(IF(AN56=0,0,INDEX(SUP_C3_EXPANSION!$H$20:$H$59,AN56))-IF(AM56=0,0,INDEX(SUP_C3_EXPANSION!$H$20:$H$59,AM56)))+3*SUP_OPEX!$E$20*(IF(AN56=0,0,INDEX(SUP_C3_EXPANSION!$I$20:$I$59,AN56))-IF(AM56=0,0,INDEX(SUP_C3_EXPANSION!$I$20:$I$59,AM56)))+3*SUP_OPEX!$F$20*(IF(AN56=0,0,INDEX(SUP_C3_EXPANSION!$J$20:$J$59,AN56))-IF(AM56=0,0,INDEX(SUP_C3_EXPANSION!$J$20:$J$59,AM56))))</f>
        <v>6000</v>
      </c>
      <c r="AO65">
        <f>IF(AO56=AN56,0,3*SUP_OPEX!$D$20*(IF(AO56=0,0,INDEX(SUP_C3_EXPANSION!$H$20:$H$59,AO56))-IF(AN56=0,0,INDEX(SUP_C3_EXPANSION!$H$20:$H$59,AN56)))+3*SUP_OPEX!$E$20*(IF(AO56=0,0,INDEX(SUP_C3_EXPANSION!$I$20:$I$59,AO56))-IF(AN56=0,0,INDEX(SUP_C3_EXPANSION!$I$20:$I$59,AN56)))+3*SUP_OPEX!$F$20*(IF(AO56=0,0,INDEX(SUP_C3_EXPANSION!$J$20:$J$59,AO56))-IF(AN56=0,0,INDEX(SUP_C3_EXPANSION!$J$20:$J$59,AN56))))</f>
        <v>6000</v>
      </c>
      <c r="AP65">
        <f>IF(AP56=AO56,0,3*SUP_OPEX!$D$20*(IF(AP56=0,0,INDEX(SUP_C3_EXPANSION!$H$20:$H$59,AP56))-IF(AO56=0,0,INDEX(SUP_C3_EXPANSION!$H$20:$H$59,AO56)))+3*SUP_OPEX!$E$20*(IF(AP56=0,0,INDEX(SUP_C3_EXPANSION!$I$20:$I$59,AP56))-IF(AO56=0,0,INDEX(SUP_C3_EXPANSION!$I$20:$I$59,AO56)))+3*SUP_OPEX!$F$20*(IF(AP56=0,0,INDEX(SUP_C3_EXPANSION!$J$20:$J$59,AP56))-IF(AO56=0,0,INDEX(SUP_C3_EXPANSION!$J$20:$J$59,AO56))))</f>
        <v>6000</v>
      </c>
      <c r="AQ65">
        <f>IF(AQ56=AP56,0,3*SUP_OPEX!$D$20*(IF(AQ56=0,0,INDEX(SUP_C3_EXPANSION!$H$20:$H$59,AQ56))-IF(AP56=0,0,INDEX(SUP_C3_EXPANSION!$H$20:$H$59,AP56)))+3*SUP_OPEX!$E$20*(IF(AQ56=0,0,INDEX(SUP_C3_EXPANSION!$I$20:$I$59,AQ56))-IF(AP56=0,0,INDEX(SUP_C3_EXPANSION!$I$20:$I$59,AP56)))+3*SUP_OPEX!$F$20*(IF(AQ56=0,0,INDEX(SUP_C3_EXPANSION!$J$20:$J$59,AQ56))-IF(AP56=0,0,INDEX(SUP_C3_EXPANSION!$J$20:$J$59,AP56))))</f>
        <v>0</v>
      </c>
      <c r="AR65">
        <f>IF(AR56=AQ56,0,3*SUP_OPEX!$D$20*(IF(AR56=0,0,INDEX(SUP_C3_EXPANSION!$H$20:$H$59,AR56))-IF(AQ56=0,0,INDEX(SUP_C3_EXPANSION!$H$20:$H$59,AQ56)))+3*SUP_OPEX!$E$20*(IF(AR56=0,0,INDEX(SUP_C3_EXPANSION!$I$20:$I$59,AR56))-IF(AQ56=0,0,INDEX(SUP_C3_EXPANSION!$I$20:$I$59,AQ56)))+3*SUP_OPEX!$F$20*(IF(AR56=0,0,INDEX(SUP_C3_EXPANSION!$J$20:$J$59,AR56))-IF(AQ56=0,0,INDEX(SUP_C3_EXPANSION!$J$20:$J$59,AQ56))))</f>
        <v>9600</v>
      </c>
      <c r="AS65">
        <f>IF(AS56=AR56,0,3*SUP_OPEX!$D$20*(IF(AS56=0,0,INDEX(SUP_C3_EXPANSION!$H$20:$H$59,AS56))-IF(AR56=0,0,INDEX(SUP_C3_EXPANSION!$H$20:$H$59,AR56)))+3*SUP_OPEX!$E$20*(IF(AS56=0,0,INDEX(SUP_C3_EXPANSION!$I$20:$I$59,AS56))-IF(AR56=0,0,INDEX(SUP_C3_EXPANSION!$I$20:$I$59,AR56)))+3*SUP_OPEX!$F$20*(IF(AS56=0,0,INDEX(SUP_C3_EXPANSION!$J$20:$J$59,AS56))-IF(AR56=0,0,INDEX(SUP_C3_EXPANSION!$J$20:$J$59,AR56))))</f>
        <v>0</v>
      </c>
      <c r="AT65">
        <f>IF(AT56=AS56,0,3*SUP_OPEX!$D$20*(IF(AT56=0,0,INDEX(SUP_C3_EXPANSION!$H$20:$H$59,AT56))-IF(AS56=0,0,INDEX(SUP_C3_EXPANSION!$H$20:$H$59,AS56)))+3*SUP_OPEX!$E$20*(IF(AT56=0,0,INDEX(SUP_C3_EXPANSION!$I$20:$I$59,AT56))-IF(AS56=0,0,INDEX(SUP_C3_EXPANSION!$I$20:$I$59,AS56)))+3*SUP_OPEX!$F$20*(IF(AT56=0,0,INDEX(SUP_C3_EXPANSION!$J$20:$J$59,AT56))-IF(AS56=0,0,INDEX(SUP_C3_EXPANSION!$J$20:$J$59,AS56))))</f>
        <v>6000</v>
      </c>
      <c r="AU65">
        <f>IF(AU56=AT56,0,3*SUP_OPEX!$D$20*(IF(AU56=0,0,INDEX(SUP_C3_EXPANSION!$H$20:$H$59,AU56))-IF(AT56=0,0,INDEX(SUP_C3_EXPANSION!$H$20:$H$59,AT56)))+3*SUP_OPEX!$E$20*(IF(AU56=0,0,INDEX(SUP_C3_EXPANSION!$I$20:$I$59,AU56))-IF(AT56=0,0,INDEX(SUP_C3_EXPANSION!$I$20:$I$59,AT56)))+3*SUP_OPEX!$F$20*(IF(AU56=0,0,INDEX(SUP_C3_EXPANSION!$J$20:$J$59,AU56))-IF(AT56=0,0,INDEX(SUP_C3_EXPANSION!$J$20:$J$59,AT56))))</f>
        <v>6000</v>
      </c>
      <c r="AV65">
        <f>IF(AV56=AU56,0,3*SUP_OPEX!$D$20*(IF(AV56=0,0,INDEX(SUP_C3_EXPANSION!$H$20:$H$59,AV56))-IF(AU56=0,0,INDEX(SUP_C3_EXPANSION!$H$20:$H$59,AU56)))+3*SUP_OPEX!$E$20*(IF(AV56=0,0,INDEX(SUP_C3_EXPANSION!$I$20:$I$59,AV56))-IF(AU56=0,0,INDEX(SUP_C3_EXPANSION!$I$20:$I$59,AU56)))+3*SUP_OPEX!$F$20*(IF(AV56=0,0,INDEX(SUP_C3_EXPANSION!$J$20:$J$59,AV56))-IF(AU56=0,0,INDEX(SUP_C3_EXPANSION!$J$20:$J$59,AU56))))</f>
        <v>0</v>
      </c>
      <c r="AW65">
        <f>IF(AW56=AV56,0,3*SUP_OPEX!$D$20*(IF(AW56=0,0,INDEX(SUP_C3_EXPANSION!$H$20:$H$59,AW56))-IF(AV56=0,0,INDEX(SUP_C3_EXPANSION!$H$20:$H$59,AV56)))+3*SUP_OPEX!$E$20*(IF(AW56=0,0,INDEX(SUP_C3_EXPANSION!$I$20:$I$59,AW56))-IF(AV56=0,0,INDEX(SUP_C3_EXPANSION!$I$20:$I$59,AV56)))+3*SUP_OPEX!$F$20*(IF(AW56=0,0,INDEX(SUP_C3_EXPANSION!$J$20:$J$59,AW56))-IF(AV56=0,0,INDEX(SUP_C3_EXPANSION!$J$20:$J$59,AV56))))</f>
        <v>0</v>
      </c>
      <c r="AX65">
        <f>IF(AX56=AW56,0,3*SUP_OPEX!$D$20*(IF(AX56=0,0,INDEX(SUP_C3_EXPANSION!$H$20:$H$59,AX56))-IF(AW56=0,0,INDEX(SUP_C3_EXPANSION!$H$20:$H$59,AW56)))+3*SUP_OPEX!$E$20*(IF(AX56=0,0,INDEX(SUP_C3_EXPANSION!$I$20:$I$59,AX56))-IF(AW56=0,0,INDEX(SUP_C3_EXPANSION!$I$20:$I$59,AW56)))+3*SUP_OPEX!$F$20*(IF(AX56=0,0,INDEX(SUP_C3_EXPANSION!$J$20:$J$59,AX56))-IF(AW56=0,0,INDEX(SUP_C3_EXPANSION!$J$20:$J$59,AW56))))</f>
        <v>0</v>
      </c>
      <c r="AY65">
        <f>IF(AY56=AX56,0,3*SUP_OPEX!$D$20*(IF(AY56=0,0,INDEX(SUP_C3_EXPANSION!$H$20:$H$59,AY56))-IF(AX56=0,0,INDEX(SUP_C3_EXPANSION!$H$20:$H$59,AX56)))+3*SUP_OPEX!$E$20*(IF(AY56=0,0,INDEX(SUP_C3_EXPANSION!$I$20:$I$59,AY56))-IF(AX56=0,0,INDEX(SUP_C3_EXPANSION!$I$20:$I$59,AX56)))+3*SUP_OPEX!$F$20*(IF(AY56=0,0,INDEX(SUP_C3_EXPANSION!$J$20:$J$59,AY56))-IF(AX56=0,0,INDEX(SUP_C3_EXPANSION!$J$20:$J$59,AX56))))</f>
        <v>0</v>
      </c>
      <c r="AZ65">
        <f>IF(AZ56=AY56,0,3*SUP_OPEX!$D$20*(IF(AZ56=0,0,INDEX(SUP_C3_EXPANSION!$H$20:$H$59,AZ56))-IF(AY56=0,0,INDEX(SUP_C3_EXPANSION!$H$20:$H$59,AY56)))+3*SUP_OPEX!$E$20*(IF(AZ56=0,0,INDEX(SUP_C3_EXPANSION!$I$20:$I$59,AZ56))-IF(AY56=0,0,INDEX(SUP_C3_EXPANSION!$I$20:$I$59,AY56)))+3*SUP_OPEX!$F$20*(IF(AZ56=0,0,INDEX(SUP_C3_EXPANSION!$J$20:$J$59,AZ56))-IF(AY56=0,0,INDEX(SUP_C3_EXPANSION!$J$20:$J$59,AY56))))</f>
        <v>0</v>
      </c>
      <c r="BA65">
        <f>IF(BA56=AZ56,0,3*SUP_OPEX!$D$20*(IF(BA56=0,0,INDEX(SUP_C3_EXPANSION!$H$20:$H$59,BA56))-IF(AZ56=0,0,INDEX(SUP_C3_EXPANSION!$H$20:$H$59,AZ56)))+3*SUP_OPEX!$E$20*(IF(BA56=0,0,INDEX(SUP_C3_EXPANSION!$I$20:$I$59,BA56))-IF(AZ56=0,0,INDEX(SUP_C3_EXPANSION!$I$20:$I$59,AZ56)))+3*SUP_OPEX!$F$20*(IF(BA56=0,0,INDEX(SUP_C3_EXPANSION!$J$20:$J$59,BA56))-IF(AZ56=0,0,INDEX(SUP_C3_EXPANSION!$J$20:$J$59,AZ56))))</f>
        <v>0</v>
      </c>
      <c r="BB65">
        <f>IF(BB56=BA56,0,3*SUP_OPEX!$D$20*(IF(BB56=0,0,INDEX(SUP_C3_EXPANSION!$H$20:$H$59,BB56))-IF(BA56=0,0,INDEX(SUP_C3_EXPANSION!$H$20:$H$59,BA56)))+3*SUP_OPEX!$E$20*(IF(BB56=0,0,INDEX(SUP_C3_EXPANSION!$I$20:$I$59,BB56))-IF(BA56=0,0,INDEX(SUP_C3_EXPANSION!$I$20:$I$59,BA56)))+3*SUP_OPEX!$F$20*(IF(BB56=0,0,INDEX(SUP_C3_EXPANSION!$J$20:$J$59,BB56))-IF(BA56=0,0,INDEX(SUP_C3_EXPANSION!$J$20:$J$59,BA56))))</f>
        <v>0</v>
      </c>
      <c r="BC65">
        <f>IF(BC56=BB56,0,3*SUP_OPEX!$D$20*(IF(BC56=0,0,INDEX(SUP_C3_EXPANSION!$H$20:$H$59,BC56))-IF(BB56=0,0,INDEX(SUP_C3_EXPANSION!$H$20:$H$59,BB56)))+3*SUP_OPEX!$E$20*(IF(BC56=0,0,INDEX(SUP_C3_EXPANSION!$I$20:$I$59,BC56))-IF(BB56=0,0,INDEX(SUP_C3_EXPANSION!$I$20:$I$59,BB56)))+3*SUP_OPEX!$F$20*(IF(BC56=0,0,INDEX(SUP_C3_EXPANSION!$J$20:$J$59,BC56))-IF(BB56=0,0,INDEX(SUP_C3_EXPANSION!$J$20:$J$59,BB56))))</f>
        <v>0</v>
      </c>
      <c r="BD65">
        <f>IF(BD56=BC56,0,3*SUP_OPEX!$D$20*(IF(BD56=0,0,INDEX(SUP_C3_EXPANSION!$H$20:$H$59,BD56))-IF(BC56=0,0,INDEX(SUP_C3_EXPANSION!$H$20:$H$59,BC56)))+3*SUP_OPEX!$E$20*(IF(BD56=0,0,INDEX(SUP_C3_EXPANSION!$I$20:$I$59,BD56))-IF(BC56=0,0,INDEX(SUP_C3_EXPANSION!$I$20:$I$59,BC56)))+3*SUP_OPEX!$F$20*(IF(BD56=0,0,INDEX(SUP_C3_EXPANSION!$J$20:$J$59,BD56))-IF(BC56=0,0,INDEX(SUP_C3_EXPANSION!$J$20:$J$59,BC56))))</f>
        <v>30000</v>
      </c>
      <c r="BE65">
        <f>IF(BE56=BD56,0,3*SUP_OPEX!$D$20*(IF(BE56=0,0,INDEX(SUP_C3_EXPANSION!$H$20:$H$59,BE56))-IF(BD56=0,0,INDEX(SUP_C3_EXPANSION!$H$20:$H$59,BD56)))+3*SUP_OPEX!$E$20*(IF(BE56=0,0,INDEX(SUP_C3_EXPANSION!$I$20:$I$59,BE56))-IF(BD56=0,0,INDEX(SUP_C3_EXPANSION!$I$20:$I$59,BD56)))+3*SUP_OPEX!$F$20*(IF(BE56=0,0,INDEX(SUP_C3_EXPANSION!$J$20:$J$59,BE56))-IF(BD56=0,0,INDEX(SUP_C3_EXPANSION!$J$20:$J$59,BD56))))</f>
        <v>6000</v>
      </c>
      <c r="BF65">
        <f>IF(BF56=BE56,0,3*SUP_OPEX!$D$20*(IF(BF56=0,0,INDEX(SUP_C3_EXPANSION!$H$20:$H$59,BF56))-IF(BE56=0,0,INDEX(SUP_C3_EXPANSION!$H$20:$H$59,BE56)))+3*SUP_OPEX!$E$20*(IF(BF56=0,0,INDEX(SUP_C3_EXPANSION!$I$20:$I$59,BF56))-IF(BE56=0,0,INDEX(SUP_C3_EXPANSION!$I$20:$I$59,BE56)))+3*SUP_OPEX!$F$20*(IF(BF56=0,0,INDEX(SUP_C3_EXPANSION!$J$20:$J$59,BF56))-IF(BE56=0,0,INDEX(SUP_C3_EXPANSION!$J$20:$J$59,BE56))))</f>
        <v>9600</v>
      </c>
      <c r="BG65">
        <f>IF(BG56=BF56,0,3*SUP_OPEX!$D$20*(IF(BG56=0,0,INDEX(SUP_C3_EXPANSION!$H$20:$H$59,BG56))-IF(BF56=0,0,INDEX(SUP_C3_EXPANSION!$H$20:$H$59,BF56)))+3*SUP_OPEX!$E$20*(IF(BG56=0,0,INDEX(SUP_C3_EXPANSION!$I$20:$I$59,BG56))-IF(BF56=0,0,INDEX(SUP_C3_EXPANSION!$I$20:$I$59,BF56)))+3*SUP_OPEX!$F$20*(IF(BG56=0,0,INDEX(SUP_C3_EXPANSION!$J$20:$J$59,BG56))-IF(BF56=0,0,INDEX(SUP_C3_EXPANSION!$J$20:$J$59,BF56))))</f>
        <v>6000</v>
      </c>
      <c r="BH65">
        <f>IF(BH56=BG56,0,3*SUP_OPEX!$D$20*(IF(BH56=0,0,INDEX(SUP_C3_EXPANSION!$H$20:$H$59,BH56))-IF(BG56=0,0,INDEX(SUP_C3_EXPANSION!$H$20:$H$59,BG56)))+3*SUP_OPEX!$E$20*(IF(BH56=0,0,INDEX(SUP_C3_EXPANSION!$I$20:$I$59,BH56))-IF(BG56=0,0,INDEX(SUP_C3_EXPANSION!$I$20:$I$59,BG56)))+3*SUP_OPEX!$F$20*(IF(BH56=0,0,INDEX(SUP_C3_EXPANSION!$J$20:$J$59,BH56))-IF(BG56=0,0,INDEX(SUP_C3_EXPANSION!$J$20:$J$59,BG56))))</f>
        <v>6000</v>
      </c>
      <c r="BI65">
        <f>IF(BI56=BH56,0,3*SUP_OPEX!$D$20*(IF(BI56=0,0,INDEX(SUP_C3_EXPANSION!$H$20:$H$59,BI56))-IF(BH56=0,0,INDEX(SUP_C3_EXPANSION!$H$20:$H$59,BH56)))+3*SUP_OPEX!$E$20*(IF(BI56=0,0,INDEX(SUP_C3_EXPANSION!$I$20:$I$59,BI56))-IF(BH56=0,0,INDEX(SUP_C3_EXPANSION!$I$20:$I$59,BH56)))+3*SUP_OPEX!$F$20*(IF(BI56=0,0,INDEX(SUP_C3_EXPANSION!$J$20:$J$59,BI56))-IF(BH56=0,0,INDEX(SUP_C3_EXPANSION!$J$20:$J$59,BH56))))</f>
        <v>6000</v>
      </c>
      <c r="BJ65">
        <f>IF(BJ56=BI56,0,3*SUP_OPEX!$D$20*(IF(BJ56=0,0,INDEX(SUP_C3_EXPANSION!$H$20:$H$59,BJ56))-IF(BI56=0,0,INDEX(SUP_C3_EXPANSION!$H$20:$H$59,BI56)))+3*SUP_OPEX!$E$20*(IF(BJ56=0,0,INDEX(SUP_C3_EXPANSION!$I$20:$I$59,BJ56))-IF(BI56=0,0,INDEX(SUP_C3_EXPANSION!$I$20:$I$59,BI56)))+3*SUP_OPEX!$F$20*(IF(BJ56=0,0,INDEX(SUP_C3_EXPANSION!$J$20:$J$59,BJ56))-IF(BI56=0,0,INDEX(SUP_C3_EXPANSION!$J$20:$J$59,BI56))))</f>
        <v>9600</v>
      </c>
      <c r="BK65">
        <f>IF(BK56=BJ56,0,3*SUP_OPEX!$D$20*(IF(BK56=0,0,INDEX(SUP_C3_EXPANSION!$H$20:$H$59,BK56))-IF(BJ56=0,0,INDEX(SUP_C3_EXPANSION!$H$20:$H$59,BJ56)))+3*SUP_OPEX!$E$20*(IF(BK56=0,0,INDEX(SUP_C3_EXPANSION!$I$20:$I$59,BK56))-IF(BJ56=0,0,INDEX(SUP_C3_EXPANSION!$I$20:$I$59,BJ56)))+3*SUP_OPEX!$F$20*(IF(BK56=0,0,INDEX(SUP_C3_EXPANSION!$J$20:$J$59,BK56))-IF(BJ56=0,0,INDEX(SUP_C3_EXPANSION!$J$20:$J$59,BJ56))))</f>
        <v>6000</v>
      </c>
      <c r="BL65">
        <f>IF(BL56=BK56,0,3*SUP_OPEX!$D$20*(IF(BL56=0,0,INDEX(SUP_C3_EXPANSION!$H$20:$H$59,BL56))-IF(BK56=0,0,INDEX(SUP_C3_EXPANSION!$H$20:$H$59,BK56)))+3*SUP_OPEX!$E$20*(IF(BL56=0,0,INDEX(SUP_C3_EXPANSION!$I$20:$I$59,BL56))-IF(BK56=0,0,INDEX(SUP_C3_EXPANSION!$I$20:$I$59,BK56)))+3*SUP_OPEX!$F$20*(IF(BL56=0,0,INDEX(SUP_C3_EXPANSION!$J$20:$J$59,BL56))-IF(BK56=0,0,INDEX(SUP_C3_EXPANSION!$J$20:$J$59,BK56))))</f>
        <v>6000</v>
      </c>
      <c r="BM65">
        <f>IF(BM56=BL56,0,3*SUP_OPEX!$D$20*(IF(BM56=0,0,INDEX(SUP_C3_EXPANSION!$H$20:$H$59,BM56))-IF(BL56=0,0,INDEX(SUP_C3_EXPANSION!$H$20:$H$59,BL56)))+3*SUP_OPEX!$E$20*(IF(BM56=0,0,INDEX(SUP_C3_EXPANSION!$I$20:$I$59,BM56))-IF(BL56=0,0,INDEX(SUP_C3_EXPANSION!$I$20:$I$59,BL56)))+3*SUP_OPEX!$F$20*(IF(BM56=0,0,INDEX(SUP_C3_EXPANSION!$J$20:$J$59,BM56))-IF(BL56=0,0,INDEX(SUP_C3_EXPANSION!$J$20:$J$59,BL56))))</f>
        <v>6000</v>
      </c>
      <c r="BN65">
        <f>IF(BN56=BM56,0,3*SUP_OPEX!$D$20*(IF(BN56=0,0,INDEX(SUP_C3_EXPANSION!$H$20:$H$59,BN56))-IF(BM56=0,0,INDEX(SUP_C3_EXPANSION!$H$20:$H$59,BM56)))+3*SUP_OPEX!$E$20*(IF(BN56=0,0,INDEX(SUP_C3_EXPANSION!$I$20:$I$59,BN56))-IF(BM56=0,0,INDEX(SUP_C3_EXPANSION!$I$20:$I$59,BM56)))+3*SUP_OPEX!$F$20*(IF(BN56=0,0,INDEX(SUP_C3_EXPANSION!$J$20:$J$59,BN56))-IF(BM56=0,0,INDEX(SUP_C3_EXPANSION!$J$20:$J$59,BM56))))</f>
        <v>9600</v>
      </c>
      <c r="BO65">
        <f>IF(BO56=BN56,0,3*SUP_OPEX!$D$20*(IF(BO56=0,0,INDEX(SUP_C3_EXPANSION!$H$20:$H$59,BO56))-IF(BN56=0,0,INDEX(SUP_C3_EXPANSION!$H$20:$H$59,BN56)))+3*SUP_OPEX!$E$20*(IF(BO56=0,0,INDEX(SUP_C3_EXPANSION!$I$20:$I$59,BO56))-IF(BN56=0,0,INDEX(SUP_C3_EXPANSION!$I$20:$I$59,BN56)))+3*SUP_OPEX!$F$20*(IF(BO56=0,0,INDEX(SUP_C3_EXPANSION!$J$20:$J$59,BO56))-IF(BN56=0,0,INDEX(SUP_C3_EXPANSION!$J$20:$J$59,BN56))))</f>
        <v>6000</v>
      </c>
      <c r="BP65">
        <f>IF(BP56=BO56,0,3*SUP_OPEX!$D$20*(IF(BP56=0,0,INDEX(SUP_C3_EXPANSION!$H$20:$H$59,BP56))-IF(BO56=0,0,INDEX(SUP_C3_EXPANSION!$H$20:$H$59,BO56)))+3*SUP_OPEX!$E$20*(IF(BP56=0,0,INDEX(SUP_C3_EXPANSION!$I$20:$I$59,BP56))-IF(BO56=0,0,INDEX(SUP_C3_EXPANSION!$I$20:$I$59,BO56)))+3*SUP_OPEX!$F$20*(IF(BP56=0,0,INDEX(SUP_C3_EXPANSION!$J$20:$J$59,BP56))-IF(BO56=0,0,INDEX(SUP_C3_EXPANSION!$J$20:$J$59,BO56))))</f>
        <v>6000</v>
      </c>
      <c r="BQ65">
        <f>IF(BQ56=BP56,0,3*SUP_OPEX!$D$20*(IF(BQ56=0,0,INDEX(SUP_C3_EXPANSION!$H$20:$H$59,BQ56))-IF(BP56=0,0,INDEX(SUP_C3_EXPANSION!$H$20:$H$59,BP56)))+3*SUP_OPEX!$E$20*(IF(BQ56=0,0,INDEX(SUP_C3_EXPANSION!$I$20:$I$59,BQ56))-IF(BP56=0,0,INDEX(SUP_C3_EXPANSION!$I$20:$I$59,BP56)))+3*SUP_OPEX!$F$20*(IF(BQ56=0,0,INDEX(SUP_C3_EXPANSION!$J$20:$J$59,BQ56))-IF(BP56=0,0,INDEX(SUP_C3_EXPANSION!$J$20:$J$59,BP56))))</f>
        <v>6000</v>
      </c>
      <c r="BR65">
        <f>IF(BR56=BQ56,0,3*SUP_OPEX!$D$20*(IF(BR56=0,0,INDEX(SUP_C3_EXPANSION!$H$20:$H$59,BR56))-IF(BQ56=0,0,INDEX(SUP_C3_EXPANSION!$H$20:$H$59,BQ56)))+3*SUP_OPEX!$E$20*(IF(BR56=0,0,INDEX(SUP_C3_EXPANSION!$I$20:$I$59,BR56))-IF(BQ56=0,0,INDEX(SUP_C3_EXPANSION!$I$20:$I$59,BQ56)))+3*SUP_OPEX!$F$20*(IF(BR56=0,0,INDEX(SUP_C3_EXPANSION!$J$20:$J$59,BR56))-IF(BQ56=0,0,INDEX(SUP_C3_EXPANSION!$J$20:$J$59,BQ56))))</f>
        <v>9600</v>
      </c>
      <c r="BS65">
        <f>IF(BS56=BR56,0,3*SUP_OPEX!$D$20*(IF(BS56=0,0,INDEX(SUP_C3_EXPANSION!$H$20:$H$59,BS56))-IF(BR56=0,0,INDEX(SUP_C3_EXPANSION!$H$20:$H$59,BR56)))+3*SUP_OPEX!$E$20*(IF(BS56=0,0,INDEX(SUP_C3_EXPANSION!$I$20:$I$59,BS56))-IF(BR56=0,0,INDEX(SUP_C3_EXPANSION!$I$20:$I$59,BR56)))+3*SUP_OPEX!$F$20*(IF(BS56=0,0,INDEX(SUP_C3_EXPANSION!$J$20:$J$59,BS56))-IF(BR56=0,0,INDEX(SUP_C3_EXPANSION!$J$20:$J$59,BR56))))</f>
        <v>30000</v>
      </c>
      <c r="BT65">
        <f>IF(BT56=BS56,0,3*SUP_OPEX!$D$20*(IF(BT56=0,0,INDEX(SUP_C3_EXPANSION!$H$20:$H$59,BT56))-IF(BS56=0,0,INDEX(SUP_C3_EXPANSION!$H$20:$H$59,BS56)))+3*SUP_OPEX!$E$20*(IF(BT56=0,0,INDEX(SUP_C3_EXPANSION!$I$20:$I$59,BT56))-IF(BS56=0,0,INDEX(SUP_C3_EXPANSION!$I$20:$I$59,BS56)))+3*SUP_OPEX!$F$20*(IF(BT56=0,0,INDEX(SUP_C3_EXPANSION!$J$20:$J$59,BT56))-IF(BS56=0,0,INDEX(SUP_C3_EXPANSION!$J$20:$J$59,BS56))))</f>
        <v>6000</v>
      </c>
      <c r="BU65">
        <f>IF(BU56=BT56,0,3*SUP_OPEX!$D$20*(IF(BU56=0,0,INDEX(SUP_C3_EXPANSION!$H$20:$H$59,BU56))-IF(BT56=0,0,INDEX(SUP_C3_EXPANSION!$H$20:$H$59,BT56)))+3*SUP_OPEX!$E$20*(IF(BU56=0,0,INDEX(SUP_C3_EXPANSION!$I$20:$I$59,BU56))-IF(BT56=0,0,INDEX(SUP_C3_EXPANSION!$I$20:$I$59,BT56)))+3*SUP_OPEX!$F$20*(IF(BU56=0,0,INDEX(SUP_C3_EXPANSION!$J$20:$J$59,BU56))-IF(BT56=0,0,INDEX(SUP_C3_EXPANSION!$J$20:$J$59,BT56))))</f>
        <v>6000</v>
      </c>
      <c r="BV65">
        <f>IF(BV56=BU56,0,3*SUP_OPEX!$D$20*(IF(BV56=0,0,INDEX(SUP_C3_EXPANSION!$H$20:$H$59,BV56))-IF(BU56=0,0,INDEX(SUP_C3_EXPANSION!$H$20:$H$59,BU56)))+3*SUP_OPEX!$E$20*(IF(BV56=0,0,INDEX(SUP_C3_EXPANSION!$I$20:$I$59,BV56))-IF(BU56=0,0,INDEX(SUP_C3_EXPANSION!$I$20:$I$59,BU56)))+3*SUP_OPEX!$F$20*(IF(BV56=0,0,INDEX(SUP_C3_EXPANSION!$J$20:$J$59,BV56))-IF(BU56=0,0,INDEX(SUP_C3_EXPANSION!$J$20:$J$59,BU56))))</f>
        <v>6000</v>
      </c>
      <c r="BW65">
        <f>IF(BW56=BV56,0,3*SUP_OPEX!$D$20*(IF(BW56=0,0,INDEX(SUP_C3_EXPANSION!$H$20:$H$59,BW56))-IF(BV56=0,0,INDEX(SUP_C3_EXPANSION!$H$20:$H$59,BV56)))+3*SUP_OPEX!$E$20*(IF(BW56=0,0,INDEX(SUP_C3_EXPANSION!$I$20:$I$59,BW56))-IF(BV56=0,0,INDEX(SUP_C3_EXPANSION!$I$20:$I$59,BV56)))+3*SUP_OPEX!$F$20*(IF(BW56=0,0,INDEX(SUP_C3_EXPANSION!$J$20:$J$59,BW56))-IF(BV56=0,0,INDEX(SUP_C3_EXPANSION!$J$20:$J$59,BV56))))</f>
        <v>9600</v>
      </c>
      <c r="BX65">
        <f>IF(BX56=BW56,0,3*SUP_OPEX!$D$20*(IF(BX56=0,0,INDEX(SUP_C3_EXPANSION!$H$20:$H$59,BX56))-IF(BW56=0,0,INDEX(SUP_C3_EXPANSION!$H$20:$H$59,BW56)))+3*SUP_OPEX!$E$20*(IF(BX56=0,0,INDEX(SUP_C3_EXPANSION!$I$20:$I$59,BX56))-IF(BW56=0,0,INDEX(SUP_C3_EXPANSION!$I$20:$I$59,BW56)))+3*SUP_OPEX!$F$20*(IF(BX56=0,0,INDEX(SUP_C3_EXPANSION!$J$20:$J$59,BX56))-IF(BW56=0,0,INDEX(SUP_C3_EXPANSION!$J$20:$J$59,BW56))))</f>
        <v>6000</v>
      </c>
      <c r="BY65">
        <f>IF(BY56=BX56,0,3*SUP_OPEX!$D$20*(IF(BY56=0,0,INDEX(SUP_C3_EXPANSION!$H$20:$H$59,BY56))-IF(BX56=0,0,INDEX(SUP_C3_EXPANSION!$H$20:$H$59,BX56)))+3*SUP_OPEX!$E$20*(IF(BY56=0,0,INDEX(SUP_C3_EXPANSION!$I$20:$I$59,BY56))-IF(BX56=0,0,INDEX(SUP_C3_EXPANSION!$I$20:$I$59,BX56)))+3*SUP_OPEX!$F$20*(IF(BY56=0,0,INDEX(SUP_C3_EXPANSION!$J$20:$J$59,BY56))-IF(BX56=0,0,INDEX(SUP_C3_EXPANSION!$J$20:$J$59,BX56))))</f>
        <v>6000</v>
      </c>
      <c r="BZ65">
        <f>IF(BZ56=BY56,0,3*SUP_OPEX!$D$20*(IF(BZ56=0,0,INDEX(SUP_C3_EXPANSION!$H$20:$H$59,BZ56))-IF(BY56=0,0,INDEX(SUP_C3_EXPANSION!$H$20:$H$59,BY56)))+3*SUP_OPEX!$E$20*(IF(BZ56=0,0,INDEX(SUP_C3_EXPANSION!$I$20:$I$59,BZ56))-IF(BY56=0,0,INDEX(SUP_C3_EXPANSION!$I$20:$I$59,BY56)))+3*SUP_OPEX!$F$20*(IF(BZ56=0,0,INDEX(SUP_C3_EXPANSION!$J$20:$J$59,BZ56))-IF(BY56=0,0,INDEX(SUP_C3_EXPANSION!$J$20:$J$59,BY56))))</f>
        <v>6000</v>
      </c>
      <c r="CA65">
        <f>IF(CA56=BZ56,0,3*SUP_OPEX!$D$20*(IF(CA56=0,0,INDEX(SUP_C3_EXPANSION!$H$20:$H$59,CA56))-IF(BZ56=0,0,INDEX(SUP_C3_EXPANSION!$H$20:$H$59,BZ56)))+3*SUP_OPEX!$E$20*(IF(CA56=0,0,INDEX(SUP_C3_EXPANSION!$I$20:$I$59,CA56))-IF(BZ56=0,0,INDEX(SUP_C3_EXPANSION!$I$20:$I$59,BZ56)))+3*SUP_OPEX!$F$20*(IF(CA56=0,0,INDEX(SUP_C3_EXPANSION!$J$20:$J$59,CA56))-IF(BZ56=0,0,INDEX(SUP_C3_EXPANSION!$J$20:$J$59,BZ56))))</f>
        <v>9600</v>
      </c>
      <c r="CB65">
        <f>IF(CB56=CA56,0,3*SUP_OPEX!$D$20*(IF(CB56=0,0,INDEX(SUP_C3_EXPANSION!$H$20:$H$59,CB56))-IF(CA56=0,0,INDEX(SUP_C3_EXPANSION!$H$20:$H$59,CA56)))+3*SUP_OPEX!$E$20*(IF(CB56=0,0,INDEX(SUP_C3_EXPANSION!$I$20:$I$59,CB56))-IF(CA56=0,0,INDEX(SUP_C3_EXPANSION!$I$20:$I$59,CA56)))+3*SUP_OPEX!$F$20*(IF(CB56=0,0,INDEX(SUP_C3_EXPANSION!$J$20:$J$59,CB56))-IF(CA56=0,0,INDEX(SUP_C3_EXPANSION!$J$20:$J$59,CA56))))</f>
        <v>6000</v>
      </c>
      <c r="CC65">
        <f>IF(CC56=CB56,0,3*SUP_OPEX!$D$20*(IF(CC56=0,0,INDEX(SUP_C3_EXPANSION!$H$20:$H$59,CC56))-IF(CB56=0,0,INDEX(SUP_C3_EXPANSION!$H$20:$H$59,CB56)))+3*SUP_OPEX!$E$20*(IF(CC56=0,0,INDEX(SUP_C3_EXPANSION!$I$20:$I$59,CC56))-IF(CB56=0,0,INDEX(SUP_C3_EXPANSION!$I$20:$I$59,CB56)))+3*SUP_OPEX!$F$20*(IF(CC56=0,0,INDEX(SUP_C3_EXPANSION!$J$20:$J$59,CC56))-IF(CB56=0,0,INDEX(SUP_C3_EXPANSION!$J$20:$J$59,CB56))))</f>
        <v>6000</v>
      </c>
      <c r="CD65">
        <f>IF(CD56=CC56,0,3*SUP_OPEX!$D$20*(IF(CD56=0,0,INDEX(SUP_C3_EXPANSION!$H$20:$H$59,CD56))-IF(CC56=0,0,INDEX(SUP_C3_EXPANSION!$H$20:$H$59,CC56)))+3*SUP_OPEX!$E$20*(IF(CD56=0,0,INDEX(SUP_C3_EXPANSION!$I$20:$I$59,CD56))-IF(CC56=0,0,INDEX(SUP_C3_EXPANSION!$I$20:$I$59,CC56)))+3*SUP_OPEX!$F$20*(IF(CD56=0,0,INDEX(SUP_C3_EXPANSION!$J$20:$J$59,CD56))-IF(CC56=0,0,INDEX(SUP_C3_EXPANSION!$J$20:$J$59,CC56))))</f>
        <v>0</v>
      </c>
      <c r="CE65">
        <f>IF(CE56=CD56,0,3*SUP_OPEX!$D$20*(IF(CE56=0,0,INDEX(SUP_C3_EXPANSION!$H$20:$H$59,CE56))-IF(CD56=0,0,INDEX(SUP_C3_EXPANSION!$H$20:$H$59,CD56)))+3*SUP_OPEX!$E$20*(IF(CE56=0,0,INDEX(SUP_C3_EXPANSION!$I$20:$I$59,CE56))-IF(CD56=0,0,INDEX(SUP_C3_EXPANSION!$I$20:$I$59,CD56)))+3*SUP_OPEX!$F$20*(IF(CE56=0,0,INDEX(SUP_C3_EXPANSION!$J$20:$J$59,CE56))-IF(CD56=0,0,INDEX(SUP_C3_EXPANSION!$J$20:$J$59,CD56))))</f>
        <v>0</v>
      </c>
      <c r="CF65">
        <f>IF(CF56=CE56,0,3*SUP_OPEX!$D$20*(IF(CF56=0,0,INDEX(SUP_C3_EXPANSION!$H$20:$H$59,CF56))-IF(CE56=0,0,INDEX(SUP_C3_EXPANSION!$H$20:$H$59,CE56)))+3*SUP_OPEX!$E$20*(IF(CF56=0,0,INDEX(SUP_C3_EXPANSION!$I$20:$I$59,CF56))-IF(CE56=0,0,INDEX(SUP_C3_EXPANSION!$I$20:$I$59,CE56)))+3*SUP_OPEX!$F$20*(IF(CF56=0,0,INDEX(SUP_C3_EXPANSION!$J$20:$J$59,CF56))-IF(CE56=0,0,INDEX(SUP_C3_EXPANSION!$J$20:$J$59,CE56))))</f>
        <v>0</v>
      </c>
      <c r="CG65">
        <f>IF(CG56=CF56,0,3*SUP_OPEX!$D$20*(IF(CG56=0,0,INDEX(SUP_C3_EXPANSION!$H$20:$H$59,CG56))-IF(CF56=0,0,INDEX(SUP_C3_EXPANSION!$H$20:$H$59,CF56)))+3*SUP_OPEX!$E$20*(IF(CG56=0,0,INDEX(SUP_C3_EXPANSION!$I$20:$I$59,CG56))-IF(CF56=0,0,INDEX(SUP_C3_EXPANSION!$I$20:$I$59,CF56)))+3*SUP_OPEX!$F$20*(IF(CG56=0,0,INDEX(SUP_C3_EXPANSION!$J$20:$J$59,CG56))-IF(CF56=0,0,INDEX(SUP_C3_EXPANSION!$J$20:$J$59,CF56))))</f>
        <v>0</v>
      </c>
      <c r="CH65">
        <f>IF(CH56=CG56,0,3*SUP_OPEX!$D$20*(IF(CH56=0,0,INDEX(SUP_C3_EXPANSION!$H$20:$H$59,CH56))-IF(CG56=0,0,INDEX(SUP_C3_EXPANSION!$H$20:$H$59,CG56)))+3*SUP_OPEX!$E$20*(IF(CH56=0,0,INDEX(SUP_C3_EXPANSION!$I$20:$I$59,CH56))-IF(CG56=0,0,INDEX(SUP_C3_EXPANSION!$I$20:$I$59,CG56)))+3*SUP_OPEX!$F$20*(IF(CH56=0,0,INDEX(SUP_C3_EXPANSION!$J$20:$J$59,CH56))-IF(CG56=0,0,INDEX(SUP_C3_EXPANSION!$J$20:$J$59,CG56))))</f>
        <v>0</v>
      </c>
      <c r="CI65">
        <f>IF(CI56=CH56,0,3*SUP_OPEX!$D$20*(IF(CI56=0,0,INDEX(SUP_C3_EXPANSION!$H$20:$H$59,CI56))-IF(CH56=0,0,INDEX(SUP_C3_EXPANSION!$H$20:$H$59,CH56)))+3*SUP_OPEX!$E$20*(IF(CI56=0,0,INDEX(SUP_C3_EXPANSION!$I$20:$I$59,CI56))-IF(CH56=0,0,INDEX(SUP_C3_EXPANSION!$I$20:$I$59,CH56)))+3*SUP_OPEX!$F$20*(IF(CI56=0,0,INDEX(SUP_C3_EXPANSION!$J$20:$J$59,CI56))-IF(CH56=0,0,INDEX(SUP_C3_EXPANSION!$J$20:$J$59,CH56))))</f>
        <v>0</v>
      </c>
      <c r="CJ65">
        <f>IF(CJ56=CI56,0,3*SUP_OPEX!$D$20*(IF(CJ56=0,0,INDEX(SUP_C3_EXPANSION!$H$20:$H$59,CJ56))-IF(CI56=0,0,INDEX(SUP_C3_EXPANSION!$H$20:$H$59,CI56)))+3*SUP_OPEX!$E$20*(IF(CJ56=0,0,INDEX(SUP_C3_EXPANSION!$I$20:$I$59,CJ56))-IF(CI56=0,0,INDEX(SUP_C3_EXPANSION!$I$20:$I$59,CI56)))+3*SUP_OPEX!$F$20*(IF(CJ56=0,0,INDEX(SUP_C3_EXPANSION!$J$20:$J$59,CJ56))-IF(CI56=0,0,INDEX(SUP_C3_EXPANSION!$J$20:$J$59,CI56))))</f>
        <v>0</v>
      </c>
      <c r="CK65">
        <f>IF(CK56=CJ56,0,3*SUP_OPEX!$D$20*(IF(CK56=0,0,INDEX(SUP_C3_EXPANSION!$H$20:$H$59,CK56))-IF(CJ56=0,0,INDEX(SUP_C3_EXPANSION!$H$20:$H$59,CJ56)))+3*SUP_OPEX!$E$20*(IF(CK56=0,0,INDEX(SUP_C3_EXPANSION!$I$20:$I$59,CK56))-IF(CJ56=0,0,INDEX(SUP_C3_EXPANSION!$I$20:$I$59,CJ56)))+3*SUP_OPEX!$F$20*(IF(CK56=0,0,INDEX(SUP_C3_EXPANSION!$J$20:$J$59,CK56))-IF(CJ56=0,0,INDEX(SUP_C3_EXPANSION!$J$20:$J$59,CJ56))))</f>
        <v>0</v>
      </c>
      <c r="CL65">
        <f>IF(CL56=CK56,0,3*SUP_OPEX!$D$20*(IF(CL56=0,0,INDEX(SUP_C3_EXPANSION!$H$20:$H$59,CL56))-IF(CK56=0,0,INDEX(SUP_C3_EXPANSION!$H$20:$H$59,CK56)))+3*SUP_OPEX!$E$20*(IF(CL56=0,0,INDEX(SUP_C3_EXPANSION!$I$20:$I$59,CL56))-IF(CK56=0,0,INDEX(SUP_C3_EXPANSION!$I$20:$I$59,CK56)))+3*SUP_OPEX!$F$20*(IF(CL56=0,0,INDEX(SUP_C3_EXPANSION!$J$20:$J$59,CL56))-IF(CK56=0,0,INDEX(SUP_C3_EXPANSION!$J$20:$J$59,CK56))))</f>
        <v>0</v>
      </c>
      <c r="CM65">
        <f>IF(CM56=CL56,0,3*SUP_OPEX!$D$20*(IF(CM56=0,0,INDEX(SUP_C3_EXPANSION!$H$20:$H$59,CM56))-IF(CL56=0,0,INDEX(SUP_C3_EXPANSION!$H$20:$H$59,CL56)))+3*SUP_OPEX!$E$20*(IF(CM56=0,0,INDEX(SUP_C3_EXPANSION!$I$20:$I$59,CM56))-IF(CL56=0,0,INDEX(SUP_C3_EXPANSION!$I$20:$I$59,CL56)))+3*SUP_OPEX!$F$20*(IF(CM56=0,0,INDEX(SUP_C3_EXPANSION!$J$20:$J$59,CM56))-IF(CL56=0,0,INDEX(SUP_C3_EXPANSION!$J$20:$J$59,CL56))))</f>
        <v>0</v>
      </c>
      <c r="CN65">
        <f>IF(CN56=CM56,0,3*SUP_OPEX!$D$20*(IF(CN56=0,0,INDEX(SUP_C3_EXPANSION!$H$20:$H$59,CN56))-IF(CM56=0,0,INDEX(SUP_C3_EXPANSION!$H$20:$H$59,CM56)))+3*SUP_OPEX!$E$20*(IF(CN56=0,0,INDEX(SUP_C3_EXPANSION!$I$20:$I$59,CN56))-IF(CM56=0,0,INDEX(SUP_C3_EXPANSION!$I$20:$I$59,CM56)))+3*SUP_OPEX!$F$20*(IF(CN56=0,0,INDEX(SUP_C3_EXPANSION!$J$20:$J$59,CN56))-IF(CM56=0,0,INDEX(SUP_C3_EXPANSION!$J$20:$J$59,CM56))))</f>
        <v>0</v>
      </c>
      <c r="CO65">
        <f>IF(CO56=CN56,0,3*SUP_OPEX!$D$20*(IF(CO56=0,0,INDEX(SUP_C3_EXPANSION!$H$20:$H$59,CO56))-IF(CN56=0,0,INDEX(SUP_C3_EXPANSION!$H$20:$H$59,CN56)))+3*SUP_OPEX!$E$20*(IF(CO56=0,0,INDEX(SUP_C3_EXPANSION!$I$20:$I$59,CO56))-IF(CN56=0,0,INDEX(SUP_C3_EXPANSION!$I$20:$I$59,CN56)))+3*SUP_OPEX!$F$20*(IF(CO56=0,0,INDEX(SUP_C3_EXPANSION!$J$20:$J$59,CO56))-IF(CN56=0,0,INDEX(SUP_C3_EXPANSION!$J$20:$J$59,CN56))))</f>
        <v>0</v>
      </c>
      <c r="CP65">
        <f>IF(CP56=CO56,0,3*SUP_OPEX!$D$20*(IF(CP56=0,0,INDEX(SUP_C3_EXPANSION!$H$20:$H$59,CP56))-IF(CO56=0,0,INDEX(SUP_C3_EXPANSION!$H$20:$H$59,CO56)))+3*SUP_OPEX!$E$20*(IF(CP56=0,0,INDEX(SUP_C3_EXPANSION!$I$20:$I$59,CP56))-IF(CO56=0,0,INDEX(SUP_C3_EXPANSION!$I$20:$I$59,CO56)))+3*SUP_OPEX!$F$20*(IF(CP56=0,0,INDEX(SUP_C3_EXPANSION!$J$20:$J$59,CP56))-IF(CO56=0,0,INDEX(SUP_C3_EXPANSION!$J$20:$J$59,CO56))))</f>
        <v>0</v>
      </c>
      <c r="CQ65">
        <f>IF(CQ56=CP56,0,3*SUP_OPEX!$D$20*(IF(CQ56=0,0,INDEX(SUP_C3_EXPANSION!$H$20:$H$59,CQ56))-IF(CP56=0,0,INDEX(SUP_C3_EXPANSION!$H$20:$H$59,CP56)))+3*SUP_OPEX!$E$20*(IF(CQ56=0,0,INDEX(SUP_C3_EXPANSION!$I$20:$I$59,CQ56))-IF(CP56=0,0,INDEX(SUP_C3_EXPANSION!$I$20:$I$59,CP56)))+3*SUP_OPEX!$F$20*(IF(CQ56=0,0,INDEX(SUP_C3_EXPANSION!$J$20:$J$59,CQ56))-IF(CP56=0,0,INDEX(SUP_C3_EXPANSION!$J$20:$J$59,CP56))))</f>
        <v>0</v>
      </c>
      <c r="CR65">
        <f>IF(CR56=CQ56,0,3*SUP_OPEX!$D$20*(IF(CR56=0,0,INDEX(SUP_C3_EXPANSION!$H$20:$H$59,CR56))-IF(CQ56=0,0,INDEX(SUP_C3_EXPANSION!$H$20:$H$59,CQ56)))+3*SUP_OPEX!$E$20*(IF(CR56=0,0,INDEX(SUP_C3_EXPANSION!$I$20:$I$59,CR56))-IF(CQ56=0,0,INDEX(SUP_C3_EXPANSION!$I$20:$I$59,CQ56)))+3*SUP_OPEX!$F$20*(IF(CR56=0,0,INDEX(SUP_C3_EXPANSION!$J$20:$J$59,CR56))-IF(CQ56=0,0,INDEX(SUP_C3_EXPANSION!$J$20:$J$59,CQ56))))</f>
        <v>0</v>
      </c>
      <c r="CS65">
        <f>IF(CS56=CR56,0,3*SUP_OPEX!$D$20*(IF(CS56=0,0,INDEX(SUP_C3_EXPANSION!$H$20:$H$59,CS56))-IF(CR56=0,0,INDEX(SUP_C3_EXPANSION!$H$20:$H$59,CR56)))+3*SUP_OPEX!$E$20*(IF(CS56=0,0,INDEX(SUP_C3_EXPANSION!$I$20:$I$59,CS56))-IF(CR56=0,0,INDEX(SUP_C3_EXPANSION!$I$20:$I$59,CR56)))+3*SUP_OPEX!$F$20*(IF(CS56=0,0,INDEX(SUP_C3_EXPANSION!$J$20:$J$59,CS56))-IF(CR56=0,0,INDEX(SUP_C3_EXPANSION!$J$20:$J$59,CR56))))</f>
        <v>0</v>
      </c>
      <c r="CT65">
        <f>IF(CT56=CS56,0,3*SUP_OPEX!$D$20*(IF(CT56=0,0,INDEX(SUP_C3_EXPANSION!$H$20:$H$59,CT56))-IF(CS56=0,0,INDEX(SUP_C3_EXPANSION!$H$20:$H$59,CS56)))+3*SUP_OPEX!$E$20*(IF(CT56=0,0,INDEX(SUP_C3_EXPANSION!$I$20:$I$59,CT56))-IF(CS56=0,0,INDEX(SUP_C3_EXPANSION!$I$20:$I$59,CS56)))+3*SUP_OPEX!$F$20*(IF(CT56=0,0,INDEX(SUP_C3_EXPANSION!$J$20:$J$59,CT56))-IF(CS56=0,0,INDEX(SUP_C3_EXPANSION!$J$20:$J$59,CS56))))</f>
        <v>0</v>
      </c>
      <c r="CU65">
        <f>IF(CU56=CT56,0,3*SUP_OPEX!$D$20*(IF(CU56=0,0,INDEX(SUP_C3_EXPANSION!$H$20:$H$59,CU56))-IF(CT56=0,0,INDEX(SUP_C3_EXPANSION!$H$20:$H$59,CT56)))+3*SUP_OPEX!$E$20*(IF(CU56=0,0,INDEX(SUP_C3_EXPANSION!$I$20:$I$59,CU56))-IF(CT56=0,0,INDEX(SUP_C3_EXPANSION!$I$20:$I$59,CT56)))+3*SUP_OPEX!$F$20*(IF(CU56=0,0,INDEX(SUP_C3_EXPANSION!$J$20:$J$59,CU56))-IF(CT56=0,0,INDEX(SUP_C3_EXPANSION!$J$20:$J$59,CT56))))</f>
        <v>0</v>
      </c>
      <c r="CV65">
        <f>IF(CV56=CU56,0,3*SUP_OPEX!$D$20*(IF(CV56=0,0,INDEX(SUP_C3_EXPANSION!$H$20:$H$59,CV56))-IF(CU56=0,0,INDEX(SUP_C3_EXPANSION!$H$20:$H$59,CU56)))+3*SUP_OPEX!$E$20*(IF(CV56=0,0,INDEX(SUP_C3_EXPANSION!$I$20:$I$59,CV56))-IF(CU56=0,0,INDEX(SUP_C3_EXPANSION!$I$20:$I$59,CU56)))+3*SUP_OPEX!$F$20*(IF(CV56=0,0,INDEX(SUP_C3_EXPANSION!$J$20:$J$59,CV56))-IF(CU56=0,0,INDEX(SUP_C3_EXPANSION!$J$20:$J$59,CU56))))</f>
        <v>0</v>
      </c>
      <c r="CW65">
        <f>IF(CW56=CV56,0,3*SUP_OPEX!$D$20*(IF(CW56=0,0,INDEX(SUP_C3_EXPANSION!$H$20:$H$59,CW56))-IF(CV56=0,0,INDEX(SUP_C3_EXPANSION!$H$20:$H$59,CV56)))+3*SUP_OPEX!$E$20*(IF(CW56=0,0,INDEX(SUP_C3_EXPANSION!$I$20:$I$59,CW56))-IF(CV56=0,0,INDEX(SUP_C3_EXPANSION!$I$20:$I$59,CV56)))+3*SUP_OPEX!$F$20*(IF(CW56=0,0,INDEX(SUP_C3_EXPANSION!$J$20:$J$59,CW56))-IF(CV56=0,0,INDEX(SUP_C3_EXPANSION!$J$20:$J$59,CV56))))</f>
        <v>0</v>
      </c>
      <c r="CX65">
        <f>IF(CX56=CW56,0,3*SUP_OPEX!$D$20*(IF(CX56=0,0,INDEX(SUP_C3_EXPANSION!$H$20:$H$59,CX56))-IF(CW56=0,0,INDEX(SUP_C3_EXPANSION!$H$20:$H$59,CW56)))+3*SUP_OPEX!$E$20*(IF(CX56=0,0,INDEX(SUP_C3_EXPANSION!$I$20:$I$59,CX56))-IF(CW56=0,0,INDEX(SUP_C3_EXPANSION!$I$20:$I$59,CW56)))+3*SUP_OPEX!$F$20*(IF(CX56=0,0,INDEX(SUP_C3_EXPANSION!$J$20:$J$59,CX56))-IF(CW56=0,0,INDEX(SUP_C3_EXPANSION!$J$20:$J$59,CW56))))</f>
        <v>0</v>
      </c>
      <c r="CY65">
        <f>IF(CY56=CX56,0,3*SUP_OPEX!$D$20*(IF(CY56=0,0,INDEX(SUP_C3_EXPANSION!$H$20:$H$59,CY56))-IF(CX56=0,0,INDEX(SUP_C3_EXPANSION!$H$20:$H$59,CX56)))+3*SUP_OPEX!$E$20*(IF(CY56=0,0,INDEX(SUP_C3_EXPANSION!$I$20:$I$59,CY56))-IF(CX56=0,0,INDEX(SUP_C3_EXPANSION!$I$20:$I$59,CX56)))+3*SUP_OPEX!$F$20*(IF(CY56=0,0,INDEX(SUP_C3_EXPANSION!$J$20:$J$59,CY56))-IF(CX56=0,0,INDEX(SUP_C3_EXPANSION!$J$20:$J$59,CX56))))</f>
        <v>0</v>
      </c>
      <c r="CZ65">
        <f>IF(CZ56=CY56,0,3*SUP_OPEX!$D$20*(IF(CZ56=0,0,INDEX(SUP_C3_EXPANSION!$H$20:$H$59,CZ56))-IF(CY56=0,0,INDEX(SUP_C3_EXPANSION!$H$20:$H$59,CY56)))+3*SUP_OPEX!$E$20*(IF(CZ56=0,0,INDEX(SUP_C3_EXPANSION!$I$20:$I$59,CZ56))-IF(CY56=0,0,INDEX(SUP_C3_EXPANSION!$I$20:$I$59,CY56)))+3*SUP_OPEX!$F$20*(IF(CZ56=0,0,INDEX(SUP_C3_EXPANSION!$J$20:$J$59,CZ56))-IF(CY56=0,0,INDEX(SUP_C3_EXPANSION!$J$20:$J$59,CY56))))</f>
        <v>0</v>
      </c>
      <c r="DA65">
        <f>IF(DA56=CZ56,0,3*SUP_OPEX!$D$20*(IF(DA56=0,0,INDEX(SUP_C3_EXPANSION!$H$20:$H$59,DA56))-IF(CZ56=0,0,INDEX(SUP_C3_EXPANSION!$H$20:$H$59,CZ56)))+3*SUP_OPEX!$E$20*(IF(DA56=0,0,INDEX(SUP_C3_EXPANSION!$I$20:$I$59,DA56))-IF(CZ56=0,0,INDEX(SUP_C3_EXPANSION!$I$20:$I$59,CZ56)))+3*SUP_OPEX!$F$20*(IF(DA56=0,0,INDEX(SUP_C3_EXPANSION!$J$20:$J$59,DA56))-IF(CZ56=0,0,INDEX(SUP_C3_EXPANSION!$J$20:$J$59,CZ56))))</f>
        <v>0</v>
      </c>
      <c r="DB65">
        <f>IF(DB56=DA56,0,3*SUP_OPEX!$D$20*(IF(DB56=0,0,INDEX(SUP_C3_EXPANSION!$H$20:$H$59,DB56))-IF(DA56=0,0,INDEX(SUP_C3_EXPANSION!$H$20:$H$59,DA56)))+3*SUP_OPEX!$E$20*(IF(DB56=0,0,INDEX(SUP_C3_EXPANSION!$I$20:$I$59,DB56))-IF(DA56=0,0,INDEX(SUP_C3_EXPANSION!$I$20:$I$59,DA56)))+3*SUP_OPEX!$F$20*(IF(DB56=0,0,INDEX(SUP_C3_EXPANSION!$J$20:$J$59,DB56))-IF(DA56=0,0,INDEX(SUP_C3_EXPANSION!$J$20:$J$59,DA56))))</f>
        <v>0</v>
      </c>
      <c r="DC65">
        <f>IF(DC56=DB56,0,3*SUP_OPEX!$D$20*(IF(DC56=0,0,INDEX(SUP_C3_EXPANSION!$H$20:$H$59,DC56))-IF(DB56=0,0,INDEX(SUP_C3_EXPANSION!$H$20:$H$59,DB56)))+3*SUP_OPEX!$E$20*(IF(DC56=0,0,INDEX(SUP_C3_EXPANSION!$I$20:$I$59,DC56))-IF(DB56=0,0,INDEX(SUP_C3_EXPANSION!$I$20:$I$59,DB56)))+3*SUP_OPEX!$F$20*(IF(DC56=0,0,INDEX(SUP_C3_EXPANSION!$J$20:$J$59,DC56))-IF(DB56=0,0,INDEX(SUP_C3_EXPANSION!$J$20:$J$59,DB56))))</f>
        <v>0</v>
      </c>
      <c r="DD65">
        <f>IF(DD56=DC56,0,3*SUP_OPEX!$D$20*(IF(DD56=0,0,INDEX(SUP_C3_EXPANSION!$H$20:$H$59,DD56))-IF(DC56=0,0,INDEX(SUP_C3_EXPANSION!$H$20:$H$59,DC56)))+3*SUP_OPEX!$E$20*(IF(DD56=0,0,INDEX(SUP_C3_EXPANSION!$I$20:$I$59,DD56))-IF(DC56=0,0,INDEX(SUP_C3_EXPANSION!$I$20:$I$59,DC56)))+3*SUP_OPEX!$F$20*(IF(DD56=0,0,INDEX(SUP_C3_EXPANSION!$J$20:$J$59,DD56))-IF(DC56=0,0,INDEX(SUP_C3_EXPANSION!$J$20:$J$59,DC56))))</f>
        <v>0</v>
      </c>
      <c r="DE65">
        <f>IF(DE56=DD56,0,3*SUP_OPEX!$D$20*(IF(DE56=0,0,INDEX(SUP_C3_EXPANSION!$H$20:$H$59,DE56))-IF(DD56=0,0,INDEX(SUP_C3_EXPANSION!$H$20:$H$59,DD56)))+3*SUP_OPEX!$E$20*(IF(DE56=0,0,INDEX(SUP_C3_EXPANSION!$I$20:$I$59,DE56))-IF(DD56=0,0,INDEX(SUP_C3_EXPANSION!$I$20:$I$59,DD56)))+3*SUP_OPEX!$F$20*(IF(DE56=0,0,INDEX(SUP_C3_EXPANSION!$J$20:$J$59,DE56))-IF(DD56=0,0,INDEX(SUP_C3_EXPANSION!$J$20:$J$59,DD56))))</f>
        <v>0</v>
      </c>
      <c r="DF65">
        <f>IF(DF56=DE56,0,3*SUP_OPEX!$D$20*(IF(DF56=0,0,INDEX(SUP_C3_EXPANSION!$H$20:$H$59,DF56))-IF(DE56=0,0,INDEX(SUP_C3_EXPANSION!$H$20:$H$59,DE56)))+3*SUP_OPEX!$E$20*(IF(DF56=0,0,INDEX(SUP_C3_EXPANSION!$I$20:$I$59,DF56))-IF(DE56=0,0,INDEX(SUP_C3_EXPANSION!$I$20:$I$59,DE56)))+3*SUP_OPEX!$F$20*(IF(DF56=0,0,INDEX(SUP_C3_EXPANSION!$J$20:$J$59,DF56))-IF(DE56=0,0,INDEX(SUP_C3_EXPANSION!$J$20:$J$59,DE56))))</f>
        <v>0</v>
      </c>
      <c r="DG65">
        <f>IF(DG56=DF56,0,3*SUP_OPEX!$D$20*(IF(DG56=0,0,INDEX(SUP_C3_EXPANSION!$H$20:$H$59,DG56))-IF(DF56=0,0,INDEX(SUP_C3_EXPANSION!$H$20:$H$59,DF56)))+3*SUP_OPEX!$E$20*(IF(DG56=0,0,INDEX(SUP_C3_EXPANSION!$I$20:$I$59,DG56))-IF(DF56=0,0,INDEX(SUP_C3_EXPANSION!$I$20:$I$59,DF56)))+3*SUP_OPEX!$F$20*(IF(DG56=0,0,INDEX(SUP_C3_EXPANSION!$J$20:$J$59,DG56))-IF(DF56=0,0,INDEX(SUP_C3_EXPANSION!$J$20:$J$59,DF56))))</f>
        <v>0</v>
      </c>
      <c r="DH65">
        <f>IF(DH56=DG56,0,3*SUP_OPEX!$D$20*(IF(DH56=0,0,INDEX(SUP_C3_EXPANSION!$H$20:$H$59,DH56))-IF(DG56=0,0,INDEX(SUP_C3_EXPANSION!$H$20:$H$59,DG56)))+3*SUP_OPEX!$E$20*(IF(DH56=0,0,INDEX(SUP_C3_EXPANSION!$I$20:$I$59,DH56))-IF(DG56=0,0,INDEX(SUP_C3_EXPANSION!$I$20:$I$59,DG56)))+3*SUP_OPEX!$F$20*(IF(DH56=0,0,INDEX(SUP_C3_EXPANSION!$J$20:$J$59,DH56))-IF(DG56=0,0,INDEX(SUP_C3_EXPANSION!$J$20:$J$59,DG56))))</f>
        <v>0</v>
      </c>
      <c r="DI65">
        <f>IF(DI56=DH56,0,3*SUP_OPEX!$D$20*(IF(DI56=0,0,INDEX(SUP_C3_EXPANSION!$H$20:$H$59,DI56))-IF(DH56=0,0,INDEX(SUP_C3_EXPANSION!$H$20:$H$59,DH56)))+3*SUP_OPEX!$E$20*(IF(DI56=0,0,INDEX(SUP_C3_EXPANSION!$I$20:$I$59,DI56))-IF(DH56=0,0,INDEX(SUP_C3_EXPANSION!$I$20:$I$59,DH56)))+3*SUP_OPEX!$F$20*(IF(DI56=0,0,INDEX(SUP_C3_EXPANSION!$J$20:$J$59,DI56))-IF(DH56=0,0,INDEX(SUP_C3_EXPANSION!$J$20:$J$59,DH56))))</f>
        <v>0</v>
      </c>
      <c r="DJ65">
        <f>IF(DJ56=DI56,0,3*SUP_OPEX!$D$20*(IF(DJ56=0,0,INDEX(SUP_C3_EXPANSION!$H$20:$H$59,DJ56))-IF(DI56=0,0,INDEX(SUP_C3_EXPANSION!$H$20:$H$59,DI56)))+3*SUP_OPEX!$E$20*(IF(DJ56=0,0,INDEX(SUP_C3_EXPANSION!$I$20:$I$59,DJ56))-IF(DI56=0,0,INDEX(SUP_C3_EXPANSION!$I$20:$I$59,DI56)))+3*SUP_OPEX!$F$20*(IF(DJ56=0,0,INDEX(SUP_C3_EXPANSION!$J$20:$J$59,DJ56))-IF(DI56=0,0,INDEX(SUP_C3_EXPANSION!$J$20:$J$59,DI56))))</f>
        <v>0</v>
      </c>
      <c r="DK65">
        <f>IF(DK56=DJ56,0,3*SUP_OPEX!$D$20*(IF(DK56=0,0,INDEX(SUP_C3_EXPANSION!$H$20:$H$59,DK56))-IF(DJ56=0,0,INDEX(SUP_C3_EXPANSION!$H$20:$H$59,DJ56)))+3*SUP_OPEX!$E$20*(IF(DK56=0,0,INDEX(SUP_C3_EXPANSION!$I$20:$I$59,DK56))-IF(DJ56=0,0,INDEX(SUP_C3_EXPANSION!$I$20:$I$59,DJ56)))+3*SUP_OPEX!$F$20*(IF(DK56=0,0,INDEX(SUP_C3_EXPANSION!$J$20:$J$59,DK56))-IF(DJ56=0,0,INDEX(SUP_C3_EXPANSION!$J$20:$J$59,DJ56))))</f>
        <v>0</v>
      </c>
      <c r="DL65">
        <f>IF(DL56=DK56,0,3*SUP_OPEX!$D$20*(IF(DL56=0,0,INDEX(SUP_C3_EXPANSION!$H$20:$H$59,DL56))-IF(DK56=0,0,INDEX(SUP_C3_EXPANSION!$H$20:$H$59,DK56)))+3*SUP_OPEX!$E$20*(IF(DL56=0,0,INDEX(SUP_C3_EXPANSION!$I$20:$I$59,DL56))-IF(DK56=0,0,INDEX(SUP_C3_EXPANSION!$I$20:$I$59,DK56)))+3*SUP_OPEX!$F$20*(IF(DL56=0,0,INDEX(SUP_C3_EXPANSION!$J$20:$J$59,DL56))-IF(DK56=0,0,INDEX(SUP_C3_EXPANSION!$J$20:$J$59,DK56))))</f>
        <v>0</v>
      </c>
      <c r="DM65">
        <f>IF(DM56=DL56,0,3*SUP_OPEX!$D$20*(IF(DM56=0,0,INDEX(SUP_C3_EXPANSION!$H$20:$H$59,DM56))-IF(DL56=0,0,INDEX(SUP_C3_EXPANSION!$H$20:$H$59,DL56)))+3*SUP_OPEX!$E$20*(IF(DM56=0,0,INDEX(SUP_C3_EXPANSION!$I$20:$I$59,DM56))-IF(DL56=0,0,INDEX(SUP_C3_EXPANSION!$I$20:$I$59,DL56)))+3*SUP_OPEX!$F$20*(IF(DM56=0,0,INDEX(SUP_C3_EXPANSION!$J$20:$J$59,DM56))-IF(DL56=0,0,INDEX(SUP_C3_EXPANSION!$J$20:$J$59,DL56))))</f>
        <v>0</v>
      </c>
      <c r="DN65">
        <f>IF(DN56=DM56,0,3*SUP_OPEX!$D$20*(IF(DN56=0,0,INDEX(SUP_C3_EXPANSION!$H$20:$H$59,DN56))-IF(DM56=0,0,INDEX(SUP_C3_EXPANSION!$H$20:$H$59,DM56)))+3*SUP_OPEX!$E$20*(IF(DN56=0,0,INDEX(SUP_C3_EXPANSION!$I$20:$I$59,DN56))-IF(DM56=0,0,INDEX(SUP_C3_EXPANSION!$I$20:$I$59,DM56)))+3*SUP_OPEX!$F$20*(IF(DN56=0,0,INDEX(SUP_C3_EXPANSION!$J$20:$J$59,DN56))-IF(DM56=0,0,INDEX(SUP_C3_EXPANSION!$J$20:$J$59,DM56))))</f>
        <v>0</v>
      </c>
      <c r="DO65">
        <f>IF(DO56=DN56,0,3*SUP_OPEX!$D$20*(IF(DO56=0,0,INDEX(SUP_C3_EXPANSION!$H$20:$H$59,DO56))-IF(DN56=0,0,INDEX(SUP_C3_EXPANSION!$H$20:$H$59,DN56)))+3*SUP_OPEX!$E$20*(IF(DO56=0,0,INDEX(SUP_C3_EXPANSION!$I$20:$I$59,DO56))-IF(DN56=0,0,INDEX(SUP_C3_EXPANSION!$I$20:$I$59,DN56)))+3*SUP_OPEX!$F$20*(IF(DO56=0,0,INDEX(SUP_C3_EXPANSION!$J$20:$J$59,DO56))-IF(DN56=0,0,INDEX(SUP_C3_EXPANSION!$J$20:$J$59,DN56))))</f>
        <v>0</v>
      </c>
      <c r="DP65">
        <f>IF(DP56=DO56,0,3*SUP_OPEX!$D$20*(IF(DP56=0,0,INDEX(SUP_C3_EXPANSION!$H$20:$H$59,DP56))-IF(DO56=0,0,INDEX(SUP_C3_EXPANSION!$H$20:$H$59,DO56)))+3*SUP_OPEX!$E$20*(IF(DP56=0,0,INDEX(SUP_C3_EXPANSION!$I$20:$I$59,DP56))-IF(DO56=0,0,INDEX(SUP_C3_EXPANSION!$I$20:$I$59,DO56)))+3*SUP_OPEX!$F$20*(IF(DP56=0,0,INDEX(SUP_C3_EXPANSION!$J$20:$J$59,DP56))-IF(DO56=0,0,INDEX(SUP_C3_EXPANSION!$J$20:$J$59,DO56))))</f>
        <v>0</v>
      </c>
      <c r="DQ65">
        <f>IF(DQ56=DP56,0,3*SUP_OPEX!$D$20*(IF(DQ56=0,0,INDEX(SUP_C3_EXPANSION!$H$20:$H$59,DQ56))-IF(DP56=0,0,INDEX(SUP_C3_EXPANSION!$H$20:$H$59,DP56)))+3*SUP_OPEX!$E$20*(IF(DQ56=0,0,INDEX(SUP_C3_EXPANSION!$I$20:$I$59,DQ56))-IF(DP56=0,0,INDEX(SUP_C3_EXPANSION!$I$20:$I$59,DP56)))+3*SUP_OPEX!$F$20*(IF(DQ56=0,0,INDEX(SUP_C3_EXPANSION!$J$20:$J$59,DQ56))-IF(DP56=0,0,INDEX(SUP_C3_EXPANSION!$J$20:$J$59,DP56))))</f>
        <v>0</v>
      </c>
      <c r="DR65">
        <f>IF(DR56=DQ56,0,3*SUP_OPEX!$D$20*(IF(DR56=0,0,INDEX(SUP_C3_EXPANSION!$H$20:$H$59,DR56))-IF(DQ56=0,0,INDEX(SUP_C3_EXPANSION!$H$20:$H$59,DQ56)))+3*SUP_OPEX!$E$20*(IF(DR56=0,0,INDEX(SUP_C3_EXPANSION!$I$20:$I$59,DR56))-IF(DQ56=0,0,INDEX(SUP_C3_EXPANSION!$I$20:$I$59,DQ56)))+3*SUP_OPEX!$F$20*(IF(DR56=0,0,INDEX(SUP_C3_EXPANSION!$J$20:$J$59,DR56))-IF(DQ56=0,0,INDEX(SUP_C3_EXPANSION!$J$20:$J$59,DQ56))))</f>
        <v>0</v>
      </c>
      <c r="DS65">
        <f>IF(DS56=DR56,0,3*SUP_OPEX!$D$20*(IF(DS56=0,0,INDEX(SUP_C3_EXPANSION!$H$20:$H$59,DS56))-IF(DR56=0,0,INDEX(SUP_C3_EXPANSION!$H$20:$H$59,DR56)))+3*SUP_OPEX!$E$20*(IF(DS56=0,0,INDEX(SUP_C3_EXPANSION!$I$20:$I$59,DS56))-IF(DR56=0,0,INDEX(SUP_C3_EXPANSION!$I$20:$I$59,DR56)))+3*SUP_OPEX!$F$20*(IF(DS56=0,0,INDEX(SUP_C3_EXPANSION!$J$20:$J$59,DS56))-IF(DR56=0,0,INDEX(SUP_C3_EXPANSION!$J$20:$J$59,DR56))))</f>
        <v>0</v>
      </c>
    </row>
    <row r="66" spans="2:123" ht="15" customHeight="1" x14ac:dyDescent="0.2">
      <c r="B66" s="86" t="s">
        <v>1044</v>
      </c>
      <c r="D66">
        <f>IF(D56=0,0,2*SUP_OPEX!$D$20*(IF(D56=0,0,INDEX(SUP_C3_EXPANSION!$H$20:$H$59,D56))-IF(0=0,0,INDEX(SUP_C3_EXPANSION!$H$20:$H$59,0)))+2*SUP_OPEX!$E$20*(IF(D56=0,0,INDEX(SUP_C3_EXPANSION!$I$20:$I$59,D56))-IF(0=0,0,INDEX(SUP_C3_EXPANSION!$I$20:$I$59,0)))+2*SUP_OPEX!$F$20*(IF(D56=0,0,INDEX(SUP_C3_EXPANSION!$J$20:$J$59,D56))-IF(0=0,0,INDEX(SUP_C3_EXPANSION!$J$20:$J$59,0))))</f>
        <v>0</v>
      </c>
      <c r="E66">
        <f>IF(E56=D56,0,2*SUP_OPEX!$D$20*(IF(E56=0,0,INDEX(SUP_C3_EXPANSION!$H$20:$H$59,E56))-IF(D56=0,0,INDEX(SUP_C3_EXPANSION!$H$20:$H$59,D56)))+2*SUP_OPEX!$E$20*(IF(E56=0,0,INDEX(SUP_C3_EXPANSION!$I$20:$I$59,E56))-IF(D56=0,0,INDEX(SUP_C3_EXPANSION!$I$20:$I$59,D56)))+2*SUP_OPEX!$F$20*(IF(E56=0,0,INDEX(SUP_C3_EXPANSION!$J$20:$J$59,E56))-IF(D56=0,0,INDEX(SUP_C3_EXPANSION!$J$20:$J$59,D56))))-IF(D56=0,0,1*SUP_OPEX!$D$20*(IF(D56=0,0,INDEX(SUP_C3_EXPANSION!$H$20:$H$59,D56))-IF(0=0,0,INDEX(SUP_C3_EXPANSION!$H$20:$H$59,0)))+1*SUP_OPEX!$E$20*(IF(D56=0,0,INDEX(SUP_C3_EXPANSION!$I$20:$I$59,D56))-IF(0=0,0,INDEX(SUP_C3_EXPANSION!$I$20:$I$59,0)))+1*SUP_OPEX!$F$20*(IF(D56=0,0,INDEX(SUP_C3_EXPANSION!$J$20:$J$59,D56))-IF(0=0,0,INDEX(SUP_C3_EXPANSION!$J$20:$J$59,0))))</f>
        <v>0</v>
      </c>
      <c r="F66">
        <f>IF(F56=E56,0,2*SUP_OPEX!$D$20*(IF(F56=0,0,INDEX(SUP_C3_EXPANSION!$H$20:$H$59,F56))-IF(E56=0,0,INDEX(SUP_C3_EXPANSION!$H$20:$H$59,E56)))+2*SUP_OPEX!$E$20*(IF(F56=0,0,INDEX(SUP_C3_EXPANSION!$I$20:$I$59,F56))-IF(E56=0,0,INDEX(SUP_C3_EXPANSION!$I$20:$I$59,E56)))+2*SUP_OPEX!$F$20*(IF(F56=0,0,INDEX(SUP_C3_EXPANSION!$J$20:$J$59,F56))-IF(E56=0,0,INDEX(SUP_C3_EXPANSION!$J$20:$J$59,E56))))-IF(E56=D56,0,1*SUP_OPEX!$D$20*(IF(E56=0,0,INDEX(SUP_C3_EXPANSION!$H$20:$H$59,E56))-IF(D56=0,0,INDEX(SUP_C3_EXPANSION!$H$20:$H$59,D56)))+1*SUP_OPEX!$E$20*(IF(E56=0,0,INDEX(SUP_C3_EXPANSION!$I$20:$I$59,E56))-IF(D56=0,0,INDEX(SUP_C3_EXPANSION!$I$20:$I$59,D56)))+1*SUP_OPEX!$F$20*(IF(E56=0,0,INDEX(SUP_C3_EXPANSION!$J$20:$J$59,E56))-IF(D56=0,0,INDEX(SUP_C3_EXPANSION!$J$20:$J$59,D56))))-IF(D56=0,0,1*SUP_OPEX!$D$20*(IF(D56=0,0,INDEX(SUP_C3_EXPANSION!$H$20:$H$59,D56))-IF(0=0,0,INDEX(SUP_C3_EXPANSION!$H$20:$H$59,0)))+1*SUP_OPEX!$E$20*(IF(D56=0,0,INDEX(SUP_C3_EXPANSION!$I$20:$I$59,D56))-IF(0=0,0,INDEX(SUP_C3_EXPANSION!$I$20:$I$59,0)))+1*SUP_OPEX!$F$20*(IF(D56=0,0,INDEX(SUP_C3_EXPANSION!$J$20:$J$59,D56))-IF(0=0,0,INDEX(SUP_C3_EXPANSION!$J$20:$J$59,0))))</f>
        <v>0</v>
      </c>
      <c r="G66">
        <f>IF(G56=F56,0,2*SUP_OPEX!$D$20*(IF(G56=0,0,INDEX(SUP_C3_EXPANSION!$H$20:$H$59,G56))-IF(F56=0,0,INDEX(SUP_C3_EXPANSION!$H$20:$H$59,F56)))+2*SUP_OPEX!$E$20*(IF(G56=0,0,INDEX(SUP_C3_EXPANSION!$I$20:$I$59,G56))-IF(F56=0,0,INDEX(SUP_C3_EXPANSION!$I$20:$I$59,F56)))+2*SUP_OPEX!$F$20*(IF(G56=0,0,INDEX(SUP_C3_EXPANSION!$J$20:$J$59,G56))-IF(F56=0,0,INDEX(SUP_C3_EXPANSION!$J$20:$J$59,F56))))-IF(F56=E56,0,1*SUP_OPEX!$D$20*(IF(F56=0,0,INDEX(SUP_C3_EXPANSION!$H$20:$H$59,F56))-IF(E56=0,0,INDEX(SUP_C3_EXPANSION!$H$20:$H$59,E56)))+1*SUP_OPEX!$E$20*(IF(F56=0,0,INDEX(SUP_C3_EXPANSION!$I$20:$I$59,F56))-IF(E56=0,0,INDEX(SUP_C3_EXPANSION!$I$20:$I$59,E56)))+1*SUP_OPEX!$F$20*(IF(F56=0,0,INDEX(SUP_C3_EXPANSION!$J$20:$J$59,F56))-IF(E56=0,0,INDEX(SUP_C3_EXPANSION!$J$20:$J$59,E56))))-IF(E56=D56,0,1*SUP_OPEX!$D$20*(IF(E56=0,0,INDEX(SUP_C3_EXPANSION!$H$20:$H$59,E56))-IF(D56=0,0,INDEX(SUP_C3_EXPANSION!$H$20:$H$59,D56)))+1*SUP_OPEX!$E$20*(IF(E56=0,0,INDEX(SUP_C3_EXPANSION!$I$20:$I$59,E56))-IF(D56=0,0,INDEX(SUP_C3_EXPANSION!$I$20:$I$59,D56)))+1*SUP_OPEX!$F$20*(IF(E56=0,0,INDEX(SUP_C3_EXPANSION!$J$20:$J$59,E56))-IF(D56=0,0,INDEX(SUP_C3_EXPANSION!$J$20:$J$59,D56))))</f>
        <v>0</v>
      </c>
      <c r="H66">
        <f>IF(H56=G56,0,2*SUP_OPEX!$D$20*(IF(H56=0,0,INDEX(SUP_C3_EXPANSION!$H$20:$H$59,H56))-IF(G56=0,0,INDEX(SUP_C3_EXPANSION!$H$20:$H$59,G56)))+2*SUP_OPEX!$E$20*(IF(H56=0,0,INDEX(SUP_C3_EXPANSION!$I$20:$I$59,H56))-IF(G56=0,0,INDEX(SUP_C3_EXPANSION!$I$20:$I$59,G56)))+2*SUP_OPEX!$F$20*(IF(H56=0,0,INDEX(SUP_C3_EXPANSION!$J$20:$J$59,H56))-IF(G56=0,0,INDEX(SUP_C3_EXPANSION!$J$20:$J$59,G56))))-IF(G56=F56,0,1*SUP_OPEX!$D$20*(IF(G56=0,0,INDEX(SUP_C3_EXPANSION!$H$20:$H$59,G56))-IF(F56=0,0,INDEX(SUP_C3_EXPANSION!$H$20:$H$59,F56)))+1*SUP_OPEX!$E$20*(IF(G56=0,0,INDEX(SUP_C3_EXPANSION!$I$20:$I$59,G56))-IF(F56=0,0,INDEX(SUP_C3_EXPANSION!$I$20:$I$59,F56)))+1*SUP_OPEX!$F$20*(IF(G56=0,0,INDEX(SUP_C3_EXPANSION!$J$20:$J$59,G56))-IF(F56=0,0,INDEX(SUP_C3_EXPANSION!$J$20:$J$59,F56))))-IF(F56=E56,0,1*SUP_OPEX!$D$20*(IF(F56=0,0,INDEX(SUP_C3_EXPANSION!$H$20:$H$59,F56))-IF(E56=0,0,INDEX(SUP_C3_EXPANSION!$H$20:$H$59,E56)))+1*SUP_OPEX!$E$20*(IF(F56=0,0,INDEX(SUP_C3_EXPANSION!$I$20:$I$59,F56))-IF(E56=0,0,INDEX(SUP_C3_EXPANSION!$I$20:$I$59,E56)))+1*SUP_OPEX!$F$20*(IF(F56=0,0,INDEX(SUP_C3_EXPANSION!$J$20:$J$59,F56))-IF(E56=0,0,INDEX(SUP_C3_EXPANSION!$J$20:$J$59,E56))))</f>
        <v>0</v>
      </c>
      <c r="I66">
        <f>IF(I56=H56,0,2*SUP_OPEX!$D$20*(IF(I56=0,0,INDEX(SUP_C3_EXPANSION!$H$20:$H$59,I56))-IF(H56=0,0,INDEX(SUP_C3_EXPANSION!$H$20:$H$59,H56)))+2*SUP_OPEX!$E$20*(IF(I56=0,0,INDEX(SUP_C3_EXPANSION!$I$20:$I$59,I56))-IF(H56=0,0,INDEX(SUP_C3_EXPANSION!$I$20:$I$59,H56)))+2*SUP_OPEX!$F$20*(IF(I56=0,0,INDEX(SUP_C3_EXPANSION!$J$20:$J$59,I56))-IF(H56=0,0,INDEX(SUP_C3_EXPANSION!$J$20:$J$59,H56))))-IF(H56=G56,0,1*SUP_OPEX!$D$20*(IF(H56=0,0,INDEX(SUP_C3_EXPANSION!$H$20:$H$59,H56))-IF(G56=0,0,INDEX(SUP_C3_EXPANSION!$H$20:$H$59,G56)))+1*SUP_OPEX!$E$20*(IF(H56=0,0,INDEX(SUP_C3_EXPANSION!$I$20:$I$59,H56))-IF(G56=0,0,INDEX(SUP_C3_EXPANSION!$I$20:$I$59,G56)))+1*SUP_OPEX!$F$20*(IF(H56=0,0,INDEX(SUP_C3_EXPANSION!$J$20:$J$59,H56))-IF(G56=0,0,INDEX(SUP_C3_EXPANSION!$J$20:$J$59,G56))))-IF(G56=F56,0,1*SUP_OPEX!$D$20*(IF(G56=0,0,INDEX(SUP_C3_EXPANSION!$H$20:$H$59,G56))-IF(F56=0,0,INDEX(SUP_C3_EXPANSION!$H$20:$H$59,F56)))+1*SUP_OPEX!$E$20*(IF(G56=0,0,INDEX(SUP_C3_EXPANSION!$I$20:$I$59,G56))-IF(F56=0,0,INDEX(SUP_C3_EXPANSION!$I$20:$I$59,F56)))+1*SUP_OPEX!$F$20*(IF(G56=0,0,INDEX(SUP_C3_EXPANSION!$J$20:$J$59,G56))-IF(F56=0,0,INDEX(SUP_C3_EXPANSION!$J$20:$J$59,F56))))</f>
        <v>0</v>
      </c>
      <c r="J66">
        <f>IF(J56=I56,0,2*SUP_OPEX!$D$20*(IF(J56=0,0,INDEX(SUP_C3_EXPANSION!$H$20:$H$59,J56))-IF(I56=0,0,INDEX(SUP_C3_EXPANSION!$H$20:$H$59,I56)))+2*SUP_OPEX!$E$20*(IF(J56=0,0,INDEX(SUP_C3_EXPANSION!$I$20:$I$59,J56))-IF(I56=0,0,INDEX(SUP_C3_EXPANSION!$I$20:$I$59,I56)))+2*SUP_OPEX!$F$20*(IF(J56=0,0,INDEX(SUP_C3_EXPANSION!$J$20:$J$59,J56))-IF(I56=0,0,INDEX(SUP_C3_EXPANSION!$J$20:$J$59,I56))))-IF(I56=H56,0,1*SUP_OPEX!$D$20*(IF(I56=0,0,INDEX(SUP_C3_EXPANSION!$H$20:$H$59,I56))-IF(H56=0,0,INDEX(SUP_C3_EXPANSION!$H$20:$H$59,H56)))+1*SUP_OPEX!$E$20*(IF(I56=0,0,INDEX(SUP_C3_EXPANSION!$I$20:$I$59,I56))-IF(H56=0,0,INDEX(SUP_C3_EXPANSION!$I$20:$I$59,H56)))+1*SUP_OPEX!$F$20*(IF(I56=0,0,INDEX(SUP_C3_EXPANSION!$J$20:$J$59,I56))-IF(H56=0,0,INDEX(SUP_C3_EXPANSION!$J$20:$J$59,H56))))-IF(H56=G56,0,1*SUP_OPEX!$D$20*(IF(H56=0,0,INDEX(SUP_C3_EXPANSION!$H$20:$H$59,H56))-IF(G56=0,0,INDEX(SUP_C3_EXPANSION!$H$20:$H$59,G56)))+1*SUP_OPEX!$E$20*(IF(H56=0,0,INDEX(SUP_C3_EXPANSION!$I$20:$I$59,H56))-IF(G56=0,0,INDEX(SUP_C3_EXPANSION!$I$20:$I$59,G56)))+1*SUP_OPEX!$F$20*(IF(H56=0,0,INDEX(SUP_C3_EXPANSION!$J$20:$J$59,H56))-IF(G56=0,0,INDEX(SUP_C3_EXPANSION!$J$20:$J$59,G56))))</f>
        <v>0</v>
      </c>
      <c r="K66">
        <f>IF(K56=J56,0,2*SUP_OPEX!$D$20*(IF(K56=0,0,INDEX(SUP_C3_EXPANSION!$H$20:$H$59,K56))-IF(J56=0,0,INDEX(SUP_C3_EXPANSION!$H$20:$H$59,J56)))+2*SUP_OPEX!$E$20*(IF(K56=0,0,INDEX(SUP_C3_EXPANSION!$I$20:$I$59,K56))-IF(J56=0,0,INDEX(SUP_C3_EXPANSION!$I$20:$I$59,J56)))+2*SUP_OPEX!$F$20*(IF(K56=0,0,INDEX(SUP_C3_EXPANSION!$J$20:$J$59,K56))-IF(J56=0,0,INDEX(SUP_C3_EXPANSION!$J$20:$J$59,J56))))-IF(J56=I56,0,1*SUP_OPEX!$D$20*(IF(J56=0,0,INDEX(SUP_C3_EXPANSION!$H$20:$H$59,J56))-IF(I56=0,0,INDEX(SUP_C3_EXPANSION!$H$20:$H$59,I56)))+1*SUP_OPEX!$E$20*(IF(J56=0,0,INDEX(SUP_C3_EXPANSION!$I$20:$I$59,J56))-IF(I56=0,0,INDEX(SUP_C3_EXPANSION!$I$20:$I$59,I56)))+1*SUP_OPEX!$F$20*(IF(J56=0,0,INDEX(SUP_C3_EXPANSION!$J$20:$J$59,J56))-IF(I56=0,0,INDEX(SUP_C3_EXPANSION!$J$20:$J$59,I56))))-IF(I56=H56,0,1*SUP_OPEX!$D$20*(IF(I56=0,0,INDEX(SUP_C3_EXPANSION!$H$20:$H$59,I56))-IF(H56=0,0,INDEX(SUP_C3_EXPANSION!$H$20:$H$59,H56)))+1*SUP_OPEX!$E$20*(IF(I56=0,0,INDEX(SUP_C3_EXPANSION!$I$20:$I$59,I56))-IF(H56=0,0,INDEX(SUP_C3_EXPANSION!$I$20:$I$59,H56)))+1*SUP_OPEX!$F$20*(IF(I56=0,0,INDEX(SUP_C3_EXPANSION!$J$20:$J$59,I56))-IF(H56=0,0,INDEX(SUP_C3_EXPANSION!$J$20:$J$59,H56))))</f>
        <v>0</v>
      </c>
      <c r="L66">
        <f>IF(L56=K56,0,2*SUP_OPEX!$D$20*(IF(L56=0,0,INDEX(SUP_C3_EXPANSION!$H$20:$H$59,L56))-IF(K56=0,0,INDEX(SUP_C3_EXPANSION!$H$20:$H$59,K56)))+2*SUP_OPEX!$E$20*(IF(L56=0,0,INDEX(SUP_C3_EXPANSION!$I$20:$I$59,L56))-IF(K56=0,0,INDEX(SUP_C3_EXPANSION!$I$20:$I$59,K56)))+2*SUP_OPEX!$F$20*(IF(L56=0,0,INDEX(SUP_C3_EXPANSION!$J$20:$J$59,L56))-IF(K56=0,0,INDEX(SUP_C3_EXPANSION!$J$20:$J$59,K56))))-IF(K56=J56,0,1*SUP_OPEX!$D$20*(IF(K56=0,0,INDEX(SUP_C3_EXPANSION!$H$20:$H$59,K56))-IF(J56=0,0,INDEX(SUP_C3_EXPANSION!$H$20:$H$59,J56)))+1*SUP_OPEX!$E$20*(IF(K56=0,0,INDEX(SUP_C3_EXPANSION!$I$20:$I$59,K56))-IF(J56=0,0,INDEX(SUP_C3_EXPANSION!$I$20:$I$59,J56)))+1*SUP_OPEX!$F$20*(IF(K56=0,0,INDEX(SUP_C3_EXPANSION!$J$20:$J$59,K56))-IF(J56=0,0,INDEX(SUP_C3_EXPANSION!$J$20:$J$59,J56))))-IF(J56=I56,0,1*SUP_OPEX!$D$20*(IF(J56=0,0,INDEX(SUP_C3_EXPANSION!$H$20:$H$59,J56))-IF(I56=0,0,INDEX(SUP_C3_EXPANSION!$H$20:$H$59,I56)))+1*SUP_OPEX!$E$20*(IF(J56=0,0,INDEX(SUP_C3_EXPANSION!$I$20:$I$59,J56))-IF(I56=0,0,INDEX(SUP_C3_EXPANSION!$I$20:$I$59,I56)))+1*SUP_OPEX!$F$20*(IF(J56=0,0,INDEX(SUP_C3_EXPANSION!$J$20:$J$59,J56))-IF(I56=0,0,INDEX(SUP_C3_EXPANSION!$J$20:$J$59,I56))))</f>
        <v>0</v>
      </c>
      <c r="M66">
        <f>IF(M56=L56,0,2*SUP_OPEX!$D$20*(IF(M56=0,0,INDEX(SUP_C3_EXPANSION!$H$20:$H$59,M56))-IF(L56=0,0,INDEX(SUP_C3_EXPANSION!$H$20:$H$59,L56)))+2*SUP_OPEX!$E$20*(IF(M56=0,0,INDEX(SUP_C3_EXPANSION!$I$20:$I$59,M56))-IF(L56=0,0,INDEX(SUP_C3_EXPANSION!$I$20:$I$59,L56)))+2*SUP_OPEX!$F$20*(IF(M56=0,0,INDEX(SUP_C3_EXPANSION!$J$20:$J$59,M56))-IF(L56=0,0,INDEX(SUP_C3_EXPANSION!$J$20:$J$59,L56))))-IF(L56=K56,0,1*SUP_OPEX!$D$20*(IF(L56=0,0,INDEX(SUP_C3_EXPANSION!$H$20:$H$59,L56))-IF(K56=0,0,INDEX(SUP_C3_EXPANSION!$H$20:$H$59,K56)))+1*SUP_OPEX!$E$20*(IF(L56=0,0,INDEX(SUP_C3_EXPANSION!$I$20:$I$59,L56))-IF(K56=0,0,INDEX(SUP_C3_EXPANSION!$I$20:$I$59,K56)))+1*SUP_OPEX!$F$20*(IF(L56=0,0,INDEX(SUP_C3_EXPANSION!$J$20:$J$59,L56))-IF(K56=0,0,INDEX(SUP_C3_EXPANSION!$J$20:$J$59,K56))))-IF(K56=J56,0,1*SUP_OPEX!$D$20*(IF(K56=0,0,INDEX(SUP_C3_EXPANSION!$H$20:$H$59,K56))-IF(J56=0,0,INDEX(SUP_C3_EXPANSION!$H$20:$H$59,J56)))+1*SUP_OPEX!$E$20*(IF(K56=0,0,INDEX(SUP_C3_EXPANSION!$I$20:$I$59,K56))-IF(J56=0,0,INDEX(SUP_C3_EXPANSION!$I$20:$I$59,J56)))+1*SUP_OPEX!$F$20*(IF(K56=0,0,INDEX(SUP_C3_EXPANSION!$J$20:$J$59,K56))-IF(J56=0,0,INDEX(SUP_C3_EXPANSION!$J$20:$J$59,J56))))</f>
        <v>0</v>
      </c>
      <c r="N66">
        <f>IF(N56=M56,0,2*SUP_OPEX!$D$20*(IF(N56=0,0,INDEX(SUP_C3_EXPANSION!$H$20:$H$59,N56))-IF(M56=0,0,INDEX(SUP_C3_EXPANSION!$H$20:$H$59,M56)))+2*SUP_OPEX!$E$20*(IF(N56=0,0,INDEX(SUP_C3_EXPANSION!$I$20:$I$59,N56))-IF(M56=0,0,INDEX(SUP_C3_EXPANSION!$I$20:$I$59,M56)))+2*SUP_OPEX!$F$20*(IF(N56=0,0,INDEX(SUP_C3_EXPANSION!$J$20:$J$59,N56))-IF(M56=0,0,INDEX(SUP_C3_EXPANSION!$J$20:$J$59,M56))))-IF(M56=L56,0,1*SUP_OPEX!$D$20*(IF(M56=0,0,INDEX(SUP_C3_EXPANSION!$H$20:$H$59,M56))-IF(L56=0,0,INDEX(SUP_C3_EXPANSION!$H$20:$H$59,L56)))+1*SUP_OPEX!$E$20*(IF(M56=0,0,INDEX(SUP_C3_EXPANSION!$I$20:$I$59,M56))-IF(L56=0,0,INDEX(SUP_C3_EXPANSION!$I$20:$I$59,L56)))+1*SUP_OPEX!$F$20*(IF(M56=0,0,INDEX(SUP_C3_EXPANSION!$J$20:$J$59,M56))-IF(L56=0,0,INDEX(SUP_C3_EXPANSION!$J$20:$J$59,L56))))-IF(L56=K56,0,1*SUP_OPEX!$D$20*(IF(L56=0,0,INDEX(SUP_C3_EXPANSION!$H$20:$H$59,L56))-IF(K56=0,0,INDEX(SUP_C3_EXPANSION!$H$20:$H$59,K56)))+1*SUP_OPEX!$E$20*(IF(L56=0,0,INDEX(SUP_C3_EXPANSION!$I$20:$I$59,L56))-IF(K56=0,0,INDEX(SUP_C3_EXPANSION!$I$20:$I$59,K56)))+1*SUP_OPEX!$F$20*(IF(L56=0,0,INDEX(SUP_C3_EXPANSION!$J$20:$J$59,L56))-IF(K56=0,0,INDEX(SUP_C3_EXPANSION!$J$20:$J$59,K56))))</f>
        <v>0</v>
      </c>
      <c r="O66">
        <f>IF(O56=N56,0,2*SUP_OPEX!$D$20*(IF(O56=0,0,INDEX(SUP_C3_EXPANSION!$H$20:$H$59,O56))-IF(N56=0,0,INDEX(SUP_C3_EXPANSION!$H$20:$H$59,N56)))+2*SUP_OPEX!$E$20*(IF(O56=0,0,INDEX(SUP_C3_EXPANSION!$I$20:$I$59,O56))-IF(N56=0,0,INDEX(SUP_C3_EXPANSION!$I$20:$I$59,N56)))+2*SUP_OPEX!$F$20*(IF(O56=0,0,INDEX(SUP_C3_EXPANSION!$J$20:$J$59,O56))-IF(N56=0,0,INDEX(SUP_C3_EXPANSION!$J$20:$J$59,N56))))-IF(N56=M56,0,1*SUP_OPEX!$D$20*(IF(N56=0,0,INDEX(SUP_C3_EXPANSION!$H$20:$H$59,N56))-IF(M56=0,0,INDEX(SUP_C3_EXPANSION!$H$20:$H$59,M56)))+1*SUP_OPEX!$E$20*(IF(N56=0,0,INDEX(SUP_C3_EXPANSION!$I$20:$I$59,N56))-IF(M56=0,0,INDEX(SUP_C3_EXPANSION!$I$20:$I$59,M56)))+1*SUP_OPEX!$F$20*(IF(N56=0,0,INDEX(SUP_C3_EXPANSION!$J$20:$J$59,N56))-IF(M56=0,0,INDEX(SUP_C3_EXPANSION!$J$20:$J$59,M56))))-IF(M56=L56,0,1*SUP_OPEX!$D$20*(IF(M56=0,0,INDEX(SUP_C3_EXPANSION!$H$20:$H$59,M56))-IF(L56=0,0,INDEX(SUP_C3_EXPANSION!$H$20:$H$59,L56)))+1*SUP_OPEX!$E$20*(IF(M56=0,0,INDEX(SUP_C3_EXPANSION!$I$20:$I$59,M56))-IF(L56=0,0,INDEX(SUP_C3_EXPANSION!$I$20:$I$59,L56)))+1*SUP_OPEX!$F$20*(IF(M56=0,0,INDEX(SUP_C3_EXPANSION!$J$20:$J$59,M56))-IF(L56=0,0,INDEX(SUP_C3_EXPANSION!$J$20:$J$59,L56))))</f>
        <v>0</v>
      </c>
      <c r="P66">
        <f>IF(P56=O56,0,2*SUP_OPEX!$D$20*(IF(P56=0,0,INDEX(SUP_C3_EXPANSION!$H$20:$H$59,P56))-IF(O56=0,0,INDEX(SUP_C3_EXPANSION!$H$20:$H$59,O56)))+2*SUP_OPEX!$E$20*(IF(P56=0,0,INDEX(SUP_C3_EXPANSION!$I$20:$I$59,P56))-IF(O56=0,0,INDEX(SUP_C3_EXPANSION!$I$20:$I$59,O56)))+2*SUP_OPEX!$F$20*(IF(P56=0,0,INDEX(SUP_C3_EXPANSION!$J$20:$J$59,P56))-IF(O56=0,0,INDEX(SUP_C3_EXPANSION!$J$20:$J$59,O56))))-IF(O56=N56,0,1*SUP_OPEX!$D$20*(IF(O56=0,0,INDEX(SUP_C3_EXPANSION!$H$20:$H$59,O56))-IF(N56=0,0,INDEX(SUP_C3_EXPANSION!$H$20:$H$59,N56)))+1*SUP_OPEX!$E$20*(IF(O56=0,0,INDEX(SUP_C3_EXPANSION!$I$20:$I$59,O56))-IF(N56=0,0,INDEX(SUP_C3_EXPANSION!$I$20:$I$59,N56)))+1*SUP_OPEX!$F$20*(IF(O56=0,0,INDEX(SUP_C3_EXPANSION!$J$20:$J$59,O56))-IF(N56=0,0,INDEX(SUP_C3_EXPANSION!$J$20:$J$59,N56))))-IF(N56=M56,0,1*SUP_OPEX!$D$20*(IF(N56=0,0,INDEX(SUP_C3_EXPANSION!$H$20:$H$59,N56))-IF(M56=0,0,INDEX(SUP_C3_EXPANSION!$H$20:$H$59,M56)))+1*SUP_OPEX!$E$20*(IF(N56=0,0,INDEX(SUP_C3_EXPANSION!$I$20:$I$59,N56))-IF(M56=0,0,INDEX(SUP_C3_EXPANSION!$I$20:$I$59,M56)))+1*SUP_OPEX!$F$20*(IF(N56=0,0,INDEX(SUP_C3_EXPANSION!$J$20:$J$59,N56))-IF(M56=0,0,INDEX(SUP_C3_EXPANSION!$J$20:$J$59,M56))))</f>
        <v>0</v>
      </c>
      <c r="Q66">
        <f>IF(Q56=P56,0,2*SUP_OPEX!$D$20*(IF(Q56=0,0,INDEX(SUP_C3_EXPANSION!$H$20:$H$59,Q56))-IF(P56=0,0,INDEX(SUP_C3_EXPANSION!$H$20:$H$59,P56)))+2*SUP_OPEX!$E$20*(IF(Q56=0,0,INDEX(SUP_C3_EXPANSION!$I$20:$I$59,Q56))-IF(P56=0,0,INDEX(SUP_C3_EXPANSION!$I$20:$I$59,P56)))+2*SUP_OPEX!$F$20*(IF(Q56=0,0,INDEX(SUP_C3_EXPANSION!$J$20:$J$59,Q56))-IF(P56=0,0,INDEX(SUP_C3_EXPANSION!$J$20:$J$59,P56))))-IF(P56=O56,0,1*SUP_OPEX!$D$20*(IF(P56=0,0,INDEX(SUP_C3_EXPANSION!$H$20:$H$59,P56))-IF(O56=0,0,INDEX(SUP_C3_EXPANSION!$H$20:$H$59,O56)))+1*SUP_OPEX!$E$20*(IF(P56=0,0,INDEX(SUP_C3_EXPANSION!$I$20:$I$59,P56))-IF(O56=0,0,INDEX(SUP_C3_EXPANSION!$I$20:$I$59,O56)))+1*SUP_OPEX!$F$20*(IF(P56=0,0,INDEX(SUP_C3_EXPANSION!$J$20:$J$59,P56))-IF(O56=0,0,INDEX(SUP_C3_EXPANSION!$J$20:$J$59,O56))))-IF(O56=N56,0,1*SUP_OPEX!$D$20*(IF(O56=0,0,INDEX(SUP_C3_EXPANSION!$H$20:$H$59,O56))-IF(N56=0,0,INDEX(SUP_C3_EXPANSION!$H$20:$H$59,N56)))+1*SUP_OPEX!$E$20*(IF(O56=0,0,INDEX(SUP_C3_EXPANSION!$I$20:$I$59,O56))-IF(N56=0,0,INDEX(SUP_C3_EXPANSION!$I$20:$I$59,N56)))+1*SUP_OPEX!$F$20*(IF(O56=0,0,INDEX(SUP_C3_EXPANSION!$J$20:$J$59,O56))-IF(N56=0,0,INDEX(SUP_C3_EXPANSION!$J$20:$J$59,N56))))</f>
        <v>0</v>
      </c>
      <c r="R66">
        <f>IF(R56=Q56,0,2*SUP_OPEX!$D$20*(IF(R56=0,0,INDEX(SUP_C3_EXPANSION!$H$20:$H$59,R56))-IF(Q56=0,0,INDEX(SUP_C3_EXPANSION!$H$20:$H$59,Q56)))+2*SUP_OPEX!$E$20*(IF(R56=0,0,INDEX(SUP_C3_EXPANSION!$I$20:$I$59,R56))-IF(Q56=0,0,INDEX(SUP_C3_EXPANSION!$I$20:$I$59,Q56)))+2*SUP_OPEX!$F$20*(IF(R56=0,0,INDEX(SUP_C3_EXPANSION!$J$20:$J$59,R56))-IF(Q56=0,0,INDEX(SUP_C3_EXPANSION!$J$20:$J$59,Q56))))-IF(Q56=P56,0,1*SUP_OPEX!$D$20*(IF(Q56=0,0,INDEX(SUP_C3_EXPANSION!$H$20:$H$59,Q56))-IF(P56=0,0,INDEX(SUP_C3_EXPANSION!$H$20:$H$59,P56)))+1*SUP_OPEX!$E$20*(IF(Q56=0,0,INDEX(SUP_C3_EXPANSION!$I$20:$I$59,Q56))-IF(P56=0,0,INDEX(SUP_C3_EXPANSION!$I$20:$I$59,P56)))+1*SUP_OPEX!$F$20*(IF(Q56=0,0,INDEX(SUP_C3_EXPANSION!$J$20:$J$59,Q56))-IF(P56=0,0,INDEX(SUP_C3_EXPANSION!$J$20:$J$59,P56))))-IF(P56=O56,0,1*SUP_OPEX!$D$20*(IF(P56=0,0,INDEX(SUP_C3_EXPANSION!$H$20:$H$59,P56))-IF(O56=0,0,INDEX(SUP_C3_EXPANSION!$H$20:$H$59,O56)))+1*SUP_OPEX!$E$20*(IF(P56=0,0,INDEX(SUP_C3_EXPANSION!$I$20:$I$59,P56))-IF(O56=0,0,INDEX(SUP_C3_EXPANSION!$I$20:$I$59,O56)))+1*SUP_OPEX!$F$20*(IF(P56=0,0,INDEX(SUP_C3_EXPANSION!$J$20:$J$59,P56))-IF(O56=0,0,INDEX(SUP_C3_EXPANSION!$J$20:$J$59,O56))))</f>
        <v>0</v>
      </c>
      <c r="S66">
        <f>IF(S56=R56,0,2*SUP_OPEX!$D$20*(IF(S56=0,0,INDEX(SUP_C3_EXPANSION!$H$20:$H$59,S56))-IF(R56=0,0,INDEX(SUP_C3_EXPANSION!$H$20:$H$59,R56)))+2*SUP_OPEX!$E$20*(IF(S56=0,0,INDEX(SUP_C3_EXPANSION!$I$20:$I$59,S56))-IF(R56=0,0,INDEX(SUP_C3_EXPANSION!$I$20:$I$59,R56)))+2*SUP_OPEX!$F$20*(IF(S56=0,0,INDEX(SUP_C3_EXPANSION!$J$20:$J$59,S56))-IF(R56=0,0,INDEX(SUP_C3_EXPANSION!$J$20:$J$59,R56))))-IF(R56=Q56,0,1*SUP_OPEX!$D$20*(IF(R56=0,0,INDEX(SUP_C3_EXPANSION!$H$20:$H$59,R56))-IF(Q56=0,0,INDEX(SUP_C3_EXPANSION!$H$20:$H$59,Q56)))+1*SUP_OPEX!$E$20*(IF(R56=0,0,INDEX(SUP_C3_EXPANSION!$I$20:$I$59,R56))-IF(Q56=0,0,INDEX(SUP_C3_EXPANSION!$I$20:$I$59,Q56)))+1*SUP_OPEX!$F$20*(IF(R56=0,0,INDEX(SUP_C3_EXPANSION!$J$20:$J$59,R56))-IF(Q56=0,0,INDEX(SUP_C3_EXPANSION!$J$20:$J$59,Q56))))-IF(Q56=P56,0,1*SUP_OPEX!$D$20*(IF(Q56=0,0,INDEX(SUP_C3_EXPANSION!$H$20:$H$59,Q56))-IF(P56=0,0,INDEX(SUP_C3_EXPANSION!$H$20:$H$59,P56)))+1*SUP_OPEX!$E$20*(IF(Q56=0,0,INDEX(SUP_C3_EXPANSION!$I$20:$I$59,Q56))-IF(P56=0,0,INDEX(SUP_C3_EXPANSION!$I$20:$I$59,P56)))+1*SUP_OPEX!$F$20*(IF(Q56=0,0,INDEX(SUP_C3_EXPANSION!$J$20:$J$59,Q56))-IF(P56=0,0,INDEX(SUP_C3_EXPANSION!$J$20:$J$59,P56))))</f>
        <v>0</v>
      </c>
      <c r="T66">
        <f>IF(T56=S56,0,2*SUP_OPEX!$D$20*(IF(T56=0,0,INDEX(SUP_C3_EXPANSION!$H$20:$H$59,T56))-IF(S56=0,0,INDEX(SUP_C3_EXPANSION!$H$20:$H$59,S56)))+2*SUP_OPEX!$E$20*(IF(T56=0,0,INDEX(SUP_C3_EXPANSION!$I$20:$I$59,T56))-IF(S56=0,0,INDEX(SUP_C3_EXPANSION!$I$20:$I$59,S56)))+2*SUP_OPEX!$F$20*(IF(T56=0,0,INDEX(SUP_C3_EXPANSION!$J$20:$J$59,T56))-IF(S56=0,0,INDEX(SUP_C3_EXPANSION!$J$20:$J$59,S56))))-IF(S56=R56,0,1*SUP_OPEX!$D$20*(IF(S56=0,0,INDEX(SUP_C3_EXPANSION!$H$20:$H$59,S56))-IF(R56=0,0,INDEX(SUP_C3_EXPANSION!$H$20:$H$59,R56)))+1*SUP_OPEX!$E$20*(IF(S56=0,0,INDEX(SUP_C3_EXPANSION!$I$20:$I$59,S56))-IF(R56=0,0,INDEX(SUP_C3_EXPANSION!$I$20:$I$59,R56)))+1*SUP_OPEX!$F$20*(IF(S56=0,0,INDEX(SUP_C3_EXPANSION!$J$20:$J$59,S56))-IF(R56=0,0,INDEX(SUP_C3_EXPANSION!$J$20:$J$59,R56))))-IF(R56=Q56,0,1*SUP_OPEX!$D$20*(IF(R56=0,0,INDEX(SUP_C3_EXPANSION!$H$20:$H$59,R56))-IF(Q56=0,0,INDEX(SUP_C3_EXPANSION!$H$20:$H$59,Q56)))+1*SUP_OPEX!$E$20*(IF(R56=0,0,INDEX(SUP_C3_EXPANSION!$I$20:$I$59,R56))-IF(Q56=0,0,INDEX(SUP_C3_EXPANSION!$I$20:$I$59,Q56)))+1*SUP_OPEX!$F$20*(IF(R56=0,0,INDEX(SUP_C3_EXPANSION!$J$20:$J$59,R56))-IF(Q56=0,0,INDEX(SUP_C3_EXPANSION!$J$20:$J$59,Q56))))</f>
        <v>4000</v>
      </c>
      <c r="U66">
        <f>IF(U56=T56,0,2*SUP_OPEX!$D$20*(IF(U56=0,0,INDEX(SUP_C3_EXPANSION!$H$20:$H$59,U56))-IF(T56=0,0,INDEX(SUP_C3_EXPANSION!$H$20:$H$59,T56)))+2*SUP_OPEX!$E$20*(IF(U56=0,0,INDEX(SUP_C3_EXPANSION!$I$20:$I$59,U56))-IF(T56=0,0,INDEX(SUP_C3_EXPANSION!$I$20:$I$59,T56)))+2*SUP_OPEX!$F$20*(IF(U56=0,0,INDEX(SUP_C3_EXPANSION!$J$20:$J$59,U56))-IF(T56=0,0,INDEX(SUP_C3_EXPANSION!$J$20:$J$59,T56))))-IF(T56=S56,0,1*SUP_OPEX!$D$20*(IF(T56=0,0,INDEX(SUP_C3_EXPANSION!$H$20:$H$59,T56))-IF(S56=0,0,INDEX(SUP_C3_EXPANSION!$H$20:$H$59,S56)))+1*SUP_OPEX!$E$20*(IF(T56=0,0,INDEX(SUP_C3_EXPANSION!$I$20:$I$59,T56))-IF(S56=0,0,INDEX(SUP_C3_EXPANSION!$I$20:$I$59,S56)))+1*SUP_OPEX!$F$20*(IF(T56=0,0,INDEX(SUP_C3_EXPANSION!$J$20:$J$59,T56))-IF(S56=0,0,INDEX(SUP_C3_EXPANSION!$J$20:$J$59,S56))))-IF(S56=R56,0,1*SUP_OPEX!$D$20*(IF(S56=0,0,INDEX(SUP_C3_EXPANSION!$H$20:$H$59,S56))-IF(R56=0,0,INDEX(SUP_C3_EXPANSION!$H$20:$H$59,R56)))+1*SUP_OPEX!$E$20*(IF(S56=0,0,INDEX(SUP_C3_EXPANSION!$I$20:$I$59,S56))-IF(R56=0,0,INDEX(SUP_C3_EXPANSION!$I$20:$I$59,R56)))+1*SUP_OPEX!$F$20*(IF(S56=0,0,INDEX(SUP_C3_EXPANSION!$J$20:$J$59,S56))-IF(R56=0,0,INDEX(SUP_C3_EXPANSION!$J$20:$J$59,R56))))</f>
        <v>-2000</v>
      </c>
      <c r="V66">
        <f>IF(V56=U56,0,2*SUP_OPEX!$D$20*(IF(V56=0,0,INDEX(SUP_C3_EXPANSION!$H$20:$H$59,V56))-IF(U56=0,0,INDEX(SUP_C3_EXPANSION!$H$20:$H$59,U56)))+2*SUP_OPEX!$E$20*(IF(V56=0,0,INDEX(SUP_C3_EXPANSION!$I$20:$I$59,V56))-IF(U56=0,0,INDEX(SUP_C3_EXPANSION!$I$20:$I$59,U56)))+2*SUP_OPEX!$F$20*(IF(V56=0,0,INDEX(SUP_C3_EXPANSION!$J$20:$J$59,V56))-IF(U56=0,0,INDEX(SUP_C3_EXPANSION!$J$20:$J$59,U56))))-IF(U56=T56,0,1*SUP_OPEX!$D$20*(IF(U56=0,0,INDEX(SUP_C3_EXPANSION!$H$20:$H$59,U56))-IF(T56=0,0,INDEX(SUP_C3_EXPANSION!$H$20:$H$59,T56)))+1*SUP_OPEX!$E$20*(IF(U56=0,0,INDEX(SUP_C3_EXPANSION!$I$20:$I$59,U56))-IF(T56=0,0,INDEX(SUP_C3_EXPANSION!$I$20:$I$59,T56)))+1*SUP_OPEX!$F$20*(IF(U56=0,0,INDEX(SUP_C3_EXPANSION!$J$20:$J$59,U56))-IF(T56=0,0,INDEX(SUP_C3_EXPANSION!$J$20:$J$59,T56))))-IF(T56=S56,0,1*SUP_OPEX!$D$20*(IF(T56=0,0,INDEX(SUP_C3_EXPANSION!$H$20:$H$59,T56))-IF(S56=0,0,INDEX(SUP_C3_EXPANSION!$H$20:$H$59,S56)))+1*SUP_OPEX!$E$20*(IF(T56=0,0,INDEX(SUP_C3_EXPANSION!$I$20:$I$59,T56))-IF(S56=0,0,INDEX(SUP_C3_EXPANSION!$I$20:$I$59,S56)))+1*SUP_OPEX!$F$20*(IF(T56=0,0,INDEX(SUP_C3_EXPANSION!$J$20:$J$59,T56))-IF(S56=0,0,INDEX(SUP_C3_EXPANSION!$J$20:$J$59,S56))))</f>
        <v>2000</v>
      </c>
      <c r="W66">
        <f>IF(W56=V56,0,2*SUP_OPEX!$D$20*(IF(W56=0,0,INDEX(SUP_C3_EXPANSION!$H$20:$H$59,W56))-IF(V56=0,0,INDEX(SUP_C3_EXPANSION!$H$20:$H$59,V56)))+2*SUP_OPEX!$E$20*(IF(W56=0,0,INDEX(SUP_C3_EXPANSION!$I$20:$I$59,W56))-IF(V56=0,0,INDEX(SUP_C3_EXPANSION!$I$20:$I$59,V56)))+2*SUP_OPEX!$F$20*(IF(W56=0,0,INDEX(SUP_C3_EXPANSION!$J$20:$J$59,W56))-IF(V56=0,0,INDEX(SUP_C3_EXPANSION!$J$20:$J$59,V56))))-IF(V56=U56,0,1*SUP_OPEX!$D$20*(IF(V56=0,0,INDEX(SUP_C3_EXPANSION!$H$20:$H$59,V56))-IF(U56=0,0,INDEX(SUP_C3_EXPANSION!$H$20:$H$59,U56)))+1*SUP_OPEX!$E$20*(IF(V56=0,0,INDEX(SUP_C3_EXPANSION!$I$20:$I$59,V56))-IF(U56=0,0,INDEX(SUP_C3_EXPANSION!$I$20:$I$59,U56)))+1*SUP_OPEX!$F$20*(IF(V56=0,0,INDEX(SUP_C3_EXPANSION!$J$20:$J$59,V56))-IF(U56=0,0,INDEX(SUP_C3_EXPANSION!$J$20:$J$59,U56))))-IF(U56=T56,0,1*SUP_OPEX!$D$20*(IF(U56=0,0,INDEX(SUP_C3_EXPANSION!$H$20:$H$59,U56))-IF(T56=0,0,INDEX(SUP_C3_EXPANSION!$H$20:$H$59,T56)))+1*SUP_OPEX!$E$20*(IF(U56=0,0,INDEX(SUP_C3_EXPANSION!$I$20:$I$59,U56))-IF(T56=0,0,INDEX(SUP_C3_EXPANSION!$I$20:$I$59,T56)))+1*SUP_OPEX!$F$20*(IF(U56=0,0,INDEX(SUP_C3_EXPANSION!$J$20:$J$59,U56))-IF(T56=0,0,INDEX(SUP_C3_EXPANSION!$J$20:$J$59,T56))))</f>
        <v>2000</v>
      </c>
      <c r="X66">
        <f>IF(X56=W56,0,2*SUP_OPEX!$D$20*(IF(X56=0,0,INDEX(SUP_C3_EXPANSION!$H$20:$H$59,X56))-IF(W56=0,0,INDEX(SUP_C3_EXPANSION!$H$20:$H$59,W56)))+2*SUP_OPEX!$E$20*(IF(X56=0,0,INDEX(SUP_C3_EXPANSION!$I$20:$I$59,X56))-IF(W56=0,0,INDEX(SUP_C3_EXPANSION!$I$20:$I$59,W56)))+2*SUP_OPEX!$F$20*(IF(X56=0,0,INDEX(SUP_C3_EXPANSION!$J$20:$J$59,X56))-IF(W56=0,0,INDEX(SUP_C3_EXPANSION!$J$20:$J$59,W56))))-IF(W56=V56,0,1*SUP_OPEX!$D$20*(IF(W56=0,0,INDEX(SUP_C3_EXPANSION!$H$20:$H$59,W56))-IF(V56=0,0,INDEX(SUP_C3_EXPANSION!$H$20:$H$59,V56)))+1*SUP_OPEX!$E$20*(IF(W56=0,0,INDEX(SUP_C3_EXPANSION!$I$20:$I$59,W56))-IF(V56=0,0,INDEX(SUP_C3_EXPANSION!$I$20:$I$59,V56)))+1*SUP_OPEX!$F$20*(IF(W56=0,0,INDEX(SUP_C3_EXPANSION!$J$20:$J$59,W56))-IF(V56=0,0,INDEX(SUP_C3_EXPANSION!$J$20:$J$59,V56))))-IF(V56=U56,0,1*SUP_OPEX!$D$20*(IF(V56=0,0,INDEX(SUP_C3_EXPANSION!$H$20:$H$59,V56))-IF(U56=0,0,INDEX(SUP_C3_EXPANSION!$H$20:$H$59,U56)))+1*SUP_OPEX!$E$20*(IF(V56=0,0,INDEX(SUP_C3_EXPANSION!$I$20:$I$59,V56))-IF(U56=0,0,INDEX(SUP_C3_EXPANSION!$I$20:$I$59,U56)))+1*SUP_OPEX!$F$20*(IF(V56=0,0,INDEX(SUP_C3_EXPANSION!$J$20:$J$59,V56))-IF(U56=0,0,INDEX(SUP_C3_EXPANSION!$J$20:$J$59,U56))))</f>
        <v>-4000</v>
      </c>
      <c r="Y66">
        <f>IF(Y56=X56,0,2*SUP_OPEX!$D$20*(IF(Y56=0,0,INDEX(SUP_C3_EXPANSION!$H$20:$H$59,Y56))-IF(X56=0,0,INDEX(SUP_C3_EXPANSION!$H$20:$H$59,X56)))+2*SUP_OPEX!$E$20*(IF(Y56=0,0,INDEX(SUP_C3_EXPANSION!$I$20:$I$59,Y56))-IF(X56=0,0,INDEX(SUP_C3_EXPANSION!$I$20:$I$59,X56)))+2*SUP_OPEX!$F$20*(IF(Y56=0,0,INDEX(SUP_C3_EXPANSION!$J$20:$J$59,Y56))-IF(X56=0,0,INDEX(SUP_C3_EXPANSION!$J$20:$J$59,X56))))-IF(X56=W56,0,1*SUP_OPEX!$D$20*(IF(X56=0,0,INDEX(SUP_C3_EXPANSION!$H$20:$H$59,X56))-IF(W56=0,0,INDEX(SUP_C3_EXPANSION!$H$20:$H$59,W56)))+1*SUP_OPEX!$E$20*(IF(X56=0,0,INDEX(SUP_C3_EXPANSION!$I$20:$I$59,X56))-IF(W56=0,0,INDEX(SUP_C3_EXPANSION!$I$20:$I$59,W56)))+1*SUP_OPEX!$F$20*(IF(X56=0,0,INDEX(SUP_C3_EXPANSION!$J$20:$J$59,X56))-IF(W56=0,0,INDEX(SUP_C3_EXPANSION!$J$20:$J$59,W56))))-IF(W56=V56,0,1*SUP_OPEX!$D$20*(IF(W56=0,0,INDEX(SUP_C3_EXPANSION!$H$20:$H$59,W56))-IF(V56=0,0,INDEX(SUP_C3_EXPANSION!$H$20:$H$59,V56)))+1*SUP_OPEX!$E$20*(IF(W56=0,0,INDEX(SUP_C3_EXPANSION!$I$20:$I$59,W56))-IF(V56=0,0,INDEX(SUP_C3_EXPANSION!$I$20:$I$59,V56)))+1*SUP_OPEX!$F$20*(IF(W56=0,0,INDEX(SUP_C3_EXPANSION!$J$20:$J$59,W56))-IF(V56=0,0,INDEX(SUP_C3_EXPANSION!$J$20:$J$59,V56))))</f>
        <v>-2000</v>
      </c>
      <c r="Z66">
        <f>IF(Z56=Y56,0,2*SUP_OPEX!$D$20*(IF(Z56=0,0,INDEX(SUP_C3_EXPANSION!$H$20:$H$59,Z56))-IF(Y56=0,0,INDEX(SUP_C3_EXPANSION!$H$20:$H$59,Y56)))+2*SUP_OPEX!$E$20*(IF(Z56=0,0,INDEX(SUP_C3_EXPANSION!$I$20:$I$59,Z56))-IF(Y56=0,0,INDEX(SUP_C3_EXPANSION!$I$20:$I$59,Y56)))+2*SUP_OPEX!$F$20*(IF(Z56=0,0,INDEX(SUP_C3_EXPANSION!$J$20:$J$59,Z56))-IF(Y56=0,0,INDEX(SUP_C3_EXPANSION!$J$20:$J$59,Y56))))-IF(Y56=X56,0,1*SUP_OPEX!$D$20*(IF(Y56=0,0,INDEX(SUP_C3_EXPANSION!$H$20:$H$59,Y56))-IF(X56=0,0,INDEX(SUP_C3_EXPANSION!$H$20:$H$59,X56)))+1*SUP_OPEX!$E$20*(IF(Y56=0,0,INDEX(SUP_C3_EXPANSION!$I$20:$I$59,Y56))-IF(X56=0,0,INDEX(SUP_C3_EXPANSION!$I$20:$I$59,X56)))+1*SUP_OPEX!$F$20*(IF(Y56=0,0,INDEX(SUP_C3_EXPANSION!$J$20:$J$59,Y56))-IF(X56=0,0,INDEX(SUP_C3_EXPANSION!$J$20:$J$59,X56))))-IF(X56=W56,0,1*SUP_OPEX!$D$20*(IF(X56=0,0,INDEX(SUP_C3_EXPANSION!$H$20:$H$59,X56))-IF(W56=0,0,INDEX(SUP_C3_EXPANSION!$H$20:$H$59,W56)))+1*SUP_OPEX!$E$20*(IF(X56=0,0,INDEX(SUP_C3_EXPANSION!$I$20:$I$59,X56))-IF(W56=0,0,INDEX(SUP_C3_EXPANSION!$I$20:$I$59,W56)))+1*SUP_OPEX!$F$20*(IF(X56=0,0,INDEX(SUP_C3_EXPANSION!$J$20:$J$59,X56))-IF(W56=0,0,INDEX(SUP_C3_EXPANSION!$J$20:$J$59,W56))))</f>
        <v>0</v>
      </c>
      <c r="AA66">
        <f>IF(AA56=Z56,0,2*SUP_OPEX!$D$20*(IF(AA56=0,0,INDEX(SUP_C3_EXPANSION!$H$20:$H$59,AA56))-IF(Z56=0,0,INDEX(SUP_C3_EXPANSION!$H$20:$H$59,Z56)))+2*SUP_OPEX!$E$20*(IF(AA56=0,0,INDEX(SUP_C3_EXPANSION!$I$20:$I$59,AA56))-IF(Z56=0,0,INDEX(SUP_C3_EXPANSION!$I$20:$I$59,Z56)))+2*SUP_OPEX!$F$20*(IF(AA56=0,0,INDEX(SUP_C3_EXPANSION!$J$20:$J$59,AA56))-IF(Z56=0,0,INDEX(SUP_C3_EXPANSION!$J$20:$J$59,Z56))))-IF(Z56=Y56,0,1*SUP_OPEX!$D$20*(IF(Z56=0,0,INDEX(SUP_C3_EXPANSION!$H$20:$H$59,Z56))-IF(Y56=0,0,INDEX(SUP_C3_EXPANSION!$H$20:$H$59,Y56)))+1*SUP_OPEX!$E$20*(IF(Z56=0,0,INDEX(SUP_C3_EXPANSION!$I$20:$I$59,Z56))-IF(Y56=0,0,INDEX(SUP_C3_EXPANSION!$I$20:$I$59,Y56)))+1*SUP_OPEX!$F$20*(IF(Z56=0,0,INDEX(SUP_C3_EXPANSION!$J$20:$J$59,Z56))-IF(Y56=0,0,INDEX(SUP_C3_EXPANSION!$J$20:$J$59,Y56))))-IF(Y56=X56,0,1*SUP_OPEX!$D$20*(IF(Y56=0,0,INDEX(SUP_C3_EXPANSION!$H$20:$H$59,Y56))-IF(X56=0,0,INDEX(SUP_C3_EXPANSION!$H$20:$H$59,X56)))+1*SUP_OPEX!$E$20*(IF(Y56=0,0,INDEX(SUP_C3_EXPANSION!$I$20:$I$59,Y56))-IF(X56=0,0,INDEX(SUP_C3_EXPANSION!$I$20:$I$59,X56)))+1*SUP_OPEX!$F$20*(IF(Y56=0,0,INDEX(SUP_C3_EXPANSION!$J$20:$J$59,Y56))-IF(X56=0,0,INDEX(SUP_C3_EXPANSION!$J$20:$J$59,X56))))</f>
        <v>0</v>
      </c>
      <c r="AB66">
        <f>IF(AB56=AA56,0,2*SUP_OPEX!$D$20*(IF(AB56=0,0,INDEX(SUP_C3_EXPANSION!$H$20:$H$59,AB56))-IF(AA56=0,0,INDEX(SUP_C3_EXPANSION!$H$20:$H$59,AA56)))+2*SUP_OPEX!$E$20*(IF(AB56=0,0,INDEX(SUP_C3_EXPANSION!$I$20:$I$59,AB56))-IF(AA56=0,0,INDEX(SUP_C3_EXPANSION!$I$20:$I$59,AA56)))+2*SUP_OPEX!$F$20*(IF(AB56=0,0,INDEX(SUP_C3_EXPANSION!$J$20:$J$59,AB56))-IF(AA56=0,0,INDEX(SUP_C3_EXPANSION!$J$20:$J$59,AA56))))-IF(AA56=Z56,0,1*SUP_OPEX!$D$20*(IF(AA56=0,0,INDEX(SUP_C3_EXPANSION!$H$20:$H$59,AA56))-IF(Z56=0,0,INDEX(SUP_C3_EXPANSION!$H$20:$H$59,Z56)))+1*SUP_OPEX!$E$20*(IF(AA56=0,0,INDEX(SUP_C3_EXPANSION!$I$20:$I$59,AA56))-IF(Z56=0,0,INDEX(SUP_C3_EXPANSION!$I$20:$I$59,Z56)))+1*SUP_OPEX!$F$20*(IF(AA56=0,0,INDEX(SUP_C3_EXPANSION!$J$20:$J$59,AA56))-IF(Z56=0,0,INDEX(SUP_C3_EXPANSION!$J$20:$J$59,Z56))))-IF(Z56=Y56,0,1*SUP_OPEX!$D$20*(IF(Z56=0,0,INDEX(SUP_C3_EXPANSION!$H$20:$H$59,Z56))-IF(Y56=0,0,INDEX(SUP_C3_EXPANSION!$H$20:$H$59,Y56)))+1*SUP_OPEX!$E$20*(IF(Z56=0,0,INDEX(SUP_C3_EXPANSION!$I$20:$I$59,Z56))-IF(Y56=0,0,INDEX(SUP_C3_EXPANSION!$I$20:$I$59,Y56)))+1*SUP_OPEX!$F$20*(IF(Z56=0,0,INDEX(SUP_C3_EXPANSION!$J$20:$J$59,Z56))-IF(Y56=0,0,INDEX(SUP_C3_EXPANSION!$J$20:$J$59,Y56))))</f>
        <v>0</v>
      </c>
      <c r="AC66">
        <f>IF(AC56=AB56,0,2*SUP_OPEX!$D$20*(IF(AC56=0,0,INDEX(SUP_C3_EXPANSION!$H$20:$H$59,AC56))-IF(AB56=0,0,INDEX(SUP_C3_EXPANSION!$H$20:$H$59,AB56)))+2*SUP_OPEX!$E$20*(IF(AC56=0,0,INDEX(SUP_C3_EXPANSION!$I$20:$I$59,AC56))-IF(AB56=0,0,INDEX(SUP_C3_EXPANSION!$I$20:$I$59,AB56)))+2*SUP_OPEX!$F$20*(IF(AC56=0,0,INDEX(SUP_C3_EXPANSION!$J$20:$J$59,AC56))-IF(AB56=0,0,INDEX(SUP_C3_EXPANSION!$J$20:$J$59,AB56))))-IF(AB56=AA56,0,1*SUP_OPEX!$D$20*(IF(AB56=0,0,INDEX(SUP_C3_EXPANSION!$H$20:$H$59,AB56))-IF(AA56=0,0,INDEX(SUP_C3_EXPANSION!$H$20:$H$59,AA56)))+1*SUP_OPEX!$E$20*(IF(AB56=0,0,INDEX(SUP_C3_EXPANSION!$I$20:$I$59,AB56))-IF(AA56=0,0,INDEX(SUP_C3_EXPANSION!$I$20:$I$59,AA56)))+1*SUP_OPEX!$F$20*(IF(AB56=0,0,INDEX(SUP_C3_EXPANSION!$J$20:$J$59,AB56))-IF(AA56=0,0,INDEX(SUP_C3_EXPANSION!$J$20:$J$59,AA56))))-IF(AA56=Z56,0,1*SUP_OPEX!$D$20*(IF(AA56=0,0,INDEX(SUP_C3_EXPANSION!$H$20:$H$59,AA56))-IF(Z56=0,0,INDEX(SUP_C3_EXPANSION!$H$20:$H$59,Z56)))+1*SUP_OPEX!$E$20*(IF(AA56=0,0,INDEX(SUP_C3_EXPANSION!$I$20:$I$59,AA56))-IF(Z56=0,0,INDEX(SUP_C3_EXPANSION!$I$20:$I$59,Z56)))+1*SUP_OPEX!$F$20*(IF(AA56=0,0,INDEX(SUP_C3_EXPANSION!$J$20:$J$59,AA56))-IF(Z56=0,0,INDEX(SUP_C3_EXPANSION!$J$20:$J$59,Z56))))</f>
        <v>0</v>
      </c>
      <c r="AD66">
        <f>IF(AD56=AC56,0,2*SUP_OPEX!$D$20*(IF(AD56=0,0,INDEX(SUP_C3_EXPANSION!$H$20:$H$59,AD56))-IF(AC56=0,0,INDEX(SUP_C3_EXPANSION!$H$20:$H$59,AC56)))+2*SUP_OPEX!$E$20*(IF(AD56=0,0,INDEX(SUP_C3_EXPANSION!$I$20:$I$59,AD56))-IF(AC56=0,0,INDEX(SUP_C3_EXPANSION!$I$20:$I$59,AC56)))+2*SUP_OPEX!$F$20*(IF(AD56=0,0,INDEX(SUP_C3_EXPANSION!$J$20:$J$59,AD56))-IF(AC56=0,0,INDEX(SUP_C3_EXPANSION!$J$20:$J$59,AC56))))-IF(AC56=AB56,0,1*SUP_OPEX!$D$20*(IF(AC56=0,0,INDEX(SUP_C3_EXPANSION!$H$20:$H$59,AC56))-IF(AB56=0,0,INDEX(SUP_C3_EXPANSION!$H$20:$H$59,AB56)))+1*SUP_OPEX!$E$20*(IF(AC56=0,0,INDEX(SUP_C3_EXPANSION!$I$20:$I$59,AC56))-IF(AB56=0,0,INDEX(SUP_C3_EXPANSION!$I$20:$I$59,AB56)))+1*SUP_OPEX!$F$20*(IF(AC56=0,0,INDEX(SUP_C3_EXPANSION!$J$20:$J$59,AC56))-IF(AB56=0,0,INDEX(SUP_C3_EXPANSION!$J$20:$J$59,AB56))))-IF(AB56=AA56,0,1*SUP_OPEX!$D$20*(IF(AB56=0,0,INDEX(SUP_C3_EXPANSION!$H$20:$H$59,AB56))-IF(AA56=0,0,INDEX(SUP_C3_EXPANSION!$H$20:$H$59,AA56)))+1*SUP_OPEX!$E$20*(IF(AB56=0,0,INDEX(SUP_C3_EXPANSION!$I$20:$I$59,AB56))-IF(AA56=0,0,INDEX(SUP_C3_EXPANSION!$I$20:$I$59,AA56)))+1*SUP_OPEX!$F$20*(IF(AB56=0,0,INDEX(SUP_C3_EXPANSION!$J$20:$J$59,AB56))-IF(AA56=0,0,INDEX(SUP_C3_EXPANSION!$J$20:$J$59,AA56))))</f>
        <v>0</v>
      </c>
      <c r="AE66">
        <f>IF(AE56=AD56,0,2*SUP_OPEX!$D$20*(IF(AE56=0,0,INDEX(SUP_C3_EXPANSION!$H$20:$H$59,AE56))-IF(AD56=0,0,INDEX(SUP_C3_EXPANSION!$H$20:$H$59,AD56)))+2*SUP_OPEX!$E$20*(IF(AE56=0,0,INDEX(SUP_C3_EXPANSION!$I$20:$I$59,AE56))-IF(AD56=0,0,INDEX(SUP_C3_EXPANSION!$I$20:$I$59,AD56)))+2*SUP_OPEX!$F$20*(IF(AE56=0,0,INDEX(SUP_C3_EXPANSION!$J$20:$J$59,AE56))-IF(AD56=0,0,INDEX(SUP_C3_EXPANSION!$J$20:$J$59,AD56))))-IF(AD56=AC56,0,1*SUP_OPEX!$D$20*(IF(AD56=0,0,INDEX(SUP_C3_EXPANSION!$H$20:$H$59,AD56))-IF(AC56=0,0,INDEX(SUP_C3_EXPANSION!$H$20:$H$59,AC56)))+1*SUP_OPEX!$E$20*(IF(AD56=0,0,INDEX(SUP_C3_EXPANSION!$I$20:$I$59,AD56))-IF(AC56=0,0,INDEX(SUP_C3_EXPANSION!$I$20:$I$59,AC56)))+1*SUP_OPEX!$F$20*(IF(AD56=0,0,INDEX(SUP_C3_EXPANSION!$J$20:$J$59,AD56))-IF(AC56=0,0,INDEX(SUP_C3_EXPANSION!$J$20:$J$59,AC56))))-IF(AC56=AB56,0,1*SUP_OPEX!$D$20*(IF(AC56=0,0,INDEX(SUP_C3_EXPANSION!$H$20:$H$59,AC56))-IF(AB56=0,0,INDEX(SUP_C3_EXPANSION!$H$20:$H$59,AB56)))+1*SUP_OPEX!$E$20*(IF(AC56=0,0,INDEX(SUP_C3_EXPANSION!$I$20:$I$59,AC56))-IF(AB56=0,0,INDEX(SUP_C3_EXPANSION!$I$20:$I$59,AB56)))+1*SUP_OPEX!$F$20*(IF(AC56=0,0,INDEX(SUP_C3_EXPANSION!$J$20:$J$59,AC56))-IF(AB56=0,0,INDEX(SUP_C3_EXPANSION!$J$20:$J$59,AB56))))</f>
        <v>0</v>
      </c>
      <c r="AF66">
        <f>IF(AF56=AE56,0,2*SUP_OPEX!$D$20*(IF(AF56=0,0,INDEX(SUP_C3_EXPANSION!$H$20:$H$59,AF56))-IF(AE56=0,0,INDEX(SUP_C3_EXPANSION!$H$20:$H$59,AE56)))+2*SUP_OPEX!$E$20*(IF(AF56=0,0,INDEX(SUP_C3_EXPANSION!$I$20:$I$59,AF56))-IF(AE56=0,0,INDEX(SUP_C3_EXPANSION!$I$20:$I$59,AE56)))+2*SUP_OPEX!$F$20*(IF(AF56=0,0,INDEX(SUP_C3_EXPANSION!$J$20:$J$59,AF56))-IF(AE56=0,0,INDEX(SUP_C3_EXPANSION!$J$20:$J$59,AE56))))-IF(AE56=AD56,0,1*SUP_OPEX!$D$20*(IF(AE56=0,0,INDEX(SUP_C3_EXPANSION!$H$20:$H$59,AE56))-IF(AD56=0,0,INDEX(SUP_C3_EXPANSION!$H$20:$H$59,AD56)))+1*SUP_OPEX!$E$20*(IF(AE56=0,0,INDEX(SUP_C3_EXPANSION!$I$20:$I$59,AE56))-IF(AD56=0,0,INDEX(SUP_C3_EXPANSION!$I$20:$I$59,AD56)))+1*SUP_OPEX!$F$20*(IF(AE56=0,0,INDEX(SUP_C3_EXPANSION!$J$20:$J$59,AE56))-IF(AD56=0,0,INDEX(SUP_C3_EXPANSION!$J$20:$J$59,AD56))))-IF(AD56=AC56,0,1*SUP_OPEX!$D$20*(IF(AD56=0,0,INDEX(SUP_C3_EXPANSION!$H$20:$H$59,AD56))-IF(AC56=0,0,INDEX(SUP_C3_EXPANSION!$H$20:$H$59,AC56)))+1*SUP_OPEX!$E$20*(IF(AD56=0,0,INDEX(SUP_C3_EXPANSION!$I$20:$I$59,AD56))-IF(AC56=0,0,INDEX(SUP_C3_EXPANSION!$I$20:$I$59,AC56)))+1*SUP_OPEX!$F$20*(IF(AD56=0,0,INDEX(SUP_C3_EXPANSION!$J$20:$J$59,AD56))-IF(AC56=0,0,INDEX(SUP_C3_EXPANSION!$J$20:$J$59,AC56))))</f>
        <v>6400</v>
      </c>
      <c r="AG66">
        <f>IF(AG56=AF56,0,2*SUP_OPEX!$D$20*(IF(AG56=0,0,INDEX(SUP_C3_EXPANSION!$H$20:$H$59,AG56))-IF(AF56=0,0,INDEX(SUP_C3_EXPANSION!$H$20:$H$59,AF56)))+2*SUP_OPEX!$E$20*(IF(AG56=0,0,INDEX(SUP_C3_EXPANSION!$I$20:$I$59,AG56))-IF(AF56=0,0,INDEX(SUP_C3_EXPANSION!$I$20:$I$59,AF56)))+2*SUP_OPEX!$F$20*(IF(AG56=0,0,INDEX(SUP_C3_EXPANSION!$J$20:$J$59,AG56))-IF(AF56=0,0,INDEX(SUP_C3_EXPANSION!$J$20:$J$59,AF56))))-IF(AF56=AE56,0,1*SUP_OPEX!$D$20*(IF(AF56=0,0,INDEX(SUP_C3_EXPANSION!$H$20:$H$59,AF56))-IF(AE56=0,0,INDEX(SUP_C3_EXPANSION!$H$20:$H$59,AE56)))+1*SUP_OPEX!$E$20*(IF(AF56=0,0,INDEX(SUP_C3_EXPANSION!$I$20:$I$59,AF56))-IF(AE56=0,0,INDEX(SUP_C3_EXPANSION!$I$20:$I$59,AE56)))+1*SUP_OPEX!$F$20*(IF(AF56=0,0,INDEX(SUP_C3_EXPANSION!$J$20:$J$59,AF56))-IF(AE56=0,0,INDEX(SUP_C3_EXPANSION!$J$20:$J$59,AE56))))-IF(AE56=AD56,0,1*SUP_OPEX!$D$20*(IF(AE56=0,0,INDEX(SUP_C3_EXPANSION!$H$20:$H$59,AE56))-IF(AD56=0,0,INDEX(SUP_C3_EXPANSION!$H$20:$H$59,AD56)))+1*SUP_OPEX!$E$20*(IF(AE56=0,0,INDEX(SUP_C3_EXPANSION!$I$20:$I$59,AE56))-IF(AD56=0,0,INDEX(SUP_C3_EXPANSION!$I$20:$I$59,AD56)))+1*SUP_OPEX!$F$20*(IF(AE56=0,0,INDEX(SUP_C3_EXPANSION!$J$20:$J$59,AE56))-IF(AD56=0,0,INDEX(SUP_C3_EXPANSION!$J$20:$J$59,AD56))))</f>
        <v>800</v>
      </c>
      <c r="AH66">
        <f>IF(AH56=AG56,0,2*SUP_OPEX!$D$20*(IF(AH56=0,0,INDEX(SUP_C3_EXPANSION!$H$20:$H$59,AH56))-IF(AG56=0,0,INDEX(SUP_C3_EXPANSION!$H$20:$H$59,AG56)))+2*SUP_OPEX!$E$20*(IF(AH56=0,0,INDEX(SUP_C3_EXPANSION!$I$20:$I$59,AH56))-IF(AG56=0,0,INDEX(SUP_C3_EXPANSION!$I$20:$I$59,AG56)))+2*SUP_OPEX!$F$20*(IF(AH56=0,0,INDEX(SUP_C3_EXPANSION!$J$20:$J$59,AH56))-IF(AG56=0,0,INDEX(SUP_C3_EXPANSION!$J$20:$J$59,AG56))))-IF(AG56=AF56,0,1*SUP_OPEX!$D$20*(IF(AG56=0,0,INDEX(SUP_C3_EXPANSION!$H$20:$H$59,AG56))-IF(AF56=0,0,INDEX(SUP_C3_EXPANSION!$H$20:$H$59,AF56)))+1*SUP_OPEX!$E$20*(IF(AG56=0,0,INDEX(SUP_C3_EXPANSION!$I$20:$I$59,AG56))-IF(AF56=0,0,INDEX(SUP_C3_EXPANSION!$I$20:$I$59,AF56)))+1*SUP_OPEX!$F$20*(IF(AG56=0,0,INDEX(SUP_C3_EXPANSION!$J$20:$J$59,AG56))-IF(AF56=0,0,INDEX(SUP_C3_EXPANSION!$J$20:$J$59,AF56))))-IF(AF56=AE56,0,1*SUP_OPEX!$D$20*(IF(AF56=0,0,INDEX(SUP_C3_EXPANSION!$H$20:$H$59,AF56))-IF(AE56=0,0,INDEX(SUP_C3_EXPANSION!$H$20:$H$59,AE56)))+1*SUP_OPEX!$E$20*(IF(AF56=0,0,INDEX(SUP_C3_EXPANSION!$I$20:$I$59,AF56))-IF(AE56=0,0,INDEX(SUP_C3_EXPANSION!$I$20:$I$59,AE56)))+1*SUP_OPEX!$F$20*(IF(AF56=0,0,INDEX(SUP_C3_EXPANSION!$J$20:$J$59,AF56))-IF(AE56=0,0,INDEX(SUP_C3_EXPANSION!$J$20:$J$59,AE56))))</f>
        <v>-5200</v>
      </c>
      <c r="AI66">
        <f>IF(AI56=AH56,0,2*SUP_OPEX!$D$20*(IF(AI56=0,0,INDEX(SUP_C3_EXPANSION!$H$20:$H$59,AI56))-IF(AH56=0,0,INDEX(SUP_C3_EXPANSION!$H$20:$H$59,AH56)))+2*SUP_OPEX!$E$20*(IF(AI56=0,0,INDEX(SUP_C3_EXPANSION!$I$20:$I$59,AI56))-IF(AH56=0,0,INDEX(SUP_C3_EXPANSION!$I$20:$I$59,AH56)))+2*SUP_OPEX!$F$20*(IF(AI56=0,0,INDEX(SUP_C3_EXPANSION!$J$20:$J$59,AI56))-IF(AH56=0,0,INDEX(SUP_C3_EXPANSION!$J$20:$J$59,AH56))))-IF(AH56=AG56,0,1*SUP_OPEX!$D$20*(IF(AH56=0,0,INDEX(SUP_C3_EXPANSION!$H$20:$H$59,AH56))-IF(AG56=0,0,INDEX(SUP_C3_EXPANSION!$H$20:$H$59,AG56)))+1*SUP_OPEX!$E$20*(IF(AH56=0,0,INDEX(SUP_C3_EXPANSION!$I$20:$I$59,AH56))-IF(AG56=0,0,INDEX(SUP_C3_EXPANSION!$I$20:$I$59,AG56)))+1*SUP_OPEX!$F$20*(IF(AH56=0,0,INDEX(SUP_C3_EXPANSION!$J$20:$J$59,AH56))-IF(AG56=0,0,INDEX(SUP_C3_EXPANSION!$J$20:$J$59,AG56))))-IF(AG56=AF56,0,1*SUP_OPEX!$D$20*(IF(AG56=0,0,INDEX(SUP_C3_EXPANSION!$H$20:$H$59,AG56))-IF(AF56=0,0,INDEX(SUP_C3_EXPANSION!$H$20:$H$59,AF56)))+1*SUP_OPEX!$E$20*(IF(AG56=0,0,INDEX(SUP_C3_EXPANSION!$I$20:$I$59,AG56))-IF(AF56=0,0,INDEX(SUP_C3_EXPANSION!$I$20:$I$59,AF56)))+1*SUP_OPEX!$F$20*(IF(AG56=0,0,INDEX(SUP_C3_EXPANSION!$J$20:$J$59,AG56))-IF(AF56=0,0,INDEX(SUP_C3_EXPANSION!$J$20:$J$59,AF56))))</f>
        <v>2000</v>
      </c>
      <c r="AJ66">
        <f>IF(AJ56=AI56,0,2*SUP_OPEX!$D$20*(IF(AJ56=0,0,INDEX(SUP_C3_EXPANSION!$H$20:$H$59,AJ56))-IF(AI56=0,0,INDEX(SUP_C3_EXPANSION!$H$20:$H$59,AI56)))+2*SUP_OPEX!$E$20*(IF(AJ56=0,0,INDEX(SUP_C3_EXPANSION!$I$20:$I$59,AJ56))-IF(AI56=0,0,INDEX(SUP_C3_EXPANSION!$I$20:$I$59,AI56)))+2*SUP_OPEX!$F$20*(IF(AJ56=0,0,INDEX(SUP_C3_EXPANSION!$J$20:$J$59,AJ56))-IF(AI56=0,0,INDEX(SUP_C3_EXPANSION!$J$20:$J$59,AI56))))-IF(AI56=AH56,0,1*SUP_OPEX!$D$20*(IF(AI56=0,0,INDEX(SUP_C3_EXPANSION!$H$20:$H$59,AI56))-IF(AH56=0,0,INDEX(SUP_C3_EXPANSION!$H$20:$H$59,AH56)))+1*SUP_OPEX!$E$20*(IF(AI56=0,0,INDEX(SUP_C3_EXPANSION!$I$20:$I$59,AI56))-IF(AH56=0,0,INDEX(SUP_C3_EXPANSION!$I$20:$I$59,AH56)))+1*SUP_OPEX!$F$20*(IF(AI56=0,0,INDEX(SUP_C3_EXPANSION!$J$20:$J$59,AI56))-IF(AH56=0,0,INDEX(SUP_C3_EXPANSION!$J$20:$J$59,AH56))))-IF(AH56=AG56,0,1*SUP_OPEX!$D$20*(IF(AH56=0,0,INDEX(SUP_C3_EXPANSION!$H$20:$H$59,AH56))-IF(AG56=0,0,INDEX(SUP_C3_EXPANSION!$H$20:$H$59,AG56)))+1*SUP_OPEX!$E$20*(IF(AH56=0,0,INDEX(SUP_C3_EXPANSION!$I$20:$I$59,AH56))-IF(AG56=0,0,INDEX(SUP_C3_EXPANSION!$I$20:$I$59,AG56)))+1*SUP_OPEX!$F$20*(IF(AH56=0,0,INDEX(SUP_C3_EXPANSION!$J$20:$J$59,AH56))-IF(AG56=0,0,INDEX(SUP_C3_EXPANSION!$J$20:$J$59,AG56))))</f>
        <v>2000</v>
      </c>
      <c r="AK66">
        <f>IF(AK56=AJ56,0,2*SUP_OPEX!$D$20*(IF(AK56=0,0,INDEX(SUP_C3_EXPANSION!$H$20:$H$59,AK56))-IF(AJ56=0,0,INDEX(SUP_C3_EXPANSION!$H$20:$H$59,AJ56)))+2*SUP_OPEX!$E$20*(IF(AK56=0,0,INDEX(SUP_C3_EXPANSION!$I$20:$I$59,AK56))-IF(AJ56=0,0,INDEX(SUP_C3_EXPANSION!$I$20:$I$59,AJ56)))+2*SUP_OPEX!$F$20*(IF(AK56=0,0,INDEX(SUP_C3_EXPANSION!$J$20:$J$59,AK56))-IF(AJ56=0,0,INDEX(SUP_C3_EXPANSION!$J$20:$J$59,AJ56))))-IF(AJ56=AI56,0,1*SUP_OPEX!$D$20*(IF(AJ56=0,0,INDEX(SUP_C3_EXPANSION!$H$20:$H$59,AJ56))-IF(AI56=0,0,INDEX(SUP_C3_EXPANSION!$H$20:$H$59,AI56)))+1*SUP_OPEX!$E$20*(IF(AJ56=0,0,INDEX(SUP_C3_EXPANSION!$I$20:$I$59,AJ56))-IF(AI56=0,0,INDEX(SUP_C3_EXPANSION!$I$20:$I$59,AI56)))+1*SUP_OPEX!$F$20*(IF(AJ56=0,0,INDEX(SUP_C3_EXPANSION!$J$20:$J$59,AJ56))-IF(AI56=0,0,INDEX(SUP_C3_EXPANSION!$J$20:$J$59,AI56))))-IF(AI56=AH56,0,1*SUP_OPEX!$D$20*(IF(AI56=0,0,INDEX(SUP_C3_EXPANSION!$H$20:$H$59,AI56))-IF(AH56=0,0,INDEX(SUP_C3_EXPANSION!$H$20:$H$59,AH56)))+1*SUP_OPEX!$E$20*(IF(AI56=0,0,INDEX(SUP_C3_EXPANSION!$I$20:$I$59,AI56))-IF(AH56=0,0,INDEX(SUP_C3_EXPANSION!$I$20:$I$59,AH56)))+1*SUP_OPEX!$F$20*(IF(AI56=0,0,INDEX(SUP_C3_EXPANSION!$J$20:$J$59,AI56))-IF(AH56=0,0,INDEX(SUP_C3_EXPANSION!$J$20:$J$59,AH56))))</f>
        <v>-4000</v>
      </c>
      <c r="AL66">
        <f>IF(AL56=AK56,0,2*SUP_OPEX!$D$20*(IF(AL56=0,0,INDEX(SUP_C3_EXPANSION!$H$20:$H$59,AL56))-IF(AK56=0,0,INDEX(SUP_C3_EXPANSION!$H$20:$H$59,AK56)))+2*SUP_OPEX!$E$20*(IF(AL56=0,0,INDEX(SUP_C3_EXPANSION!$I$20:$I$59,AL56))-IF(AK56=0,0,INDEX(SUP_C3_EXPANSION!$I$20:$I$59,AK56)))+2*SUP_OPEX!$F$20*(IF(AL56=0,0,INDEX(SUP_C3_EXPANSION!$J$20:$J$59,AL56))-IF(AK56=0,0,INDEX(SUP_C3_EXPANSION!$J$20:$J$59,AK56))))-IF(AK56=AJ56,0,1*SUP_OPEX!$D$20*(IF(AK56=0,0,INDEX(SUP_C3_EXPANSION!$H$20:$H$59,AK56))-IF(AJ56=0,0,INDEX(SUP_C3_EXPANSION!$H$20:$H$59,AJ56)))+1*SUP_OPEX!$E$20*(IF(AK56=0,0,INDEX(SUP_C3_EXPANSION!$I$20:$I$59,AK56))-IF(AJ56=0,0,INDEX(SUP_C3_EXPANSION!$I$20:$I$59,AJ56)))+1*SUP_OPEX!$F$20*(IF(AK56=0,0,INDEX(SUP_C3_EXPANSION!$J$20:$J$59,AK56))-IF(AJ56=0,0,INDEX(SUP_C3_EXPANSION!$J$20:$J$59,AJ56))))-IF(AJ56=AI56,0,1*SUP_OPEX!$D$20*(IF(AJ56=0,0,INDEX(SUP_C3_EXPANSION!$H$20:$H$59,AJ56))-IF(AI56=0,0,INDEX(SUP_C3_EXPANSION!$H$20:$H$59,AI56)))+1*SUP_OPEX!$E$20*(IF(AJ56=0,0,INDEX(SUP_C3_EXPANSION!$I$20:$I$59,AJ56))-IF(AI56=0,0,INDEX(SUP_C3_EXPANSION!$I$20:$I$59,AI56)))+1*SUP_OPEX!$F$20*(IF(AJ56=0,0,INDEX(SUP_C3_EXPANSION!$J$20:$J$59,AJ56))-IF(AI56=0,0,INDEX(SUP_C3_EXPANSION!$J$20:$J$59,AI56))))</f>
        <v>-2000</v>
      </c>
      <c r="AM66">
        <f>IF(AM56=AL56,0,2*SUP_OPEX!$D$20*(IF(AM56=0,0,INDEX(SUP_C3_EXPANSION!$H$20:$H$59,AM56))-IF(AL56=0,0,INDEX(SUP_C3_EXPANSION!$H$20:$H$59,AL56)))+2*SUP_OPEX!$E$20*(IF(AM56=0,0,INDEX(SUP_C3_EXPANSION!$I$20:$I$59,AM56))-IF(AL56=0,0,INDEX(SUP_C3_EXPANSION!$I$20:$I$59,AL56)))+2*SUP_OPEX!$F$20*(IF(AM56=0,0,INDEX(SUP_C3_EXPANSION!$J$20:$J$59,AM56))-IF(AL56=0,0,INDEX(SUP_C3_EXPANSION!$J$20:$J$59,AL56))))-IF(AL56=AK56,0,1*SUP_OPEX!$D$20*(IF(AL56=0,0,INDEX(SUP_C3_EXPANSION!$H$20:$H$59,AL56))-IF(AK56=0,0,INDEX(SUP_C3_EXPANSION!$H$20:$H$59,AK56)))+1*SUP_OPEX!$E$20*(IF(AL56=0,0,INDEX(SUP_C3_EXPANSION!$I$20:$I$59,AL56))-IF(AK56=0,0,INDEX(SUP_C3_EXPANSION!$I$20:$I$59,AK56)))+1*SUP_OPEX!$F$20*(IF(AL56=0,0,INDEX(SUP_C3_EXPANSION!$J$20:$J$59,AL56))-IF(AK56=0,0,INDEX(SUP_C3_EXPANSION!$J$20:$J$59,AK56))))-IF(AK56=AJ56,0,1*SUP_OPEX!$D$20*(IF(AK56=0,0,INDEX(SUP_C3_EXPANSION!$H$20:$H$59,AK56))-IF(AJ56=0,0,INDEX(SUP_C3_EXPANSION!$H$20:$H$59,AJ56)))+1*SUP_OPEX!$E$20*(IF(AK56=0,0,INDEX(SUP_C3_EXPANSION!$I$20:$I$59,AK56))-IF(AJ56=0,0,INDEX(SUP_C3_EXPANSION!$I$20:$I$59,AJ56)))+1*SUP_OPEX!$F$20*(IF(AK56=0,0,INDEX(SUP_C3_EXPANSION!$J$20:$J$59,AK56))-IF(AJ56=0,0,INDEX(SUP_C3_EXPANSION!$J$20:$J$59,AJ56))))</f>
        <v>6400</v>
      </c>
      <c r="AN66">
        <f>IF(AN56=AM56,0,2*SUP_OPEX!$D$20*(IF(AN56=0,0,INDEX(SUP_C3_EXPANSION!$H$20:$H$59,AN56))-IF(AM56=0,0,INDEX(SUP_C3_EXPANSION!$H$20:$H$59,AM56)))+2*SUP_OPEX!$E$20*(IF(AN56=0,0,INDEX(SUP_C3_EXPANSION!$I$20:$I$59,AN56))-IF(AM56=0,0,INDEX(SUP_C3_EXPANSION!$I$20:$I$59,AM56)))+2*SUP_OPEX!$F$20*(IF(AN56=0,0,INDEX(SUP_C3_EXPANSION!$J$20:$J$59,AN56))-IF(AM56=0,0,INDEX(SUP_C3_EXPANSION!$J$20:$J$59,AM56))))-IF(AM56=AL56,0,1*SUP_OPEX!$D$20*(IF(AM56=0,0,INDEX(SUP_C3_EXPANSION!$H$20:$H$59,AM56))-IF(AL56=0,0,INDEX(SUP_C3_EXPANSION!$H$20:$H$59,AL56)))+1*SUP_OPEX!$E$20*(IF(AM56=0,0,INDEX(SUP_C3_EXPANSION!$I$20:$I$59,AM56))-IF(AL56=0,0,INDEX(SUP_C3_EXPANSION!$I$20:$I$59,AL56)))+1*SUP_OPEX!$F$20*(IF(AM56=0,0,INDEX(SUP_C3_EXPANSION!$J$20:$J$59,AM56))-IF(AL56=0,0,INDEX(SUP_C3_EXPANSION!$J$20:$J$59,AL56))))-IF(AL56=AK56,0,1*SUP_OPEX!$D$20*(IF(AL56=0,0,INDEX(SUP_C3_EXPANSION!$H$20:$H$59,AL56))-IF(AK56=0,0,INDEX(SUP_C3_EXPANSION!$H$20:$H$59,AK56)))+1*SUP_OPEX!$E$20*(IF(AL56=0,0,INDEX(SUP_C3_EXPANSION!$I$20:$I$59,AL56))-IF(AK56=0,0,INDEX(SUP_C3_EXPANSION!$I$20:$I$59,AK56)))+1*SUP_OPEX!$F$20*(IF(AL56=0,0,INDEX(SUP_C3_EXPANSION!$J$20:$J$59,AL56))-IF(AK56=0,0,INDEX(SUP_C3_EXPANSION!$J$20:$J$59,AK56))))</f>
        <v>800</v>
      </c>
      <c r="AO66">
        <f>IF(AO56=AN56,0,2*SUP_OPEX!$D$20*(IF(AO56=0,0,INDEX(SUP_C3_EXPANSION!$H$20:$H$59,AO56))-IF(AN56=0,0,INDEX(SUP_C3_EXPANSION!$H$20:$H$59,AN56)))+2*SUP_OPEX!$E$20*(IF(AO56=0,0,INDEX(SUP_C3_EXPANSION!$I$20:$I$59,AO56))-IF(AN56=0,0,INDEX(SUP_C3_EXPANSION!$I$20:$I$59,AN56)))+2*SUP_OPEX!$F$20*(IF(AO56=0,0,INDEX(SUP_C3_EXPANSION!$J$20:$J$59,AO56))-IF(AN56=0,0,INDEX(SUP_C3_EXPANSION!$J$20:$J$59,AN56))))-IF(AN56=AM56,0,1*SUP_OPEX!$D$20*(IF(AN56=0,0,INDEX(SUP_C3_EXPANSION!$H$20:$H$59,AN56))-IF(AM56=0,0,INDEX(SUP_C3_EXPANSION!$H$20:$H$59,AM56)))+1*SUP_OPEX!$E$20*(IF(AN56=0,0,INDEX(SUP_C3_EXPANSION!$I$20:$I$59,AN56))-IF(AM56=0,0,INDEX(SUP_C3_EXPANSION!$I$20:$I$59,AM56)))+1*SUP_OPEX!$F$20*(IF(AN56=0,0,INDEX(SUP_C3_EXPANSION!$J$20:$J$59,AN56))-IF(AM56=0,0,INDEX(SUP_C3_EXPANSION!$J$20:$J$59,AM56))))-IF(AM56=AL56,0,1*SUP_OPEX!$D$20*(IF(AM56=0,0,INDEX(SUP_C3_EXPANSION!$H$20:$H$59,AM56))-IF(AL56=0,0,INDEX(SUP_C3_EXPANSION!$H$20:$H$59,AL56)))+1*SUP_OPEX!$E$20*(IF(AM56=0,0,INDEX(SUP_C3_EXPANSION!$I$20:$I$59,AM56))-IF(AL56=0,0,INDEX(SUP_C3_EXPANSION!$I$20:$I$59,AL56)))+1*SUP_OPEX!$F$20*(IF(AM56=0,0,INDEX(SUP_C3_EXPANSION!$J$20:$J$59,AM56))-IF(AL56=0,0,INDEX(SUP_C3_EXPANSION!$J$20:$J$59,AL56))))</f>
        <v>-1200</v>
      </c>
      <c r="AP66">
        <f>IF(AP56=AO56,0,2*SUP_OPEX!$D$20*(IF(AP56=0,0,INDEX(SUP_C3_EXPANSION!$H$20:$H$59,AP56))-IF(AO56=0,0,INDEX(SUP_C3_EXPANSION!$H$20:$H$59,AO56)))+2*SUP_OPEX!$E$20*(IF(AP56=0,0,INDEX(SUP_C3_EXPANSION!$I$20:$I$59,AP56))-IF(AO56=0,0,INDEX(SUP_C3_EXPANSION!$I$20:$I$59,AO56)))+2*SUP_OPEX!$F$20*(IF(AP56=0,0,INDEX(SUP_C3_EXPANSION!$J$20:$J$59,AP56))-IF(AO56=0,0,INDEX(SUP_C3_EXPANSION!$J$20:$J$59,AO56))))-IF(AO56=AN56,0,1*SUP_OPEX!$D$20*(IF(AO56=0,0,INDEX(SUP_C3_EXPANSION!$H$20:$H$59,AO56))-IF(AN56=0,0,INDEX(SUP_C3_EXPANSION!$H$20:$H$59,AN56)))+1*SUP_OPEX!$E$20*(IF(AO56=0,0,INDEX(SUP_C3_EXPANSION!$I$20:$I$59,AO56))-IF(AN56=0,0,INDEX(SUP_C3_EXPANSION!$I$20:$I$59,AN56)))+1*SUP_OPEX!$F$20*(IF(AO56=0,0,INDEX(SUP_C3_EXPANSION!$J$20:$J$59,AO56))-IF(AN56=0,0,INDEX(SUP_C3_EXPANSION!$J$20:$J$59,AN56))))-IF(AN56=AM56,0,1*SUP_OPEX!$D$20*(IF(AN56=0,0,INDEX(SUP_C3_EXPANSION!$H$20:$H$59,AN56))-IF(AM56=0,0,INDEX(SUP_C3_EXPANSION!$H$20:$H$59,AM56)))+1*SUP_OPEX!$E$20*(IF(AN56=0,0,INDEX(SUP_C3_EXPANSION!$I$20:$I$59,AN56))-IF(AM56=0,0,INDEX(SUP_C3_EXPANSION!$I$20:$I$59,AM56)))+1*SUP_OPEX!$F$20*(IF(AN56=0,0,INDEX(SUP_C3_EXPANSION!$J$20:$J$59,AN56))-IF(AM56=0,0,INDEX(SUP_C3_EXPANSION!$J$20:$J$59,AM56))))</f>
        <v>0</v>
      </c>
      <c r="AQ66">
        <f>IF(AQ56=AP56,0,2*SUP_OPEX!$D$20*(IF(AQ56=0,0,INDEX(SUP_C3_EXPANSION!$H$20:$H$59,AQ56))-IF(AP56=0,0,INDEX(SUP_C3_EXPANSION!$H$20:$H$59,AP56)))+2*SUP_OPEX!$E$20*(IF(AQ56=0,0,INDEX(SUP_C3_EXPANSION!$I$20:$I$59,AQ56))-IF(AP56=0,0,INDEX(SUP_C3_EXPANSION!$I$20:$I$59,AP56)))+2*SUP_OPEX!$F$20*(IF(AQ56=0,0,INDEX(SUP_C3_EXPANSION!$J$20:$J$59,AQ56))-IF(AP56=0,0,INDEX(SUP_C3_EXPANSION!$J$20:$J$59,AP56))))-IF(AP56=AO56,0,1*SUP_OPEX!$D$20*(IF(AP56=0,0,INDEX(SUP_C3_EXPANSION!$H$20:$H$59,AP56))-IF(AO56=0,0,INDEX(SUP_C3_EXPANSION!$H$20:$H$59,AO56)))+1*SUP_OPEX!$E$20*(IF(AP56=0,0,INDEX(SUP_C3_EXPANSION!$I$20:$I$59,AP56))-IF(AO56=0,0,INDEX(SUP_C3_EXPANSION!$I$20:$I$59,AO56)))+1*SUP_OPEX!$F$20*(IF(AP56=0,0,INDEX(SUP_C3_EXPANSION!$J$20:$J$59,AP56))-IF(AO56=0,0,INDEX(SUP_C3_EXPANSION!$J$20:$J$59,AO56))))-IF(AO56=AN56,0,1*SUP_OPEX!$D$20*(IF(AO56=0,0,INDEX(SUP_C3_EXPANSION!$H$20:$H$59,AO56))-IF(AN56=0,0,INDEX(SUP_C3_EXPANSION!$H$20:$H$59,AN56)))+1*SUP_OPEX!$E$20*(IF(AO56=0,0,INDEX(SUP_C3_EXPANSION!$I$20:$I$59,AO56))-IF(AN56=0,0,INDEX(SUP_C3_EXPANSION!$I$20:$I$59,AN56)))+1*SUP_OPEX!$F$20*(IF(AO56=0,0,INDEX(SUP_C3_EXPANSION!$J$20:$J$59,AO56))-IF(AN56=0,0,INDEX(SUP_C3_EXPANSION!$J$20:$J$59,AN56))))</f>
        <v>-4000</v>
      </c>
      <c r="AR66">
        <f>IF(AR56=AQ56,0,2*SUP_OPEX!$D$20*(IF(AR56=0,0,INDEX(SUP_C3_EXPANSION!$H$20:$H$59,AR56))-IF(AQ56=0,0,INDEX(SUP_C3_EXPANSION!$H$20:$H$59,AQ56)))+2*SUP_OPEX!$E$20*(IF(AR56=0,0,INDEX(SUP_C3_EXPANSION!$I$20:$I$59,AR56))-IF(AQ56=0,0,INDEX(SUP_C3_EXPANSION!$I$20:$I$59,AQ56)))+2*SUP_OPEX!$F$20*(IF(AR56=0,0,INDEX(SUP_C3_EXPANSION!$J$20:$J$59,AR56))-IF(AQ56=0,0,INDEX(SUP_C3_EXPANSION!$J$20:$J$59,AQ56))))-IF(AQ56=AP56,0,1*SUP_OPEX!$D$20*(IF(AQ56=0,0,INDEX(SUP_C3_EXPANSION!$H$20:$H$59,AQ56))-IF(AP56=0,0,INDEX(SUP_C3_EXPANSION!$H$20:$H$59,AP56)))+1*SUP_OPEX!$E$20*(IF(AQ56=0,0,INDEX(SUP_C3_EXPANSION!$I$20:$I$59,AQ56))-IF(AP56=0,0,INDEX(SUP_C3_EXPANSION!$I$20:$I$59,AP56)))+1*SUP_OPEX!$F$20*(IF(AQ56=0,0,INDEX(SUP_C3_EXPANSION!$J$20:$J$59,AQ56))-IF(AP56=0,0,INDEX(SUP_C3_EXPANSION!$J$20:$J$59,AP56))))-IF(AP56=AO56,0,1*SUP_OPEX!$D$20*(IF(AP56=0,0,INDEX(SUP_C3_EXPANSION!$H$20:$H$59,AP56))-IF(AO56=0,0,INDEX(SUP_C3_EXPANSION!$H$20:$H$59,AO56)))+1*SUP_OPEX!$E$20*(IF(AP56=0,0,INDEX(SUP_C3_EXPANSION!$I$20:$I$59,AP56))-IF(AO56=0,0,INDEX(SUP_C3_EXPANSION!$I$20:$I$59,AO56)))+1*SUP_OPEX!$F$20*(IF(AP56=0,0,INDEX(SUP_C3_EXPANSION!$J$20:$J$59,AP56))-IF(AO56=0,0,INDEX(SUP_C3_EXPANSION!$J$20:$J$59,AO56))))</f>
        <v>4400</v>
      </c>
      <c r="AS66">
        <f>IF(AS56=AR56,0,2*SUP_OPEX!$D$20*(IF(AS56=0,0,INDEX(SUP_C3_EXPANSION!$H$20:$H$59,AS56))-IF(AR56=0,0,INDEX(SUP_C3_EXPANSION!$H$20:$H$59,AR56)))+2*SUP_OPEX!$E$20*(IF(AS56=0,0,INDEX(SUP_C3_EXPANSION!$I$20:$I$59,AS56))-IF(AR56=0,0,INDEX(SUP_C3_EXPANSION!$I$20:$I$59,AR56)))+2*SUP_OPEX!$F$20*(IF(AS56=0,0,INDEX(SUP_C3_EXPANSION!$J$20:$J$59,AS56))-IF(AR56=0,0,INDEX(SUP_C3_EXPANSION!$J$20:$J$59,AR56))))-IF(AR56=AQ56,0,1*SUP_OPEX!$D$20*(IF(AR56=0,0,INDEX(SUP_C3_EXPANSION!$H$20:$H$59,AR56))-IF(AQ56=0,0,INDEX(SUP_C3_EXPANSION!$H$20:$H$59,AQ56)))+1*SUP_OPEX!$E$20*(IF(AR56=0,0,INDEX(SUP_C3_EXPANSION!$I$20:$I$59,AR56))-IF(AQ56=0,0,INDEX(SUP_C3_EXPANSION!$I$20:$I$59,AQ56)))+1*SUP_OPEX!$F$20*(IF(AR56=0,0,INDEX(SUP_C3_EXPANSION!$J$20:$J$59,AR56))-IF(AQ56=0,0,INDEX(SUP_C3_EXPANSION!$J$20:$J$59,AQ56))))-IF(AQ56=AP56,0,1*SUP_OPEX!$D$20*(IF(AQ56=0,0,INDEX(SUP_C3_EXPANSION!$H$20:$H$59,AQ56))-IF(AP56=0,0,INDEX(SUP_C3_EXPANSION!$H$20:$H$59,AP56)))+1*SUP_OPEX!$E$20*(IF(AQ56=0,0,INDEX(SUP_C3_EXPANSION!$I$20:$I$59,AQ56))-IF(AP56=0,0,INDEX(SUP_C3_EXPANSION!$I$20:$I$59,AP56)))+1*SUP_OPEX!$F$20*(IF(AQ56=0,0,INDEX(SUP_C3_EXPANSION!$J$20:$J$59,AQ56))-IF(AP56=0,0,INDEX(SUP_C3_EXPANSION!$J$20:$J$59,AP56))))</f>
        <v>-3200</v>
      </c>
      <c r="AT66">
        <f>IF(AT56=AS56,0,2*SUP_OPEX!$D$20*(IF(AT56=0,0,INDEX(SUP_C3_EXPANSION!$H$20:$H$59,AT56))-IF(AS56=0,0,INDEX(SUP_C3_EXPANSION!$H$20:$H$59,AS56)))+2*SUP_OPEX!$E$20*(IF(AT56=0,0,INDEX(SUP_C3_EXPANSION!$I$20:$I$59,AT56))-IF(AS56=0,0,INDEX(SUP_C3_EXPANSION!$I$20:$I$59,AS56)))+2*SUP_OPEX!$F$20*(IF(AT56=0,0,INDEX(SUP_C3_EXPANSION!$J$20:$J$59,AT56))-IF(AS56=0,0,INDEX(SUP_C3_EXPANSION!$J$20:$J$59,AS56))))-IF(AS56=AR56,0,1*SUP_OPEX!$D$20*(IF(AS56=0,0,INDEX(SUP_C3_EXPANSION!$H$20:$H$59,AS56))-IF(AR56=0,0,INDEX(SUP_C3_EXPANSION!$H$20:$H$59,AR56)))+1*SUP_OPEX!$E$20*(IF(AS56=0,0,INDEX(SUP_C3_EXPANSION!$I$20:$I$59,AS56))-IF(AR56=0,0,INDEX(SUP_C3_EXPANSION!$I$20:$I$59,AR56)))+1*SUP_OPEX!$F$20*(IF(AS56=0,0,INDEX(SUP_C3_EXPANSION!$J$20:$J$59,AS56))-IF(AR56=0,0,INDEX(SUP_C3_EXPANSION!$J$20:$J$59,AR56))))-IF(AR56=AQ56,0,1*SUP_OPEX!$D$20*(IF(AR56=0,0,INDEX(SUP_C3_EXPANSION!$H$20:$H$59,AR56))-IF(AQ56=0,0,INDEX(SUP_C3_EXPANSION!$H$20:$H$59,AQ56)))+1*SUP_OPEX!$E$20*(IF(AR56=0,0,INDEX(SUP_C3_EXPANSION!$I$20:$I$59,AR56))-IF(AQ56=0,0,INDEX(SUP_C3_EXPANSION!$I$20:$I$59,AQ56)))+1*SUP_OPEX!$F$20*(IF(AR56=0,0,INDEX(SUP_C3_EXPANSION!$J$20:$J$59,AR56))-IF(AQ56=0,0,INDEX(SUP_C3_EXPANSION!$J$20:$J$59,AQ56))))</f>
        <v>800</v>
      </c>
      <c r="AU66">
        <f>IF(AU56=AT56,0,2*SUP_OPEX!$D$20*(IF(AU56=0,0,INDEX(SUP_C3_EXPANSION!$H$20:$H$59,AU56))-IF(AT56=0,0,INDEX(SUP_C3_EXPANSION!$H$20:$H$59,AT56)))+2*SUP_OPEX!$E$20*(IF(AU56=0,0,INDEX(SUP_C3_EXPANSION!$I$20:$I$59,AU56))-IF(AT56=0,0,INDEX(SUP_C3_EXPANSION!$I$20:$I$59,AT56)))+2*SUP_OPEX!$F$20*(IF(AU56=0,0,INDEX(SUP_C3_EXPANSION!$J$20:$J$59,AU56))-IF(AT56=0,0,INDEX(SUP_C3_EXPANSION!$J$20:$J$59,AT56))))-IF(AT56=AS56,0,1*SUP_OPEX!$D$20*(IF(AT56=0,0,INDEX(SUP_C3_EXPANSION!$H$20:$H$59,AT56))-IF(AS56=0,0,INDEX(SUP_C3_EXPANSION!$H$20:$H$59,AS56)))+1*SUP_OPEX!$E$20*(IF(AT56=0,0,INDEX(SUP_C3_EXPANSION!$I$20:$I$59,AT56))-IF(AS56=0,0,INDEX(SUP_C3_EXPANSION!$I$20:$I$59,AS56)))+1*SUP_OPEX!$F$20*(IF(AT56=0,0,INDEX(SUP_C3_EXPANSION!$J$20:$J$59,AT56))-IF(AS56=0,0,INDEX(SUP_C3_EXPANSION!$J$20:$J$59,AS56))))-IF(AS56=AR56,0,1*SUP_OPEX!$D$20*(IF(AS56=0,0,INDEX(SUP_C3_EXPANSION!$H$20:$H$59,AS56))-IF(AR56=0,0,INDEX(SUP_C3_EXPANSION!$H$20:$H$59,AR56)))+1*SUP_OPEX!$E$20*(IF(AS56=0,0,INDEX(SUP_C3_EXPANSION!$I$20:$I$59,AS56))-IF(AR56=0,0,INDEX(SUP_C3_EXPANSION!$I$20:$I$59,AR56)))+1*SUP_OPEX!$F$20*(IF(AS56=0,0,INDEX(SUP_C3_EXPANSION!$J$20:$J$59,AS56))-IF(AR56=0,0,INDEX(SUP_C3_EXPANSION!$J$20:$J$59,AR56))))</f>
        <v>2000</v>
      </c>
      <c r="AV66">
        <f>IF(AV56=AU56,0,2*SUP_OPEX!$D$20*(IF(AV56=0,0,INDEX(SUP_C3_EXPANSION!$H$20:$H$59,AV56))-IF(AU56=0,0,INDEX(SUP_C3_EXPANSION!$H$20:$H$59,AU56)))+2*SUP_OPEX!$E$20*(IF(AV56=0,0,INDEX(SUP_C3_EXPANSION!$I$20:$I$59,AV56))-IF(AU56=0,0,INDEX(SUP_C3_EXPANSION!$I$20:$I$59,AU56)))+2*SUP_OPEX!$F$20*(IF(AV56=0,0,INDEX(SUP_C3_EXPANSION!$J$20:$J$59,AV56))-IF(AU56=0,0,INDEX(SUP_C3_EXPANSION!$J$20:$J$59,AU56))))-IF(AU56=AT56,0,1*SUP_OPEX!$D$20*(IF(AU56=0,0,INDEX(SUP_C3_EXPANSION!$H$20:$H$59,AU56))-IF(AT56=0,0,INDEX(SUP_C3_EXPANSION!$H$20:$H$59,AT56)))+1*SUP_OPEX!$E$20*(IF(AU56=0,0,INDEX(SUP_C3_EXPANSION!$I$20:$I$59,AU56))-IF(AT56=0,0,INDEX(SUP_C3_EXPANSION!$I$20:$I$59,AT56)))+1*SUP_OPEX!$F$20*(IF(AU56=0,0,INDEX(SUP_C3_EXPANSION!$J$20:$J$59,AU56))-IF(AT56=0,0,INDEX(SUP_C3_EXPANSION!$J$20:$J$59,AT56))))-IF(AT56=AS56,0,1*SUP_OPEX!$D$20*(IF(AT56=0,0,INDEX(SUP_C3_EXPANSION!$H$20:$H$59,AT56))-IF(AS56=0,0,INDEX(SUP_C3_EXPANSION!$H$20:$H$59,AS56)))+1*SUP_OPEX!$E$20*(IF(AT56=0,0,INDEX(SUP_C3_EXPANSION!$I$20:$I$59,AT56))-IF(AS56=0,0,INDEX(SUP_C3_EXPANSION!$I$20:$I$59,AS56)))+1*SUP_OPEX!$F$20*(IF(AT56=0,0,INDEX(SUP_C3_EXPANSION!$J$20:$J$59,AT56))-IF(AS56=0,0,INDEX(SUP_C3_EXPANSION!$J$20:$J$59,AS56))))</f>
        <v>-4000</v>
      </c>
      <c r="AW66">
        <f>IF(AW56=AV56,0,2*SUP_OPEX!$D$20*(IF(AW56=0,0,INDEX(SUP_C3_EXPANSION!$H$20:$H$59,AW56))-IF(AV56=0,0,INDEX(SUP_C3_EXPANSION!$H$20:$H$59,AV56)))+2*SUP_OPEX!$E$20*(IF(AW56=0,0,INDEX(SUP_C3_EXPANSION!$I$20:$I$59,AW56))-IF(AV56=0,0,INDEX(SUP_C3_EXPANSION!$I$20:$I$59,AV56)))+2*SUP_OPEX!$F$20*(IF(AW56=0,0,INDEX(SUP_C3_EXPANSION!$J$20:$J$59,AW56))-IF(AV56=0,0,INDEX(SUP_C3_EXPANSION!$J$20:$J$59,AV56))))-IF(AV56=AU56,0,1*SUP_OPEX!$D$20*(IF(AV56=0,0,INDEX(SUP_C3_EXPANSION!$H$20:$H$59,AV56))-IF(AU56=0,0,INDEX(SUP_C3_EXPANSION!$H$20:$H$59,AU56)))+1*SUP_OPEX!$E$20*(IF(AV56=0,0,INDEX(SUP_C3_EXPANSION!$I$20:$I$59,AV56))-IF(AU56=0,0,INDEX(SUP_C3_EXPANSION!$I$20:$I$59,AU56)))+1*SUP_OPEX!$F$20*(IF(AV56=0,0,INDEX(SUP_C3_EXPANSION!$J$20:$J$59,AV56))-IF(AU56=0,0,INDEX(SUP_C3_EXPANSION!$J$20:$J$59,AU56))))-IF(AU56=AT56,0,1*SUP_OPEX!$D$20*(IF(AU56=0,0,INDEX(SUP_C3_EXPANSION!$H$20:$H$59,AU56))-IF(AT56=0,0,INDEX(SUP_C3_EXPANSION!$H$20:$H$59,AT56)))+1*SUP_OPEX!$E$20*(IF(AU56=0,0,INDEX(SUP_C3_EXPANSION!$I$20:$I$59,AU56))-IF(AT56=0,0,INDEX(SUP_C3_EXPANSION!$I$20:$I$59,AT56)))+1*SUP_OPEX!$F$20*(IF(AU56=0,0,INDEX(SUP_C3_EXPANSION!$J$20:$J$59,AU56))-IF(AT56=0,0,INDEX(SUP_C3_EXPANSION!$J$20:$J$59,AT56))))</f>
        <v>-2000</v>
      </c>
      <c r="AX66">
        <f>IF(AX56=AW56,0,2*SUP_OPEX!$D$20*(IF(AX56=0,0,INDEX(SUP_C3_EXPANSION!$H$20:$H$59,AX56))-IF(AW56=0,0,INDEX(SUP_C3_EXPANSION!$H$20:$H$59,AW56)))+2*SUP_OPEX!$E$20*(IF(AX56=0,0,INDEX(SUP_C3_EXPANSION!$I$20:$I$59,AX56))-IF(AW56=0,0,INDEX(SUP_C3_EXPANSION!$I$20:$I$59,AW56)))+2*SUP_OPEX!$F$20*(IF(AX56=0,0,INDEX(SUP_C3_EXPANSION!$J$20:$J$59,AX56))-IF(AW56=0,0,INDEX(SUP_C3_EXPANSION!$J$20:$J$59,AW56))))-IF(AW56=AV56,0,1*SUP_OPEX!$D$20*(IF(AW56=0,0,INDEX(SUP_C3_EXPANSION!$H$20:$H$59,AW56))-IF(AV56=0,0,INDEX(SUP_C3_EXPANSION!$H$20:$H$59,AV56)))+1*SUP_OPEX!$E$20*(IF(AW56=0,0,INDEX(SUP_C3_EXPANSION!$I$20:$I$59,AW56))-IF(AV56=0,0,INDEX(SUP_C3_EXPANSION!$I$20:$I$59,AV56)))+1*SUP_OPEX!$F$20*(IF(AW56=0,0,INDEX(SUP_C3_EXPANSION!$J$20:$J$59,AW56))-IF(AV56=0,0,INDEX(SUP_C3_EXPANSION!$J$20:$J$59,AV56))))-IF(AV56=AU56,0,1*SUP_OPEX!$D$20*(IF(AV56=0,0,INDEX(SUP_C3_EXPANSION!$H$20:$H$59,AV56))-IF(AU56=0,0,INDEX(SUP_C3_EXPANSION!$H$20:$H$59,AU56)))+1*SUP_OPEX!$E$20*(IF(AV56=0,0,INDEX(SUP_C3_EXPANSION!$I$20:$I$59,AV56))-IF(AU56=0,0,INDEX(SUP_C3_EXPANSION!$I$20:$I$59,AU56)))+1*SUP_OPEX!$F$20*(IF(AV56=0,0,INDEX(SUP_C3_EXPANSION!$J$20:$J$59,AV56))-IF(AU56=0,0,INDEX(SUP_C3_EXPANSION!$J$20:$J$59,AU56))))</f>
        <v>0</v>
      </c>
      <c r="AY66">
        <f>IF(AY56=AX56,0,2*SUP_OPEX!$D$20*(IF(AY56=0,0,INDEX(SUP_C3_EXPANSION!$H$20:$H$59,AY56))-IF(AX56=0,0,INDEX(SUP_C3_EXPANSION!$H$20:$H$59,AX56)))+2*SUP_OPEX!$E$20*(IF(AY56=0,0,INDEX(SUP_C3_EXPANSION!$I$20:$I$59,AY56))-IF(AX56=0,0,INDEX(SUP_C3_EXPANSION!$I$20:$I$59,AX56)))+2*SUP_OPEX!$F$20*(IF(AY56=0,0,INDEX(SUP_C3_EXPANSION!$J$20:$J$59,AY56))-IF(AX56=0,0,INDEX(SUP_C3_EXPANSION!$J$20:$J$59,AX56))))-IF(AX56=AW56,0,1*SUP_OPEX!$D$20*(IF(AX56=0,0,INDEX(SUP_C3_EXPANSION!$H$20:$H$59,AX56))-IF(AW56=0,0,INDEX(SUP_C3_EXPANSION!$H$20:$H$59,AW56)))+1*SUP_OPEX!$E$20*(IF(AX56=0,0,INDEX(SUP_C3_EXPANSION!$I$20:$I$59,AX56))-IF(AW56=0,0,INDEX(SUP_C3_EXPANSION!$I$20:$I$59,AW56)))+1*SUP_OPEX!$F$20*(IF(AX56=0,0,INDEX(SUP_C3_EXPANSION!$J$20:$J$59,AX56))-IF(AW56=0,0,INDEX(SUP_C3_EXPANSION!$J$20:$J$59,AW56))))-IF(AW56=AV56,0,1*SUP_OPEX!$D$20*(IF(AW56=0,0,INDEX(SUP_C3_EXPANSION!$H$20:$H$59,AW56))-IF(AV56=0,0,INDEX(SUP_C3_EXPANSION!$H$20:$H$59,AV56)))+1*SUP_OPEX!$E$20*(IF(AW56=0,0,INDEX(SUP_C3_EXPANSION!$I$20:$I$59,AW56))-IF(AV56=0,0,INDEX(SUP_C3_EXPANSION!$I$20:$I$59,AV56)))+1*SUP_OPEX!$F$20*(IF(AW56=0,0,INDEX(SUP_C3_EXPANSION!$J$20:$J$59,AW56))-IF(AV56=0,0,INDEX(SUP_C3_EXPANSION!$J$20:$J$59,AV56))))</f>
        <v>0</v>
      </c>
      <c r="AZ66">
        <f>IF(AZ56=AY56,0,2*SUP_OPEX!$D$20*(IF(AZ56=0,0,INDEX(SUP_C3_EXPANSION!$H$20:$H$59,AZ56))-IF(AY56=0,0,INDEX(SUP_C3_EXPANSION!$H$20:$H$59,AY56)))+2*SUP_OPEX!$E$20*(IF(AZ56=0,0,INDEX(SUP_C3_EXPANSION!$I$20:$I$59,AZ56))-IF(AY56=0,0,INDEX(SUP_C3_EXPANSION!$I$20:$I$59,AY56)))+2*SUP_OPEX!$F$20*(IF(AZ56=0,0,INDEX(SUP_C3_EXPANSION!$J$20:$J$59,AZ56))-IF(AY56=0,0,INDEX(SUP_C3_EXPANSION!$J$20:$J$59,AY56))))-IF(AY56=AX56,0,1*SUP_OPEX!$D$20*(IF(AY56=0,0,INDEX(SUP_C3_EXPANSION!$H$20:$H$59,AY56))-IF(AX56=0,0,INDEX(SUP_C3_EXPANSION!$H$20:$H$59,AX56)))+1*SUP_OPEX!$E$20*(IF(AY56=0,0,INDEX(SUP_C3_EXPANSION!$I$20:$I$59,AY56))-IF(AX56=0,0,INDEX(SUP_C3_EXPANSION!$I$20:$I$59,AX56)))+1*SUP_OPEX!$F$20*(IF(AY56=0,0,INDEX(SUP_C3_EXPANSION!$J$20:$J$59,AY56))-IF(AX56=0,0,INDEX(SUP_C3_EXPANSION!$J$20:$J$59,AX56))))-IF(AX56=AW56,0,1*SUP_OPEX!$D$20*(IF(AX56=0,0,INDEX(SUP_C3_EXPANSION!$H$20:$H$59,AX56))-IF(AW56=0,0,INDEX(SUP_C3_EXPANSION!$H$20:$H$59,AW56)))+1*SUP_OPEX!$E$20*(IF(AX56=0,0,INDEX(SUP_C3_EXPANSION!$I$20:$I$59,AX56))-IF(AW56=0,0,INDEX(SUP_C3_EXPANSION!$I$20:$I$59,AW56)))+1*SUP_OPEX!$F$20*(IF(AX56=0,0,INDEX(SUP_C3_EXPANSION!$J$20:$J$59,AX56))-IF(AW56=0,0,INDEX(SUP_C3_EXPANSION!$J$20:$J$59,AW56))))</f>
        <v>0</v>
      </c>
      <c r="BA66">
        <f>IF(BA56=AZ56,0,2*SUP_OPEX!$D$20*(IF(BA56=0,0,INDEX(SUP_C3_EXPANSION!$H$20:$H$59,BA56))-IF(AZ56=0,0,INDEX(SUP_C3_EXPANSION!$H$20:$H$59,AZ56)))+2*SUP_OPEX!$E$20*(IF(BA56=0,0,INDEX(SUP_C3_EXPANSION!$I$20:$I$59,BA56))-IF(AZ56=0,0,INDEX(SUP_C3_EXPANSION!$I$20:$I$59,AZ56)))+2*SUP_OPEX!$F$20*(IF(BA56=0,0,INDEX(SUP_C3_EXPANSION!$J$20:$J$59,BA56))-IF(AZ56=0,0,INDEX(SUP_C3_EXPANSION!$J$20:$J$59,AZ56))))-IF(AZ56=AY56,0,1*SUP_OPEX!$D$20*(IF(AZ56=0,0,INDEX(SUP_C3_EXPANSION!$H$20:$H$59,AZ56))-IF(AY56=0,0,INDEX(SUP_C3_EXPANSION!$H$20:$H$59,AY56)))+1*SUP_OPEX!$E$20*(IF(AZ56=0,0,INDEX(SUP_C3_EXPANSION!$I$20:$I$59,AZ56))-IF(AY56=0,0,INDEX(SUP_C3_EXPANSION!$I$20:$I$59,AY56)))+1*SUP_OPEX!$F$20*(IF(AZ56=0,0,INDEX(SUP_C3_EXPANSION!$J$20:$J$59,AZ56))-IF(AY56=0,0,INDEX(SUP_C3_EXPANSION!$J$20:$J$59,AY56))))-IF(AY56=AX56,0,1*SUP_OPEX!$D$20*(IF(AY56=0,0,INDEX(SUP_C3_EXPANSION!$H$20:$H$59,AY56))-IF(AX56=0,0,INDEX(SUP_C3_EXPANSION!$H$20:$H$59,AX56)))+1*SUP_OPEX!$E$20*(IF(AY56=0,0,INDEX(SUP_C3_EXPANSION!$I$20:$I$59,AY56))-IF(AX56=0,0,INDEX(SUP_C3_EXPANSION!$I$20:$I$59,AX56)))+1*SUP_OPEX!$F$20*(IF(AY56=0,0,INDEX(SUP_C3_EXPANSION!$J$20:$J$59,AY56))-IF(AX56=0,0,INDEX(SUP_C3_EXPANSION!$J$20:$J$59,AX56))))</f>
        <v>0</v>
      </c>
      <c r="BB66">
        <f>IF(BB56=BA56,0,2*SUP_OPEX!$D$20*(IF(BB56=0,0,INDEX(SUP_C3_EXPANSION!$H$20:$H$59,BB56))-IF(BA56=0,0,INDEX(SUP_C3_EXPANSION!$H$20:$H$59,BA56)))+2*SUP_OPEX!$E$20*(IF(BB56=0,0,INDEX(SUP_C3_EXPANSION!$I$20:$I$59,BB56))-IF(BA56=0,0,INDEX(SUP_C3_EXPANSION!$I$20:$I$59,BA56)))+2*SUP_OPEX!$F$20*(IF(BB56=0,0,INDEX(SUP_C3_EXPANSION!$J$20:$J$59,BB56))-IF(BA56=0,0,INDEX(SUP_C3_EXPANSION!$J$20:$J$59,BA56))))-IF(BA56=AZ56,0,1*SUP_OPEX!$D$20*(IF(BA56=0,0,INDEX(SUP_C3_EXPANSION!$H$20:$H$59,BA56))-IF(AZ56=0,0,INDEX(SUP_C3_EXPANSION!$H$20:$H$59,AZ56)))+1*SUP_OPEX!$E$20*(IF(BA56=0,0,INDEX(SUP_C3_EXPANSION!$I$20:$I$59,BA56))-IF(AZ56=0,0,INDEX(SUP_C3_EXPANSION!$I$20:$I$59,AZ56)))+1*SUP_OPEX!$F$20*(IF(BA56=0,0,INDEX(SUP_C3_EXPANSION!$J$20:$J$59,BA56))-IF(AZ56=0,0,INDEX(SUP_C3_EXPANSION!$J$20:$J$59,AZ56))))-IF(AZ56=AY56,0,1*SUP_OPEX!$D$20*(IF(AZ56=0,0,INDEX(SUP_C3_EXPANSION!$H$20:$H$59,AZ56))-IF(AY56=0,0,INDEX(SUP_C3_EXPANSION!$H$20:$H$59,AY56)))+1*SUP_OPEX!$E$20*(IF(AZ56=0,0,INDEX(SUP_C3_EXPANSION!$I$20:$I$59,AZ56))-IF(AY56=0,0,INDEX(SUP_C3_EXPANSION!$I$20:$I$59,AY56)))+1*SUP_OPEX!$F$20*(IF(AZ56=0,0,INDEX(SUP_C3_EXPANSION!$J$20:$J$59,AZ56))-IF(AY56=0,0,INDEX(SUP_C3_EXPANSION!$J$20:$J$59,AY56))))</f>
        <v>0</v>
      </c>
      <c r="BC66">
        <f>IF(BC56=BB56,0,2*SUP_OPEX!$D$20*(IF(BC56=0,0,INDEX(SUP_C3_EXPANSION!$H$20:$H$59,BC56))-IF(BB56=0,0,INDEX(SUP_C3_EXPANSION!$H$20:$H$59,BB56)))+2*SUP_OPEX!$E$20*(IF(BC56=0,0,INDEX(SUP_C3_EXPANSION!$I$20:$I$59,BC56))-IF(BB56=0,0,INDEX(SUP_C3_EXPANSION!$I$20:$I$59,BB56)))+2*SUP_OPEX!$F$20*(IF(BC56=0,0,INDEX(SUP_C3_EXPANSION!$J$20:$J$59,BC56))-IF(BB56=0,0,INDEX(SUP_C3_EXPANSION!$J$20:$J$59,BB56))))-IF(BB56=BA56,0,1*SUP_OPEX!$D$20*(IF(BB56=0,0,INDEX(SUP_C3_EXPANSION!$H$20:$H$59,BB56))-IF(BA56=0,0,INDEX(SUP_C3_EXPANSION!$H$20:$H$59,BA56)))+1*SUP_OPEX!$E$20*(IF(BB56=0,0,INDEX(SUP_C3_EXPANSION!$I$20:$I$59,BB56))-IF(BA56=0,0,INDEX(SUP_C3_EXPANSION!$I$20:$I$59,BA56)))+1*SUP_OPEX!$F$20*(IF(BB56=0,0,INDEX(SUP_C3_EXPANSION!$J$20:$J$59,BB56))-IF(BA56=0,0,INDEX(SUP_C3_EXPANSION!$J$20:$J$59,BA56))))-IF(BA56=AZ56,0,1*SUP_OPEX!$D$20*(IF(BA56=0,0,INDEX(SUP_C3_EXPANSION!$H$20:$H$59,BA56))-IF(AZ56=0,0,INDEX(SUP_C3_EXPANSION!$H$20:$H$59,AZ56)))+1*SUP_OPEX!$E$20*(IF(BA56=0,0,INDEX(SUP_C3_EXPANSION!$I$20:$I$59,BA56))-IF(AZ56=0,0,INDEX(SUP_C3_EXPANSION!$I$20:$I$59,AZ56)))+1*SUP_OPEX!$F$20*(IF(BA56=0,0,INDEX(SUP_C3_EXPANSION!$J$20:$J$59,BA56))-IF(AZ56=0,0,INDEX(SUP_C3_EXPANSION!$J$20:$J$59,AZ56))))</f>
        <v>0</v>
      </c>
      <c r="BD66">
        <f>IF(BD56=BC56,0,2*SUP_OPEX!$D$20*(IF(BD56=0,0,INDEX(SUP_C3_EXPANSION!$H$20:$H$59,BD56))-IF(BC56=0,0,INDEX(SUP_C3_EXPANSION!$H$20:$H$59,BC56)))+2*SUP_OPEX!$E$20*(IF(BD56=0,0,INDEX(SUP_C3_EXPANSION!$I$20:$I$59,BD56))-IF(BC56=0,0,INDEX(SUP_C3_EXPANSION!$I$20:$I$59,BC56)))+2*SUP_OPEX!$F$20*(IF(BD56=0,0,INDEX(SUP_C3_EXPANSION!$J$20:$J$59,BD56))-IF(BC56=0,0,INDEX(SUP_C3_EXPANSION!$J$20:$J$59,BC56))))-IF(BC56=BB56,0,1*SUP_OPEX!$D$20*(IF(BC56=0,0,INDEX(SUP_C3_EXPANSION!$H$20:$H$59,BC56))-IF(BB56=0,0,INDEX(SUP_C3_EXPANSION!$H$20:$H$59,BB56)))+1*SUP_OPEX!$E$20*(IF(BC56=0,0,INDEX(SUP_C3_EXPANSION!$I$20:$I$59,BC56))-IF(BB56=0,0,INDEX(SUP_C3_EXPANSION!$I$20:$I$59,BB56)))+1*SUP_OPEX!$F$20*(IF(BC56=0,0,INDEX(SUP_C3_EXPANSION!$J$20:$J$59,BC56))-IF(BB56=0,0,INDEX(SUP_C3_EXPANSION!$J$20:$J$59,BB56))))-IF(BB56=BA56,0,1*SUP_OPEX!$D$20*(IF(BB56=0,0,INDEX(SUP_C3_EXPANSION!$H$20:$H$59,BB56))-IF(BA56=0,0,INDEX(SUP_C3_EXPANSION!$H$20:$H$59,BA56)))+1*SUP_OPEX!$E$20*(IF(BB56=0,0,INDEX(SUP_C3_EXPANSION!$I$20:$I$59,BB56))-IF(BA56=0,0,INDEX(SUP_C3_EXPANSION!$I$20:$I$59,BA56)))+1*SUP_OPEX!$F$20*(IF(BB56=0,0,INDEX(SUP_C3_EXPANSION!$J$20:$J$59,BB56))-IF(BA56=0,0,INDEX(SUP_C3_EXPANSION!$J$20:$J$59,BA56))))</f>
        <v>20000</v>
      </c>
      <c r="BE66">
        <f>IF(BE56=BD56,0,2*SUP_OPEX!$D$20*(IF(BE56=0,0,INDEX(SUP_C3_EXPANSION!$H$20:$H$59,BE56))-IF(BD56=0,0,INDEX(SUP_C3_EXPANSION!$H$20:$H$59,BD56)))+2*SUP_OPEX!$E$20*(IF(BE56=0,0,INDEX(SUP_C3_EXPANSION!$I$20:$I$59,BE56))-IF(BD56=0,0,INDEX(SUP_C3_EXPANSION!$I$20:$I$59,BD56)))+2*SUP_OPEX!$F$20*(IF(BE56=0,0,INDEX(SUP_C3_EXPANSION!$J$20:$J$59,BE56))-IF(BD56=0,0,INDEX(SUP_C3_EXPANSION!$J$20:$J$59,BD56))))-IF(BD56=BC56,0,1*SUP_OPEX!$D$20*(IF(BD56=0,0,INDEX(SUP_C3_EXPANSION!$H$20:$H$59,BD56))-IF(BC56=0,0,INDEX(SUP_C3_EXPANSION!$H$20:$H$59,BC56)))+1*SUP_OPEX!$E$20*(IF(BD56=0,0,INDEX(SUP_C3_EXPANSION!$I$20:$I$59,BD56))-IF(BC56=0,0,INDEX(SUP_C3_EXPANSION!$I$20:$I$59,BC56)))+1*SUP_OPEX!$F$20*(IF(BD56=0,0,INDEX(SUP_C3_EXPANSION!$J$20:$J$59,BD56))-IF(BC56=0,0,INDEX(SUP_C3_EXPANSION!$J$20:$J$59,BC56))))-IF(BC56=BB56,0,1*SUP_OPEX!$D$20*(IF(BC56=0,0,INDEX(SUP_C3_EXPANSION!$H$20:$H$59,BC56))-IF(BB56=0,0,INDEX(SUP_C3_EXPANSION!$H$20:$H$59,BB56)))+1*SUP_OPEX!$E$20*(IF(BC56=0,0,INDEX(SUP_C3_EXPANSION!$I$20:$I$59,BC56))-IF(BB56=0,0,INDEX(SUP_C3_EXPANSION!$I$20:$I$59,BB56)))+1*SUP_OPEX!$F$20*(IF(BC56=0,0,INDEX(SUP_C3_EXPANSION!$J$20:$J$59,BC56))-IF(BB56=0,0,INDEX(SUP_C3_EXPANSION!$J$20:$J$59,BB56))))</f>
        <v>-6000</v>
      </c>
      <c r="BF66">
        <f>IF(BF56=BE56,0,2*SUP_OPEX!$D$20*(IF(BF56=0,0,INDEX(SUP_C3_EXPANSION!$H$20:$H$59,BF56))-IF(BE56=0,0,INDEX(SUP_C3_EXPANSION!$H$20:$H$59,BE56)))+2*SUP_OPEX!$E$20*(IF(BF56=0,0,INDEX(SUP_C3_EXPANSION!$I$20:$I$59,BF56))-IF(BE56=0,0,INDEX(SUP_C3_EXPANSION!$I$20:$I$59,BE56)))+2*SUP_OPEX!$F$20*(IF(BF56=0,0,INDEX(SUP_C3_EXPANSION!$J$20:$J$59,BF56))-IF(BE56=0,0,INDEX(SUP_C3_EXPANSION!$J$20:$J$59,BE56))))-IF(BE56=BD56,0,1*SUP_OPEX!$D$20*(IF(BE56=0,0,INDEX(SUP_C3_EXPANSION!$H$20:$H$59,BE56))-IF(BD56=0,0,INDEX(SUP_C3_EXPANSION!$H$20:$H$59,BD56)))+1*SUP_OPEX!$E$20*(IF(BE56=0,0,INDEX(SUP_C3_EXPANSION!$I$20:$I$59,BE56))-IF(BD56=0,0,INDEX(SUP_C3_EXPANSION!$I$20:$I$59,BD56)))+1*SUP_OPEX!$F$20*(IF(BE56=0,0,INDEX(SUP_C3_EXPANSION!$J$20:$J$59,BE56))-IF(BD56=0,0,INDEX(SUP_C3_EXPANSION!$J$20:$J$59,BD56))))-IF(BD56=BC56,0,1*SUP_OPEX!$D$20*(IF(BD56=0,0,INDEX(SUP_C3_EXPANSION!$H$20:$H$59,BD56))-IF(BC56=0,0,INDEX(SUP_C3_EXPANSION!$H$20:$H$59,BC56)))+1*SUP_OPEX!$E$20*(IF(BD56=0,0,INDEX(SUP_C3_EXPANSION!$I$20:$I$59,BD56))-IF(BC56=0,0,INDEX(SUP_C3_EXPANSION!$I$20:$I$59,BC56)))+1*SUP_OPEX!$F$20*(IF(BD56=0,0,INDEX(SUP_C3_EXPANSION!$J$20:$J$59,BD56))-IF(BC56=0,0,INDEX(SUP_C3_EXPANSION!$J$20:$J$59,BC56))))</f>
        <v>-5600</v>
      </c>
      <c r="BG66">
        <f>IF(BG56=BF56,0,2*SUP_OPEX!$D$20*(IF(BG56=0,0,INDEX(SUP_C3_EXPANSION!$H$20:$H$59,BG56))-IF(BF56=0,0,INDEX(SUP_C3_EXPANSION!$H$20:$H$59,BF56)))+2*SUP_OPEX!$E$20*(IF(BG56=0,0,INDEX(SUP_C3_EXPANSION!$I$20:$I$59,BG56))-IF(BF56=0,0,INDEX(SUP_C3_EXPANSION!$I$20:$I$59,BF56)))+2*SUP_OPEX!$F$20*(IF(BG56=0,0,INDEX(SUP_C3_EXPANSION!$J$20:$J$59,BG56))-IF(BF56=0,0,INDEX(SUP_C3_EXPANSION!$J$20:$J$59,BF56))))-IF(BF56=BE56,0,1*SUP_OPEX!$D$20*(IF(BF56=0,0,INDEX(SUP_C3_EXPANSION!$H$20:$H$59,BF56))-IF(BE56=0,0,INDEX(SUP_C3_EXPANSION!$H$20:$H$59,BE56)))+1*SUP_OPEX!$E$20*(IF(BF56=0,0,INDEX(SUP_C3_EXPANSION!$I$20:$I$59,BF56))-IF(BE56=0,0,INDEX(SUP_C3_EXPANSION!$I$20:$I$59,BE56)))+1*SUP_OPEX!$F$20*(IF(BF56=0,0,INDEX(SUP_C3_EXPANSION!$J$20:$J$59,BF56))-IF(BE56=0,0,INDEX(SUP_C3_EXPANSION!$J$20:$J$59,BE56))))-IF(BE56=BD56,0,1*SUP_OPEX!$D$20*(IF(BE56=0,0,INDEX(SUP_C3_EXPANSION!$H$20:$H$59,BE56))-IF(BD56=0,0,INDEX(SUP_C3_EXPANSION!$H$20:$H$59,BD56)))+1*SUP_OPEX!$E$20*(IF(BE56=0,0,INDEX(SUP_C3_EXPANSION!$I$20:$I$59,BE56))-IF(BD56=0,0,INDEX(SUP_C3_EXPANSION!$I$20:$I$59,BD56)))+1*SUP_OPEX!$F$20*(IF(BE56=0,0,INDEX(SUP_C3_EXPANSION!$J$20:$J$59,BE56))-IF(BD56=0,0,INDEX(SUP_C3_EXPANSION!$J$20:$J$59,BD56))))</f>
        <v>-1200</v>
      </c>
      <c r="BH66">
        <f>IF(BH56=BG56,0,2*SUP_OPEX!$D$20*(IF(BH56=0,0,INDEX(SUP_C3_EXPANSION!$H$20:$H$59,BH56))-IF(BG56=0,0,INDEX(SUP_C3_EXPANSION!$H$20:$H$59,BG56)))+2*SUP_OPEX!$E$20*(IF(BH56=0,0,INDEX(SUP_C3_EXPANSION!$I$20:$I$59,BH56))-IF(BG56=0,0,INDEX(SUP_C3_EXPANSION!$I$20:$I$59,BG56)))+2*SUP_OPEX!$F$20*(IF(BH56=0,0,INDEX(SUP_C3_EXPANSION!$J$20:$J$59,BH56))-IF(BG56=0,0,INDEX(SUP_C3_EXPANSION!$J$20:$J$59,BG56))))-IF(BG56=BF56,0,1*SUP_OPEX!$D$20*(IF(BG56=0,0,INDEX(SUP_C3_EXPANSION!$H$20:$H$59,BG56))-IF(BF56=0,0,INDEX(SUP_C3_EXPANSION!$H$20:$H$59,BF56)))+1*SUP_OPEX!$E$20*(IF(BG56=0,0,INDEX(SUP_C3_EXPANSION!$I$20:$I$59,BG56))-IF(BF56=0,0,INDEX(SUP_C3_EXPANSION!$I$20:$I$59,BF56)))+1*SUP_OPEX!$F$20*(IF(BG56=0,0,INDEX(SUP_C3_EXPANSION!$J$20:$J$59,BG56))-IF(BF56=0,0,INDEX(SUP_C3_EXPANSION!$J$20:$J$59,BF56))))-IF(BF56=BE56,0,1*SUP_OPEX!$D$20*(IF(BF56=0,0,INDEX(SUP_C3_EXPANSION!$H$20:$H$59,BF56))-IF(BE56=0,0,INDEX(SUP_C3_EXPANSION!$H$20:$H$59,BE56)))+1*SUP_OPEX!$E$20*(IF(BF56=0,0,INDEX(SUP_C3_EXPANSION!$I$20:$I$59,BF56))-IF(BE56=0,0,INDEX(SUP_C3_EXPANSION!$I$20:$I$59,BE56)))+1*SUP_OPEX!$F$20*(IF(BF56=0,0,INDEX(SUP_C3_EXPANSION!$J$20:$J$59,BF56))-IF(BE56=0,0,INDEX(SUP_C3_EXPANSION!$J$20:$J$59,BE56))))</f>
        <v>-1200</v>
      </c>
      <c r="BI66">
        <f>IF(BI56=BH56,0,2*SUP_OPEX!$D$20*(IF(BI56=0,0,INDEX(SUP_C3_EXPANSION!$H$20:$H$59,BI56))-IF(BH56=0,0,INDEX(SUP_C3_EXPANSION!$H$20:$H$59,BH56)))+2*SUP_OPEX!$E$20*(IF(BI56=0,0,INDEX(SUP_C3_EXPANSION!$I$20:$I$59,BI56))-IF(BH56=0,0,INDEX(SUP_C3_EXPANSION!$I$20:$I$59,BH56)))+2*SUP_OPEX!$F$20*(IF(BI56=0,0,INDEX(SUP_C3_EXPANSION!$J$20:$J$59,BI56))-IF(BH56=0,0,INDEX(SUP_C3_EXPANSION!$J$20:$J$59,BH56))))-IF(BH56=BG56,0,1*SUP_OPEX!$D$20*(IF(BH56=0,0,INDEX(SUP_C3_EXPANSION!$H$20:$H$59,BH56))-IF(BG56=0,0,INDEX(SUP_C3_EXPANSION!$H$20:$H$59,BG56)))+1*SUP_OPEX!$E$20*(IF(BH56=0,0,INDEX(SUP_C3_EXPANSION!$I$20:$I$59,BH56))-IF(BG56=0,0,INDEX(SUP_C3_EXPANSION!$I$20:$I$59,BG56)))+1*SUP_OPEX!$F$20*(IF(BH56=0,0,INDEX(SUP_C3_EXPANSION!$J$20:$J$59,BH56))-IF(BG56=0,0,INDEX(SUP_C3_EXPANSION!$J$20:$J$59,BG56))))-IF(BG56=BF56,0,1*SUP_OPEX!$D$20*(IF(BG56=0,0,INDEX(SUP_C3_EXPANSION!$H$20:$H$59,BG56))-IF(BF56=0,0,INDEX(SUP_C3_EXPANSION!$H$20:$H$59,BF56)))+1*SUP_OPEX!$E$20*(IF(BG56=0,0,INDEX(SUP_C3_EXPANSION!$I$20:$I$59,BG56))-IF(BF56=0,0,INDEX(SUP_C3_EXPANSION!$I$20:$I$59,BF56)))+1*SUP_OPEX!$F$20*(IF(BG56=0,0,INDEX(SUP_C3_EXPANSION!$J$20:$J$59,BG56))-IF(BF56=0,0,INDEX(SUP_C3_EXPANSION!$J$20:$J$59,BF56))))</f>
        <v>0</v>
      </c>
      <c r="BJ66">
        <f>IF(BJ56=BI56,0,2*SUP_OPEX!$D$20*(IF(BJ56=0,0,INDEX(SUP_C3_EXPANSION!$H$20:$H$59,BJ56))-IF(BI56=0,0,INDEX(SUP_C3_EXPANSION!$H$20:$H$59,BI56)))+2*SUP_OPEX!$E$20*(IF(BJ56=0,0,INDEX(SUP_C3_EXPANSION!$I$20:$I$59,BJ56))-IF(BI56=0,0,INDEX(SUP_C3_EXPANSION!$I$20:$I$59,BI56)))+2*SUP_OPEX!$F$20*(IF(BJ56=0,0,INDEX(SUP_C3_EXPANSION!$J$20:$J$59,BJ56))-IF(BI56=0,0,INDEX(SUP_C3_EXPANSION!$J$20:$J$59,BI56))))-IF(BI56=BH56,0,1*SUP_OPEX!$D$20*(IF(BI56=0,0,INDEX(SUP_C3_EXPANSION!$H$20:$H$59,BI56))-IF(BH56=0,0,INDEX(SUP_C3_EXPANSION!$H$20:$H$59,BH56)))+1*SUP_OPEX!$E$20*(IF(BI56=0,0,INDEX(SUP_C3_EXPANSION!$I$20:$I$59,BI56))-IF(BH56=0,0,INDEX(SUP_C3_EXPANSION!$I$20:$I$59,BH56)))+1*SUP_OPEX!$F$20*(IF(BI56=0,0,INDEX(SUP_C3_EXPANSION!$J$20:$J$59,BI56))-IF(BH56=0,0,INDEX(SUP_C3_EXPANSION!$J$20:$J$59,BH56))))-IF(BH56=BG56,0,1*SUP_OPEX!$D$20*(IF(BH56=0,0,INDEX(SUP_C3_EXPANSION!$H$20:$H$59,BH56))-IF(BG56=0,0,INDEX(SUP_C3_EXPANSION!$H$20:$H$59,BG56)))+1*SUP_OPEX!$E$20*(IF(BH56=0,0,INDEX(SUP_C3_EXPANSION!$I$20:$I$59,BH56))-IF(BG56=0,0,INDEX(SUP_C3_EXPANSION!$I$20:$I$59,BG56)))+1*SUP_OPEX!$F$20*(IF(BH56=0,0,INDEX(SUP_C3_EXPANSION!$J$20:$J$59,BH56))-IF(BG56=0,0,INDEX(SUP_C3_EXPANSION!$J$20:$J$59,BG56))))</f>
        <v>2400</v>
      </c>
      <c r="BK66">
        <f>IF(BK56=BJ56,0,2*SUP_OPEX!$D$20*(IF(BK56=0,0,INDEX(SUP_C3_EXPANSION!$H$20:$H$59,BK56))-IF(BJ56=0,0,INDEX(SUP_C3_EXPANSION!$H$20:$H$59,BJ56)))+2*SUP_OPEX!$E$20*(IF(BK56=0,0,INDEX(SUP_C3_EXPANSION!$I$20:$I$59,BK56))-IF(BJ56=0,0,INDEX(SUP_C3_EXPANSION!$I$20:$I$59,BJ56)))+2*SUP_OPEX!$F$20*(IF(BK56=0,0,INDEX(SUP_C3_EXPANSION!$J$20:$J$59,BK56))-IF(BJ56=0,0,INDEX(SUP_C3_EXPANSION!$J$20:$J$59,BJ56))))-IF(BJ56=BI56,0,1*SUP_OPEX!$D$20*(IF(BJ56=0,0,INDEX(SUP_C3_EXPANSION!$H$20:$H$59,BJ56))-IF(BI56=0,0,INDEX(SUP_C3_EXPANSION!$H$20:$H$59,BI56)))+1*SUP_OPEX!$E$20*(IF(BJ56=0,0,INDEX(SUP_C3_EXPANSION!$I$20:$I$59,BJ56))-IF(BI56=0,0,INDEX(SUP_C3_EXPANSION!$I$20:$I$59,BI56)))+1*SUP_OPEX!$F$20*(IF(BJ56=0,0,INDEX(SUP_C3_EXPANSION!$J$20:$J$59,BJ56))-IF(BI56=0,0,INDEX(SUP_C3_EXPANSION!$J$20:$J$59,BI56))))-IF(BI56=BH56,0,1*SUP_OPEX!$D$20*(IF(BI56=0,0,INDEX(SUP_C3_EXPANSION!$H$20:$H$59,BI56))-IF(BH56=0,0,INDEX(SUP_C3_EXPANSION!$H$20:$H$59,BH56)))+1*SUP_OPEX!$E$20*(IF(BI56=0,0,INDEX(SUP_C3_EXPANSION!$I$20:$I$59,BI56))-IF(BH56=0,0,INDEX(SUP_C3_EXPANSION!$I$20:$I$59,BH56)))+1*SUP_OPEX!$F$20*(IF(BI56=0,0,INDEX(SUP_C3_EXPANSION!$J$20:$J$59,BI56))-IF(BH56=0,0,INDEX(SUP_C3_EXPANSION!$J$20:$J$59,BH56))))</f>
        <v>-1200</v>
      </c>
      <c r="BL66">
        <f>IF(BL56=BK56,0,2*SUP_OPEX!$D$20*(IF(BL56=0,0,INDEX(SUP_C3_EXPANSION!$H$20:$H$59,BL56))-IF(BK56=0,0,INDEX(SUP_C3_EXPANSION!$H$20:$H$59,BK56)))+2*SUP_OPEX!$E$20*(IF(BL56=0,0,INDEX(SUP_C3_EXPANSION!$I$20:$I$59,BL56))-IF(BK56=0,0,INDEX(SUP_C3_EXPANSION!$I$20:$I$59,BK56)))+2*SUP_OPEX!$F$20*(IF(BL56=0,0,INDEX(SUP_C3_EXPANSION!$J$20:$J$59,BL56))-IF(BK56=0,0,INDEX(SUP_C3_EXPANSION!$J$20:$J$59,BK56))))-IF(BK56=BJ56,0,1*SUP_OPEX!$D$20*(IF(BK56=0,0,INDEX(SUP_C3_EXPANSION!$H$20:$H$59,BK56))-IF(BJ56=0,0,INDEX(SUP_C3_EXPANSION!$H$20:$H$59,BJ56)))+1*SUP_OPEX!$E$20*(IF(BK56=0,0,INDEX(SUP_C3_EXPANSION!$I$20:$I$59,BK56))-IF(BJ56=0,0,INDEX(SUP_C3_EXPANSION!$I$20:$I$59,BJ56)))+1*SUP_OPEX!$F$20*(IF(BK56=0,0,INDEX(SUP_C3_EXPANSION!$J$20:$J$59,BK56))-IF(BJ56=0,0,INDEX(SUP_C3_EXPANSION!$J$20:$J$59,BJ56))))-IF(BJ56=BI56,0,1*SUP_OPEX!$D$20*(IF(BJ56=0,0,INDEX(SUP_C3_EXPANSION!$H$20:$H$59,BJ56))-IF(BI56=0,0,INDEX(SUP_C3_EXPANSION!$H$20:$H$59,BI56)))+1*SUP_OPEX!$E$20*(IF(BJ56=0,0,INDEX(SUP_C3_EXPANSION!$I$20:$I$59,BJ56))-IF(BI56=0,0,INDEX(SUP_C3_EXPANSION!$I$20:$I$59,BI56)))+1*SUP_OPEX!$F$20*(IF(BJ56=0,0,INDEX(SUP_C3_EXPANSION!$J$20:$J$59,BJ56))-IF(BI56=0,0,INDEX(SUP_C3_EXPANSION!$J$20:$J$59,BI56))))</f>
        <v>-1200</v>
      </c>
      <c r="BM66">
        <f>IF(BM56=BL56,0,2*SUP_OPEX!$D$20*(IF(BM56=0,0,INDEX(SUP_C3_EXPANSION!$H$20:$H$59,BM56))-IF(BL56=0,0,INDEX(SUP_C3_EXPANSION!$H$20:$H$59,BL56)))+2*SUP_OPEX!$E$20*(IF(BM56=0,0,INDEX(SUP_C3_EXPANSION!$I$20:$I$59,BM56))-IF(BL56=0,0,INDEX(SUP_C3_EXPANSION!$I$20:$I$59,BL56)))+2*SUP_OPEX!$F$20*(IF(BM56=0,0,INDEX(SUP_C3_EXPANSION!$J$20:$J$59,BM56))-IF(BL56=0,0,INDEX(SUP_C3_EXPANSION!$J$20:$J$59,BL56))))-IF(BL56=BK56,0,1*SUP_OPEX!$D$20*(IF(BL56=0,0,INDEX(SUP_C3_EXPANSION!$H$20:$H$59,BL56))-IF(BK56=0,0,INDEX(SUP_C3_EXPANSION!$H$20:$H$59,BK56)))+1*SUP_OPEX!$E$20*(IF(BL56=0,0,INDEX(SUP_C3_EXPANSION!$I$20:$I$59,BL56))-IF(BK56=0,0,INDEX(SUP_C3_EXPANSION!$I$20:$I$59,BK56)))+1*SUP_OPEX!$F$20*(IF(BL56=0,0,INDEX(SUP_C3_EXPANSION!$J$20:$J$59,BL56))-IF(BK56=0,0,INDEX(SUP_C3_EXPANSION!$J$20:$J$59,BK56))))-IF(BK56=BJ56,0,1*SUP_OPEX!$D$20*(IF(BK56=0,0,INDEX(SUP_C3_EXPANSION!$H$20:$H$59,BK56))-IF(BJ56=0,0,INDEX(SUP_C3_EXPANSION!$H$20:$H$59,BJ56)))+1*SUP_OPEX!$E$20*(IF(BK56=0,0,INDEX(SUP_C3_EXPANSION!$I$20:$I$59,BK56))-IF(BJ56=0,0,INDEX(SUP_C3_EXPANSION!$I$20:$I$59,BJ56)))+1*SUP_OPEX!$F$20*(IF(BK56=0,0,INDEX(SUP_C3_EXPANSION!$J$20:$J$59,BK56))-IF(BJ56=0,0,INDEX(SUP_C3_EXPANSION!$J$20:$J$59,BJ56))))</f>
        <v>0</v>
      </c>
      <c r="BN66">
        <f>IF(BN56=BM56,0,2*SUP_OPEX!$D$20*(IF(BN56=0,0,INDEX(SUP_C3_EXPANSION!$H$20:$H$59,BN56))-IF(BM56=0,0,INDEX(SUP_C3_EXPANSION!$H$20:$H$59,BM56)))+2*SUP_OPEX!$E$20*(IF(BN56=0,0,INDEX(SUP_C3_EXPANSION!$I$20:$I$59,BN56))-IF(BM56=0,0,INDEX(SUP_C3_EXPANSION!$I$20:$I$59,BM56)))+2*SUP_OPEX!$F$20*(IF(BN56=0,0,INDEX(SUP_C3_EXPANSION!$J$20:$J$59,BN56))-IF(BM56=0,0,INDEX(SUP_C3_EXPANSION!$J$20:$J$59,BM56))))-IF(BM56=BL56,0,1*SUP_OPEX!$D$20*(IF(BM56=0,0,INDEX(SUP_C3_EXPANSION!$H$20:$H$59,BM56))-IF(BL56=0,0,INDEX(SUP_C3_EXPANSION!$H$20:$H$59,BL56)))+1*SUP_OPEX!$E$20*(IF(BM56=0,0,INDEX(SUP_C3_EXPANSION!$I$20:$I$59,BM56))-IF(BL56=0,0,INDEX(SUP_C3_EXPANSION!$I$20:$I$59,BL56)))+1*SUP_OPEX!$F$20*(IF(BM56=0,0,INDEX(SUP_C3_EXPANSION!$J$20:$J$59,BM56))-IF(BL56=0,0,INDEX(SUP_C3_EXPANSION!$J$20:$J$59,BL56))))-IF(BL56=BK56,0,1*SUP_OPEX!$D$20*(IF(BL56=0,0,INDEX(SUP_C3_EXPANSION!$H$20:$H$59,BL56))-IF(BK56=0,0,INDEX(SUP_C3_EXPANSION!$H$20:$H$59,BK56)))+1*SUP_OPEX!$E$20*(IF(BL56=0,0,INDEX(SUP_C3_EXPANSION!$I$20:$I$59,BL56))-IF(BK56=0,0,INDEX(SUP_C3_EXPANSION!$I$20:$I$59,BK56)))+1*SUP_OPEX!$F$20*(IF(BL56=0,0,INDEX(SUP_C3_EXPANSION!$J$20:$J$59,BL56))-IF(BK56=0,0,INDEX(SUP_C3_EXPANSION!$J$20:$J$59,BK56))))</f>
        <v>2400</v>
      </c>
      <c r="BO66">
        <f>IF(BO56=BN56,0,2*SUP_OPEX!$D$20*(IF(BO56=0,0,INDEX(SUP_C3_EXPANSION!$H$20:$H$59,BO56))-IF(BN56=0,0,INDEX(SUP_C3_EXPANSION!$H$20:$H$59,BN56)))+2*SUP_OPEX!$E$20*(IF(BO56=0,0,INDEX(SUP_C3_EXPANSION!$I$20:$I$59,BO56))-IF(BN56=0,0,INDEX(SUP_C3_EXPANSION!$I$20:$I$59,BN56)))+2*SUP_OPEX!$F$20*(IF(BO56=0,0,INDEX(SUP_C3_EXPANSION!$J$20:$J$59,BO56))-IF(BN56=0,0,INDEX(SUP_C3_EXPANSION!$J$20:$J$59,BN56))))-IF(BN56=BM56,0,1*SUP_OPEX!$D$20*(IF(BN56=0,0,INDEX(SUP_C3_EXPANSION!$H$20:$H$59,BN56))-IF(BM56=0,0,INDEX(SUP_C3_EXPANSION!$H$20:$H$59,BM56)))+1*SUP_OPEX!$E$20*(IF(BN56=0,0,INDEX(SUP_C3_EXPANSION!$I$20:$I$59,BN56))-IF(BM56=0,0,INDEX(SUP_C3_EXPANSION!$I$20:$I$59,BM56)))+1*SUP_OPEX!$F$20*(IF(BN56=0,0,INDEX(SUP_C3_EXPANSION!$J$20:$J$59,BN56))-IF(BM56=0,0,INDEX(SUP_C3_EXPANSION!$J$20:$J$59,BM56))))-IF(BM56=BL56,0,1*SUP_OPEX!$D$20*(IF(BM56=0,0,INDEX(SUP_C3_EXPANSION!$H$20:$H$59,BM56))-IF(BL56=0,0,INDEX(SUP_C3_EXPANSION!$H$20:$H$59,BL56)))+1*SUP_OPEX!$E$20*(IF(BM56=0,0,INDEX(SUP_C3_EXPANSION!$I$20:$I$59,BM56))-IF(BL56=0,0,INDEX(SUP_C3_EXPANSION!$I$20:$I$59,BL56)))+1*SUP_OPEX!$F$20*(IF(BM56=0,0,INDEX(SUP_C3_EXPANSION!$J$20:$J$59,BM56))-IF(BL56=0,0,INDEX(SUP_C3_EXPANSION!$J$20:$J$59,BL56))))</f>
        <v>-1200</v>
      </c>
      <c r="BP66">
        <f>IF(BP56=BO56,0,2*SUP_OPEX!$D$20*(IF(BP56=0,0,INDEX(SUP_C3_EXPANSION!$H$20:$H$59,BP56))-IF(BO56=0,0,INDEX(SUP_C3_EXPANSION!$H$20:$H$59,BO56)))+2*SUP_OPEX!$E$20*(IF(BP56=0,0,INDEX(SUP_C3_EXPANSION!$I$20:$I$59,BP56))-IF(BO56=0,0,INDEX(SUP_C3_EXPANSION!$I$20:$I$59,BO56)))+2*SUP_OPEX!$F$20*(IF(BP56=0,0,INDEX(SUP_C3_EXPANSION!$J$20:$J$59,BP56))-IF(BO56=0,0,INDEX(SUP_C3_EXPANSION!$J$20:$J$59,BO56))))-IF(BO56=BN56,0,1*SUP_OPEX!$D$20*(IF(BO56=0,0,INDEX(SUP_C3_EXPANSION!$H$20:$H$59,BO56))-IF(BN56=0,0,INDEX(SUP_C3_EXPANSION!$H$20:$H$59,BN56)))+1*SUP_OPEX!$E$20*(IF(BO56=0,0,INDEX(SUP_C3_EXPANSION!$I$20:$I$59,BO56))-IF(BN56=0,0,INDEX(SUP_C3_EXPANSION!$I$20:$I$59,BN56)))+1*SUP_OPEX!$F$20*(IF(BO56=0,0,INDEX(SUP_C3_EXPANSION!$J$20:$J$59,BO56))-IF(BN56=0,0,INDEX(SUP_C3_EXPANSION!$J$20:$J$59,BN56))))-IF(BN56=BM56,0,1*SUP_OPEX!$D$20*(IF(BN56=0,0,INDEX(SUP_C3_EXPANSION!$H$20:$H$59,BN56))-IF(BM56=0,0,INDEX(SUP_C3_EXPANSION!$H$20:$H$59,BM56)))+1*SUP_OPEX!$E$20*(IF(BN56=0,0,INDEX(SUP_C3_EXPANSION!$I$20:$I$59,BN56))-IF(BM56=0,0,INDEX(SUP_C3_EXPANSION!$I$20:$I$59,BM56)))+1*SUP_OPEX!$F$20*(IF(BN56=0,0,INDEX(SUP_C3_EXPANSION!$J$20:$J$59,BN56))-IF(BM56=0,0,INDEX(SUP_C3_EXPANSION!$J$20:$J$59,BM56))))</f>
        <v>-1200</v>
      </c>
      <c r="BQ66">
        <f>IF(BQ56=BP56,0,2*SUP_OPEX!$D$20*(IF(BQ56=0,0,INDEX(SUP_C3_EXPANSION!$H$20:$H$59,BQ56))-IF(BP56=0,0,INDEX(SUP_C3_EXPANSION!$H$20:$H$59,BP56)))+2*SUP_OPEX!$E$20*(IF(BQ56=0,0,INDEX(SUP_C3_EXPANSION!$I$20:$I$59,BQ56))-IF(BP56=0,0,INDEX(SUP_C3_EXPANSION!$I$20:$I$59,BP56)))+2*SUP_OPEX!$F$20*(IF(BQ56=0,0,INDEX(SUP_C3_EXPANSION!$J$20:$J$59,BQ56))-IF(BP56=0,0,INDEX(SUP_C3_EXPANSION!$J$20:$J$59,BP56))))-IF(BP56=BO56,0,1*SUP_OPEX!$D$20*(IF(BP56=0,0,INDEX(SUP_C3_EXPANSION!$H$20:$H$59,BP56))-IF(BO56=0,0,INDEX(SUP_C3_EXPANSION!$H$20:$H$59,BO56)))+1*SUP_OPEX!$E$20*(IF(BP56=0,0,INDEX(SUP_C3_EXPANSION!$I$20:$I$59,BP56))-IF(BO56=0,0,INDEX(SUP_C3_EXPANSION!$I$20:$I$59,BO56)))+1*SUP_OPEX!$F$20*(IF(BP56=0,0,INDEX(SUP_C3_EXPANSION!$J$20:$J$59,BP56))-IF(BO56=0,0,INDEX(SUP_C3_EXPANSION!$J$20:$J$59,BO56))))-IF(BO56=BN56,0,1*SUP_OPEX!$D$20*(IF(BO56=0,0,INDEX(SUP_C3_EXPANSION!$H$20:$H$59,BO56))-IF(BN56=0,0,INDEX(SUP_C3_EXPANSION!$H$20:$H$59,BN56)))+1*SUP_OPEX!$E$20*(IF(BO56=0,0,INDEX(SUP_C3_EXPANSION!$I$20:$I$59,BO56))-IF(BN56=0,0,INDEX(SUP_C3_EXPANSION!$I$20:$I$59,BN56)))+1*SUP_OPEX!$F$20*(IF(BO56=0,0,INDEX(SUP_C3_EXPANSION!$J$20:$J$59,BO56))-IF(BN56=0,0,INDEX(SUP_C3_EXPANSION!$J$20:$J$59,BN56))))</f>
        <v>0</v>
      </c>
      <c r="BR66">
        <f>IF(BR56=BQ56,0,2*SUP_OPEX!$D$20*(IF(BR56=0,0,INDEX(SUP_C3_EXPANSION!$H$20:$H$59,BR56))-IF(BQ56=0,0,INDEX(SUP_C3_EXPANSION!$H$20:$H$59,BQ56)))+2*SUP_OPEX!$E$20*(IF(BR56=0,0,INDEX(SUP_C3_EXPANSION!$I$20:$I$59,BR56))-IF(BQ56=0,0,INDEX(SUP_C3_EXPANSION!$I$20:$I$59,BQ56)))+2*SUP_OPEX!$F$20*(IF(BR56=0,0,INDEX(SUP_C3_EXPANSION!$J$20:$J$59,BR56))-IF(BQ56=0,0,INDEX(SUP_C3_EXPANSION!$J$20:$J$59,BQ56))))-IF(BQ56=BP56,0,1*SUP_OPEX!$D$20*(IF(BQ56=0,0,INDEX(SUP_C3_EXPANSION!$H$20:$H$59,BQ56))-IF(BP56=0,0,INDEX(SUP_C3_EXPANSION!$H$20:$H$59,BP56)))+1*SUP_OPEX!$E$20*(IF(BQ56=0,0,INDEX(SUP_C3_EXPANSION!$I$20:$I$59,BQ56))-IF(BP56=0,0,INDEX(SUP_C3_EXPANSION!$I$20:$I$59,BP56)))+1*SUP_OPEX!$F$20*(IF(BQ56=0,0,INDEX(SUP_C3_EXPANSION!$J$20:$J$59,BQ56))-IF(BP56=0,0,INDEX(SUP_C3_EXPANSION!$J$20:$J$59,BP56))))-IF(BP56=BO56,0,1*SUP_OPEX!$D$20*(IF(BP56=0,0,INDEX(SUP_C3_EXPANSION!$H$20:$H$59,BP56))-IF(BO56=0,0,INDEX(SUP_C3_EXPANSION!$H$20:$H$59,BO56)))+1*SUP_OPEX!$E$20*(IF(BP56=0,0,INDEX(SUP_C3_EXPANSION!$I$20:$I$59,BP56))-IF(BO56=0,0,INDEX(SUP_C3_EXPANSION!$I$20:$I$59,BO56)))+1*SUP_OPEX!$F$20*(IF(BP56=0,0,INDEX(SUP_C3_EXPANSION!$J$20:$J$59,BP56))-IF(BO56=0,0,INDEX(SUP_C3_EXPANSION!$J$20:$J$59,BO56))))</f>
        <v>2400</v>
      </c>
      <c r="BS66">
        <f>IF(BS56=BR56,0,2*SUP_OPEX!$D$20*(IF(BS56=0,0,INDEX(SUP_C3_EXPANSION!$H$20:$H$59,BS56))-IF(BR56=0,0,INDEX(SUP_C3_EXPANSION!$H$20:$H$59,BR56)))+2*SUP_OPEX!$E$20*(IF(BS56=0,0,INDEX(SUP_C3_EXPANSION!$I$20:$I$59,BS56))-IF(BR56=0,0,INDEX(SUP_C3_EXPANSION!$I$20:$I$59,BR56)))+2*SUP_OPEX!$F$20*(IF(BS56=0,0,INDEX(SUP_C3_EXPANSION!$J$20:$J$59,BS56))-IF(BR56=0,0,INDEX(SUP_C3_EXPANSION!$J$20:$J$59,BR56))))-IF(BR56=BQ56,0,1*SUP_OPEX!$D$20*(IF(BR56=0,0,INDEX(SUP_C3_EXPANSION!$H$20:$H$59,BR56))-IF(BQ56=0,0,INDEX(SUP_C3_EXPANSION!$H$20:$H$59,BQ56)))+1*SUP_OPEX!$E$20*(IF(BR56=0,0,INDEX(SUP_C3_EXPANSION!$I$20:$I$59,BR56))-IF(BQ56=0,0,INDEX(SUP_C3_EXPANSION!$I$20:$I$59,BQ56)))+1*SUP_OPEX!$F$20*(IF(BR56=0,0,INDEX(SUP_C3_EXPANSION!$J$20:$J$59,BR56))-IF(BQ56=0,0,INDEX(SUP_C3_EXPANSION!$J$20:$J$59,BQ56))))-IF(BQ56=BP56,0,1*SUP_OPEX!$D$20*(IF(BQ56=0,0,INDEX(SUP_C3_EXPANSION!$H$20:$H$59,BQ56))-IF(BP56=0,0,INDEX(SUP_C3_EXPANSION!$H$20:$H$59,BP56)))+1*SUP_OPEX!$E$20*(IF(BQ56=0,0,INDEX(SUP_C3_EXPANSION!$I$20:$I$59,BQ56))-IF(BP56=0,0,INDEX(SUP_C3_EXPANSION!$I$20:$I$59,BP56)))+1*SUP_OPEX!$F$20*(IF(BQ56=0,0,INDEX(SUP_C3_EXPANSION!$J$20:$J$59,BQ56))-IF(BP56=0,0,INDEX(SUP_C3_EXPANSION!$J$20:$J$59,BP56))))</f>
        <v>14800</v>
      </c>
      <c r="BT66">
        <f>IF(BT56=BS56,0,2*SUP_OPEX!$D$20*(IF(BT56=0,0,INDEX(SUP_C3_EXPANSION!$H$20:$H$59,BT56))-IF(BS56=0,0,INDEX(SUP_C3_EXPANSION!$H$20:$H$59,BS56)))+2*SUP_OPEX!$E$20*(IF(BT56=0,0,INDEX(SUP_C3_EXPANSION!$I$20:$I$59,BT56))-IF(BS56=0,0,INDEX(SUP_C3_EXPANSION!$I$20:$I$59,BS56)))+2*SUP_OPEX!$F$20*(IF(BT56=0,0,INDEX(SUP_C3_EXPANSION!$J$20:$J$59,BT56))-IF(BS56=0,0,INDEX(SUP_C3_EXPANSION!$J$20:$J$59,BS56))))-IF(BS56=BR56,0,1*SUP_OPEX!$D$20*(IF(BS56=0,0,INDEX(SUP_C3_EXPANSION!$H$20:$H$59,BS56))-IF(BR56=0,0,INDEX(SUP_C3_EXPANSION!$H$20:$H$59,BR56)))+1*SUP_OPEX!$E$20*(IF(BS56=0,0,INDEX(SUP_C3_EXPANSION!$I$20:$I$59,BS56))-IF(BR56=0,0,INDEX(SUP_C3_EXPANSION!$I$20:$I$59,BR56)))+1*SUP_OPEX!$F$20*(IF(BS56=0,0,INDEX(SUP_C3_EXPANSION!$J$20:$J$59,BS56))-IF(BR56=0,0,INDEX(SUP_C3_EXPANSION!$J$20:$J$59,BR56))))-IF(BR56=BQ56,0,1*SUP_OPEX!$D$20*(IF(BR56=0,0,INDEX(SUP_C3_EXPANSION!$H$20:$H$59,BR56))-IF(BQ56=0,0,INDEX(SUP_C3_EXPANSION!$H$20:$H$59,BQ56)))+1*SUP_OPEX!$E$20*(IF(BR56=0,0,INDEX(SUP_C3_EXPANSION!$I$20:$I$59,BR56))-IF(BQ56=0,0,INDEX(SUP_C3_EXPANSION!$I$20:$I$59,BQ56)))+1*SUP_OPEX!$F$20*(IF(BR56=0,0,INDEX(SUP_C3_EXPANSION!$J$20:$J$59,BR56))-IF(BQ56=0,0,INDEX(SUP_C3_EXPANSION!$J$20:$J$59,BQ56))))</f>
        <v>-9200</v>
      </c>
      <c r="BU66">
        <f>IF(BU56=BT56,0,2*SUP_OPEX!$D$20*(IF(BU56=0,0,INDEX(SUP_C3_EXPANSION!$H$20:$H$59,BU56))-IF(BT56=0,0,INDEX(SUP_C3_EXPANSION!$H$20:$H$59,BT56)))+2*SUP_OPEX!$E$20*(IF(BU56=0,0,INDEX(SUP_C3_EXPANSION!$I$20:$I$59,BU56))-IF(BT56=0,0,INDEX(SUP_C3_EXPANSION!$I$20:$I$59,BT56)))+2*SUP_OPEX!$F$20*(IF(BU56=0,0,INDEX(SUP_C3_EXPANSION!$J$20:$J$59,BU56))-IF(BT56=0,0,INDEX(SUP_C3_EXPANSION!$J$20:$J$59,BT56))))-IF(BT56=BS56,0,1*SUP_OPEX!$D$20*(IF(BT56=0,0,INDEX(SUP_C3_EXPANSION!$H$20:$H$59,BT56))-IF(BS56=0,0,INDEX(SUP_C3_EXPANSION!$H$20:$H$59,BS56)))+1*SUP_OPEX!$E$20*(IF(BT56=0,0,INDEX(SUP_C3_EXPANSION!$I$20:$I$59,BT56))-IF(BS56=0,0,INDEX(SUP_C3_EXPANSION!$I$20:$I$59,BS56)))+1*SUP_OPEX!$F$20*(IF(BT56=0,0,INDEX(SUP_C3_EXPANSION!$J$20:$J$59,BT56))-IF(BS56=0,0,INDEX(SUP_C3_EXPANSION!$J$20:$J$59,BS56))))-IF(BS56=BR56,0,1*SUP_OPEX!$D$20*(IF(BS56=0,0,INDEX(SUP_C3_EXPANSION!$H$20:$H$59,BS56))-IF(BR56=0,0,INDEX(SUP_C3_EXPANSION!$H$20:$H$59,BR56)))+1*SUP_OPEX!$E$20*(IF(BS56=0,0,INDEX(SUP_C3_EXPANSION!$I$20:$I$59,BS56))-IF(BR56=0,0,INDEX(SUP_C3_EXPANSION!$I$20:$I$59,BR56)))+1*SUP_OPEX!$F$20*(IF(BS56=0,0,INDEX(SUP_C3_EXPANSION!$J$20:$J$59,BS56))-IF(BR56=0,0,INDEX(SUP_C3_EXPANSION!$J$20:$J$59,BR56))))</f>
        <v>-8000</v>
      </c>
      <c r="BV66">
        <f>IF(BV56=BU56,0,2*SUP_OPEX!$D$20*(IF(BV56=0,0,INDEX(SUP_C3_EXPANSION!$H$20:$H$59,BV56))-IF(BU56=0,0,INDEX(SUP_C3_EXPANSION!$H$20:$H$59,BU56)))+2*SUP_OPEX!$E$20*(IF(BV56=0,0,INDEX(SUP_C3_EXPANSION!$I$20:$I$59,BV56))-IF(BU56=0,0,INDEX(SUP_C3_EXPANSION!$I$20:$I$59,BU56)))+2*SUP_OPEX!$F$20*(IF(BV56=0,0,INDEX(SUP_C3_EXPANSION!$J$20:$J$59,BV56))-IF(BU56=0,0,INDEX(SUP_C3_EXPANSION!$J$20:$J$59,BU56))))-IF(BU56=BT56,0,1*SUP_OPEX!$D$20*(IF(BU56=0,0,INDEX(SUP_C3_EXPANSION!$H$20:$H$59,BU56))-IF(BT56=0,0,INDEX(SUP_C3_EXPANSION!$H$20:$H$59,BT56)))+1*SUP_OPEX!$E$20*(IF(BU56=0,0,INDEX(SUP_C3_EXPANSION!$I$20:$I$59,BU56))-IF(BT56=0,0,INDEX(SUP_C3_EXPANSION!$I$20:$I$59,BT56)))+1*SUP_OPEX!$F$20*(IF(BU56=0,0,INDEX(SUP_C3_EXPANSION!$J$20:$J$59,BU56))-IF(BT56=0,0,INDEX(SUP_C3_EXPANSION!$J$20:$J$59,BT56))))-IF(BT56=BS56,0,1*SUP_OPEX!$D$20*(IF(BT56=0,0,INDEX(SUP_C3_EXPANSION!$H$20:$H$59,BT56))-IF(BS56=0,0,INDEX(SUP_C3_EXPANSION!$H$20:$H$59,BS56)))+1*SUP_OPEX!$E$20*(IF(BT56=0,0,INDEX(SUP_C3_EXPANSION!$I$20:$I$59,BT56))-IF(BS56=0,0,INDEX(SUP_C3_EXPANSION!$I$20:$I$59,BS56)))+1*SUP_OPEX!$F$20*(IF(BT56=0,0,INDEX(SUP_C3_EXPANSION!$J$20:$J$59,BT56))-IF(BS56=0,0,INDEX(SUP_C3_EXPANSION!$J$20:$J$59,BS56))))</f>
        <v>0</v>
      </c>
      <c r="BW66">
        <f>IF(BW56=BV56,0,2*SUP_OPEX!$D$20*(IF(BW56=0,0,INDEX(SUP_C3_EXPANSION!$H$20:$H$59,BW56))-IF(BV56=0,0,INDEX(SUP_C3_EXPANSION!$H$20:$H$59,BV56)))+2*SUP_OPEX!$E$20*(IF(BW56=0,0,INDEX(SUP_C3_EXPANSION!$I$20:$I$59,BW56))-IF(BV56=0,0,INDEX(SUP_C3_EXPANSION!$I$20:$I$59,BV56)))+2*SUP_OPEX!$F$20*(IF(BW56=0,0,INDEX(SUP_C3_EXPANSION!$J$20:$J$59,BW56))-IF(BV56=0,0,INDEX(SUP_C3_EXPANSION!$J$20:$J$59,BV56))))-IF(BV56=BU56,0,1*SUP_OPEX!$D$20*(IF(BV56=0,0,INDEX(SUP_C3_EXPANSION!$H$20:$H$59,BV56))-IF(BU56=0,0,INDEX(SUP_C3_EXPANSION!$H$20:$H$59,BU56)))+1*SUP_OPEX!$E$20*(IF(BV56=0,0,INDEX(SUP_C3_EXPANSION!$I$20:$I$59,BV56))-IF(BU56=0,0,INDEX(SUP_C3_EXPANSION!$I$20:$I$59,BU56)))+1*SUP_OPEX!$F$20*(IF(BV56=0,0,INDEX(SUP_C3_EXPANSION!$J$20:$J$59,BV56))-IF(BU56=0,0,INDEX(SUP_C3_EXPANSION!$J$20:$J$59,BU56))))-IF(BU56=BT56,0,1*SUP_OPEX!$D$20*(IF(BU56=0,0,INDEX(SUP_C3_EXPANSION!$H$20:$H$59,BU56))-IF(BT56=0,0,INDEX(SUP_C3_EXPANSION!$H$20:$H$59,BT56)))+1*SUP_OPEX!$E$20*(IF(BU56=0,0,INDEX(SUP_C3_EXPANSION!$I$20:$I$59,BU56))-IF(BT56=0,0,INDEX(SUP_C3_EXPANSION!$I$20:$I$59,BT56)))+1*SUP_OPEX!$F$20*(IF(BU56=0,0,INDEX(SUP_C3_EXPANSION!$J$20:$J$59,BU56))-IF(BT56=0,0,INDEX(SUP_C3_EXPANSION!$J$20:$J$59,BT56))))</f>
        <v>2400</v>
      </c>
      <c r="BX66">
        <f>IF(BX56=BW56,0,2*SUP_OPEX!$D$20*(IF(BX56=0,0,INDEX(SUP_C3_EXPANSION!$H$20:$H$59,BX56))-IF(BW56=0,0,INDEX(SUP_C3_EXPANSION!$H$20:$H$59,BW56)))+2*SUP_OPEX!$E$20*(IF(BX56=0,0,INDEX(SUP_C3_EXPANSION!$I$20:$I$59,BX56))-IF(BW56=0,0,INDEX(SUP_C3_EXPANSION!$I$20:$I$59,BW56)))+2*SUP_OPEX!$F$20*(IF(BX56=0,0,INDEX(SUP_C3_EXPANSION!$J$20:$J$59,BX56))-IF(BW56=0,0,INDEX(SUP_C3_EXPANSION!$J$20:$J$59,BW56))))-IF(BW56=BV56,0,1*SUP_OPEX!$D$20*(IF(BW56=0,0,INDEX(SUP_C3_EXPANSION!$H$20:$H$59,BW56))-IF(BV56=0,0,INDEX(SUP_C3_EXPANSION!$H$20:$H$59,BV56)))+1*SUP_OPEX!$E$20*(IF(BW56=0,0,INDEX(SUP_C3_EXPANSION!$I$20:$I$59,BW56))-IF(BV56=0,0,INDEX(SUP_C3_EXPANSION!$I$20:$I$59,BV56)))+1*SUP_OPEX!$F$20*(IF(BW56=0,0,INDEX(SUP_C3_EXPANSION!$J$20:$J$59,BW56))-IF(BV56=0,0,INDEX(SUP_C3_EXPANSION!$J$20:$J$59,BV56))))-IF(BV56=BU56,0,1*SUP_OPEX!$D$20*(IF(BV56=0,0,INDEX(SUP_C3_EXPANSION!$H$20:$H$59,BV56))-IF(BU56=0,0,INDEX(SUP_C3_EXPANSION!$H$20:$H$59,BU56)))+1*SUP_OPEX!$E$20*(IF(BV56=0,0,INDEX(SUP_C3_EXPANSION!$I$20:$I$59,BV56))-IF(BU56=0,0,INDEX(SUP_C3_EXPANSION!$I$20:$I$59,BU56)))+1*SUP_OPEX!$F$20*(IF(BV56=0,0,INDEX(SUP_C3_EXPANSION!$J$20:$J$59,BV56))-IF(BU56=0,0,INDEX(SUP_C3_EXPANSION!$J$20:$J$59,BU56))))</f>
        <v>-1200</v>
      </c>
      <c r="BY66">
        <f>IF(BY56=BX56,0,2*SUP_OPEX!$D$20*(IF(BY56=0,0,INDEX(SUP_C3_EXPANSION!$H$20:$H$59,BY56))-IF(BX56=0,0,INDEX(SUP_C3_EXPANSION!$H$20:$H$59,BX56)))+2*SUP_OPEX!$E$20*(IF(BY56=0,0,INDEX(SUP_C3_EXPANSION!$I$20:$I$59,BY56))-IF(BX56=0,0,INDEX(SUP_C3_EXPANSION!$I$20:$I$59,BX56)))+2*SUP_OPEX!$F$20*(IF(BY56=0,0,INDEX(SUP_C3_EXPANSION!$J$20:$J$59,BY56))-IF(BX56=0,0,INDEX(SUP_C3_EXPANSION!$J$20:$J$59,BX56))))-IF(BX56=BW56,0,1*SUP_OPEX!$D$20*(IF(BX56=0,0,INDEX(SUP_C3_EXPANSION!$H$20:$H$59,BX56))-IF(BW56=0,0,INDEX(SUP_C3_EXPANSION!$H$20:$H$59,BW56)))+1*SUP_OPEX!$E$20*(IF(BX56=0,0,INDEX(SUP_C3_EXPANSION!$I$20:$I$59,BX56))-IF(BW56=0,0,INDEX(SUP_C3_EXPANSION!$I$20:$I$59,BW56)))+1*SUP_OPEX!$F$20*(IF(BX56=0,0,INDEX(SUP_C3_EXPANSION!$J$20:$J$59,BX56))-IF(BW56=0,0,INDEX(SUP_C3_EXPANSION!$J$20:$J$59,BW56))))-IF(BW56=BV56,0,1*SUP_OPEX!$D$20*(IF(BW56=0,0,INDEX(SUP_C3_EXPANSION!$H$20:$H$59,BW56))-IF(BV56=0,0,INDEX(SUP_C3_EXPANSION!$H$20:$H$59,BV56)))+1*SUP_OPEX!$E$20*(IF(BW56=0,0,INDEX(SUP_C3_EXPANSION!$I$20:$I$59,BW56))-IF(BV56=0,0,INDEX(SUP_C3_EXPANSION!$I$20:$I$59,BV56)))+1*SUP_OPEX!$F$20*(IF(BW56=0,0,INDEX(SUP_C3_EXPANSION!$J$20:$J$59,BW56))-IF(BV56=0,0,INDEX(SUP_C3_EXPANSION!$J$20:$J$59,BV56))))</f>
        <v>-1200</v>
      </c>
      <c r="BZ66">
        <f>IF(BZ56=BY56,0,2*SUP_OPEX!$D$20*(IF(BZ56=0,0,INDEX(SUP_C3_EXPANSION!$H$20:$H$59,BZ56))-IF(BY56=0,0,INDEX(SUP_C3_EXPANSION!$H$20:$H$59,BY56)))+2*SUP_OPEX!$E$20*(IF(BZ56=0,0,INDEX(SUP_C3_EXPANSION!$I$20:$I$59,BZ56))-IF(BY56=0,0,INDEX(SUP_C3_EXPANSION!$I$20:$I$59,BY56)))+2*SUP_OPEX!$F$20*(IF(BZ56=0,0,INDEX(SUP_C3_EXPANSION!$J$20:$J$59,BZ56))-IF(BY56=0,0,INDEX(SUP_C3_EXPANSION!$J$20:$J$59,BY56))))-IF(BY56=BX56,0,1*SUP_OPEX!$D$20*(IF(BY56=0,0,INDEX(SUP_C3_EXPANSION!$H$20:$H$59,BY56))-IF(BX56=0,0,INDEX(SUP_C3_EXPANSION!$H$20:$H$59,BX56)))+1*SUP_OPEX!$E$20*(IF(BY56=0,0,INDEX(SUP_C3_EXPANSION!$I$20:$I$59,BY56))-IF(BX56=0,0,INDEX(SUP_C3_EXPANSION!$I$20:$I$59,BX56)))+1*SUP_OPEX!$F$20*(IF(BY56=0,0,INDEX(SUP_C3_EXPANSION!$J$20:$J$59,BY56))-IF(BX56=0,0,INDEX(SUP_C3_EXPANSION!$J$20:$J$59,BX56))))-IF(BX56=BW56,0,1*SUP_OPEX!$D$20*(IF(BX56=0,0,INDEX(SUP_C3_EXPANSION!$H$20:$H$59,BX56))-IF(BW56=0,0,INDEX(SUP_C3_EXPANSION!$H$20:$H$59,BW56)))+1*SUP_OPEX!$E$20*(IF(BX56=0,0,INDEX(SUP_C3_EXPANSION!$I$20:$I$59,BX56))-IF(BW56=0,0,INDEX(SUP_C3_EXPANSION!$I$20:$I$59,BW56)))+1*SUP_OPEX!$F$20*(IF(BX56=0,0,INDEX(SUP_C3_EXPANSION!$J$20:$J$59,BX56))-IF(BW56=0,0,INDEX(SUP_C3_EXPANSION!$J$20:$J$59,BW56))))</f>
        <v>0</v>
      </c>
      <c r="CA66">
        <f>IF(CA56=BZ56,0,2*SUP_OPEX!$D$20*(IF(CA56=0,0,INDEX(SUP_C3_EXPANSION!$H$20:$H$59,CA56))-IF(BZ56=0,0,INDEX(SUP_C3_EXPANSION!$H$20:$H$59,BZ56)))+2*SUP_OPEX!$E$20*(IF(CA56=0,0,INDEX(SUP_C3_EXPANSION!$I$20:$I$59,CA56))-IF(BZ56=0,0,INDEX(SUP_C3_EXPANSION!$I$20:$I$59,BZ56)))+2*SUP_OPEX!$F$20*(IF(CA56=0,0,INDEX(SUP_C3_EXPANSION!$J$20:$J$59,CA56))-IF(BZ56=0,0,INDEX(SUP_C3_EXPANSION!$J$20:$J$59,BZ56))))-IF(BZ56=BY56,0,1*SUP_OPEX!$D$20*(IF(BZ56=0,0,INDEX(SUP_C3_EXPANSION!$H$20:$H$59,BZ56))-IF(BY56=0,0,INDEX(SUP_C3_EXPANSION!$H$20:$H$59,BY56)))+1*SUP_OPEX!$E$20*(IF(BZ56=0,0,INDEX(SUP_C3_EXPANSION!$I$20:$I$59,BZ56))-IF(BY56=0,0,INDEX(SUP_C3_EXPANSION!$I$20:$I$59,BY56)))+1*SUP_OPEX!$F$20*(IF(BZ56=0,0,INDEX(SUP_C3_EXPANSION!$J$20:$J$59,BZ56))-IF(BY56=0,0,INDEX(SUP_C3_EXPANSION!$J$20:$J$59,BY56))))-IF(BY56=BX56,0,1*SUP_OPEX!$D$20*(IF(BY56=0,0,INDEX(SUP_C3_EXPANSION!$H$20:$H$59,BY56))-IF(BX56=0,0,INDEX(SUP_C3_EXPANSION!$H$20:$H$59,BX56)))+1*SUP_OPEX!$E$20*(IF(BY56=0,0,INDEX(SUP_C3_EXPANSION!$I$20:$I$59,BY56))-IF(BX56=0,0,INDEX(SUP_C3_EXPANSION!$I$20:$I$59,BX56)))+1*SUP_OPEX!$F$20*(IF(BY56=0,0,INDEX(SUP_C3_EXPANSION!$J$20:$J$59,BY56))-IF(BX56=0,0,INDEX(SUP_C3_EXPANSION!$J$20:$J$59,BX56))))</f>
        <v>2400</v>
      </c>
      <c r="CB66">
        <f>IF(CB56=CA56,0,2*SUP_OPEX!$D$20*(IF(CB56=0,0,INDEX(SUP_C3_EXPANSION!$H$20:$H$59,CB56))-IF(CA56=0,0,INDEX(SUP_C3_EXPANSION!$H$20:$H$59,CA56)))+2*SUP_OPEX!$E$20*(IF(CB56=0,0,INDEX(SUP_C3_EXPANSION!$I$20:$I$59,CB56))-IF(CA56=0,0,INDEX(SUP_C3_EXPANSION!$I$20:$I$59,CA56)))+2*SUP_OPEX!$F$20*(IF(CB56=0,0,INDEX(SUP_C3_EXPANSION!$J$20:$J$59,CB56))-IF(CA56=0,0,INDEX(SUP_C3_EXPANSION!$J$20:$J$59,CA56))))-IF(CA56=BZ56,0,1*SUP_OPEX!$D$20*(IF(CA56=0,0,INDEX(SUP_C3_EXPANSION!$H$20:$H$59,CA56))-IF(BZ56=0,0,INDEX(SUP_C3_EXPANSION!$H$20:$H$59,BZ56)))+1*SUP_OPEX!$E$20*(IF(CA56=0,0,INDEX(SUP_C3_EXPANSION!$I$20:$I$59,CA56))-IF(BZ56=0,0,INDEX(SUP_C3_EXPANSION!$I$20:$I$59,BZ56)))+1*SUP_OPEX!$F$20*(IF(CA56=0,0,INDEX(SUP_C3_EXPANSION!$J$20:$J$59,CA56))-IF(BZ56=0,0,INDEX(SUP_C3_EXPANSION!$J$20:$J$59,BZ56))))-IF(BZ56=BY56,0,1*SUP_OPEX!$D$20*(IF(BZ56=0,0,INDEX(SUP_C3_EXPANSION!$H$20:$H$59,BZ56))-IF(BY56=0,0,INDEX(SUP_C3_EXPANSION!$H$20:$H$59,BY56)))+1*SUP_OPEX!$E$20*(IF(BZ56=0,0,INDEX(SUP_C3_EXPANSION!$I$20:$I$59,BZ56))-IF(BY56=0,0,INDEX(SUP_C3_EXPANSION!$I$20:$I$59,BY56)))+1*SUP_OPEX!$F$20*(IF(BZ56=0,0,INDEX(SUP_C3_EXPANSION!$J$20:$J$59,BZ56))-IF(BY56=0,0,INDEX(SUP_C3_EXPANSION!$J$20:$J$59,BY56))))</f>
        <v>-1200</v>
      </c>
      <c r="CC66">
        <f>IF(CC56=CB56,0,2*SUP_OPEX!$D$20*(IF(CC56=0,0,INDEX(SUP_C3_EXPANSION!$H$20:$H$59,CC56))-IF(CB56=0,0,INDEX(SUP_C3_EXPANSION!$H$20:$H$59,CB56)))+2*SUP_OPEX!$E$20*(IF(CC56=0,0,INDEX(SUP_C3_EXPANSION!$I$20:$I$59,CC56))-IF(CB56=0,0,INDEX(SUP_C3_EXPANSION!$I$20:$I$59,CB56)))+2*SUP_OPEX!$F$20*(IF(CC56=0,0,INDEX(SUP_C3_EXPANSION!$J$20:$J$59,CC56))-IF(CB56=0,0,INDEX(SUP_C3_EXPANSION!$J$20:$J$59,CB56))))-IF(CB56=CA56,0,1*SUP_OPEX!$D$20*(IF(CB56=0,0,INDEX(SUP_C3_EXPANSION!$H$20:$H$59,CB56))-IF(CA56=0,0,INDEX(SUP_C3_EXPANSION!$H$20:$H$59,CA56)))+1*SUP_OPEX!$E$20*(IF(CB56=0,0,INDEX(SUP_C3_EXPANSION!$I$20:$I$59,CB56))-IF(CA56=0,0,INDEX(SUP_C3_EXPANSION!$I$20:$I$59,CA56)))+1*SUP_OPEX!$F$20*(IF(CB56=0,0,INDEX(SUP_C3_EXPANSION!$J$20:$J$59,CB56))-IF(CA56=0,0,INDEX(SUP_C3_EXPANSION!$J$20:$J$59,CA56))))-IF(CA56=BZ56,0,1*SUP_OPEX!$D$20*(IF(CA56=0,0,INDEX(SUP_C3_EXPANSION!$H$20:$H$59,CA56))-IF(BZ56=0,0,INDEX(SUP_C3_EXPANSION!$H$20:$H$59,BZ56)))+1*SUP_OPEX!$E$20*(IF(CA56=0,0,INDEX(SUP_C3_EXPANSION!$I$20:$I$59,CA56))-IF(BZ56=0,0,INDEX(SUP_C3_EXPANSION!$I$20:$I$59,BZ56)))+1*SUP_OPEX!$F$20*(IF(CA56=0,0,INDEX(SUP_C3_EXPANSION!$J$20:$J$59,CA56))-IF(BZ56=0,0,INDEX(SUP_C3_EXPANSION!$J$20:$J$59,BZ56))))</f>
        <v>-1200</v>
      </c>
      <c r="CD66">
        <f>IF(CD56=CC56,0,2*SUP_OPEX!$D$20*(IF(CD56=0,0,INDEX(SUP_C3_EXPANSION!$H$20:$H$59,CD56))-IF(CC56=0,0,INDEX(SUP_C3_EXPANSION!$H$20:$H$59,CC56)))+2*SUP_OPEX!$E$20*(IF(CD56=0,0,INDEX(SUP_C3_EXPANSION!$I$20:$I$59,CD56))-IF(CC56=0,0,INDEX(SUP_C3_EXPANSION!$I$20:$I$59,CC56)))+2*SUP_OPEX!$F$20*(IF(CD56=0,0,INDEX(SUP_C3_EXPANSION!$J$20:$J$59,CD56))-IF(CC56=0,0,INDEX(SUP_C3_EXPANSION!$J$20:$J$59,CC56))))-IF(CC56=CB56,0,1*SUP_OPEX!$D$20*(IF(CC56=0,0,INDEX(SUP_C3_EXPANSION!$H$20:$H$59,CC56))-IF(CB56=0,0,INDEX(SUP_C3_EXPANSION!$H$20:$H$59,CB56)))+1*SUP_OPEX!$E$20*(IF(CC56=0,0,INDEX(SUP_C3_EXPANSION!$I$20:$I$59,CC56))-IF(CB56=0,0,INDEX(SUP_C3_EXPANSION!$I$20:$I$59,CB56)))+1*SUP_OPEX!$F$20*(IF(CC56=0,0,INDEX(SUP_C3_EXPANSION!$J$20:$J$59,CC56))-IF(CB56=0,0,INDEX(SUP_C3_EXPANSION!$J$20:$J$59,CB56))))-IF(CB56=CA56,0,1*SUP_OPEX!$D$20*(IF(CB56=0,0,INDEX(SUP_C3_EXPANSION!$H$20:$H$59,CB56))-IF(CA56=0,0,INDEX(SUP_C3_EXPANSION!$H$20:$H$59,CA56)))+1*SUP_OPEX!$E$20*(IF(CB56=0,0,INDEX(SUP_C3_EXPANSION!$I$20:$I$59,CB56))-IF(CA56=0,0,INDEX(SUP_C3_EXPANSION!$I$20:$I$59,CA56)))+1*SUP_OPEX!$F$20*(IF(CB56=0,0,INDEX(SUP_C3_EXPANSION!$J$20:$J$59,CB56))-IF(CA56=0,0,INDEX(SUP_C3_EXPANSION!$J$20:$J$59,CA56))))</f>
        <v>-4000</v>
      </c>
      <c r="CE66">
        <f>IF(CE56=CD56,0,2*SUP_OPEX!$D$20*(IF(CE56=0,0,INDEX(SUP_C3_EXPANSION!$H$20:$H$59,CE56))-IF(CD56=0,0,INDEX(SUP_C3_EXPANSION!$H$20:$H$59,CD56)))+2*SUP_OPEX!$E$20*(IF(CE56=0,0,INDEX(SUP_C3_EXPANSION!$I$20:$I$59,CE56))-IF(CD56=0,0,INDEX(SUP_C3_EXPANSION!$I$20:$I$59,CD56)))+2*SUP_OPEX!$F$20*(IF(CE56=0,0,INDEX(SUP_C3_EXPANSION!$J$20:$J$59,CE56))-IF(CD56=0,0,INDEX(SUP_C3_EXPANSION!$J$20:$J$59,CD56))))-IF(CD56=CC56,0,1*SUP_OPEX!$D$20*(IF(CD56=0,0,INDEX(SUP_C3_EXPANSION!$H$20:$H$59,CD56))-IF(CC56=0,0,INDEX(SUP_C3_EXPANSION!$H$20:$H$59,CC56)))+1*SUP_OPEX!$E$20*(IF(CD56=0,0,INDEX(SUP_C3_EXPANSION!$I$20:$I$59,CD56))-IF(CC56=0,0,INDEX(SUP_C3_EXPANSION!$I$20:$I$59,CC56)))+1*SUP_OPEX!$F$20*(IF(CD56=0,0,INDEX(SUP_C3_EXPANSION!$J$20:$J$59,CD56))-IF(CC56=0,0,INDEX(SUP_C3_EXPANSION!$J$20:$J$59,CC56))))-IF(CC56=CB56,0,1*SUP_OPEX!$D$20*(IF(CC56=0,0,INDEX(SUP_C3_EXPANSION!$H$20:$H$59,CC56))-IF(CB56=0,0,INDEX(SUP_C3_EXPANSION!$H$20:$H$59,CB56)))+1*SUP_OPEX!$E$20*(IF(CC56=0,0,INDEX(SUP_C3_EXPANSION!$I$20:$I$59,CC56))-IF(CB56=0,0,INDEX(SUP_C3_EXPANSION!$I$20:$I$59,CB56)))+1*SUP_OPEX!$F$20*(IF(CC56=0,0,INDEX(SUP_C3_EXPANSION!$J$20:$J$59,CC56))-IF(CB56=0,0,INDEX(SUP_C3_EXPANSION!$J$20:$J$59,CB56))))</f>
        <v>-2000</v>
      </c>
      <c r="CF66">
        <f>IF(CF56=CE56,0,2*SUP_OPEX!$D$20*(IF(CF56=0,0,INDEX(SUP_C3_EXPANSION!$H$20:$H$59,CF56))-IF(CE56=0,0,INDEX(SUP_C3_EXPANSION!$H$20:$H$59,CE56)))+2*SUP_OPEX!$E$20*(IF(CF56=0,0,INDEX(SUP_C3_EXPANSION!$I$20:$I$59,CF56))-IF(CE56=0,0,INDEX(SUP_C3_EXPANSION!$I$20:$I$59,CE56)))+2*SUP_OPEX!$F$20*(IF(CF56=0,0,INDEX(SUP_C3_EXPANSION!$J$20:$J$59,CF56))-IF(CE56=0,0,INDEX(SUP_C3_EXPANSION!$J$20:$J$59,CE56))))-IF(CE56=CD56,0,1*SUP_OPEX!$D$20*(IF(CE56=0,0,INDEX(SUP_C3_EXPANSION!$H$20:$H$59,CE56))-IF(CD56=0,0,INDEX(SUP_C3_EXPANSION!$H$20:$H$59,CD56)))+1*SUP_OPEX!$E$20*(IF(CE56=0,0,INDEX(SUP_C3_EXPANSION!$I$20:$I$59,CE56))-IF(CD56=0,0,INDEX(SUP_C3_EXPANSION!$I$20:$I$59,CD56)))+1*SUP_OPEX!$F$20*(IF(CE56=0,0,INDEX(SUP_C3_EXPANSION!$J$20:$J$59,CE56))-IF(CD56=0,0,INDEX(SUP_C3_EXPANSION!$J$20:$J$59,CD56))))-IF(CD56=CC56,0,1*SUP_OPEX!$D$20*(IF(CD56=0,0,INDEX(SUP_C3_EXPANSION!$H$20:$H$59,CD56))-IF(CC56=0,0,INDEX(SUP_C3_EXPANSION!$H$20:$H$59,CC56)))+1*SUP_OPEX!$E$20*(IF(CD56=0,0,INDEX(SUP_C3_EXPANSION!$I$20:$I$59,CD56))-IF(CC56=0,0,INDEX(SUP_C3_EXPANSION!$I$20:$I$59,CC56)))+1*SUP_OPEX!$F$20*(IF(CD56=0,0,INDEX(SUP_C3_EXPANSION!$J$20:$J$59,CD56))-IF(CC56=0,0,INDEX(SUP_C3_EXPANSION!$J$20:$J$59,CC56))))</f>
        <v>0</v>
      </c>
      <c r="CG66">
        <f>IF(CG56=CF56,0,2*SUP_OPEX!$D$20*(IF(CG56=0,0,INDEX(SUP_C3_EXPANSION!$H$20:$H$59,CG56))-IF(CF56=0,0,INDEX(SUP_C3_EXPANSION!$H$20:$H$59,CF56)))+2*SUP_OPEX!$E$20*(IF(CG56=0,0,INDEX(SUP_C3_EXPANSION!$I$20:$I$59,CG56))-IF(CF56=0,0,INDEX(SUP_C3_EXPANSION!$I$20:$I$59,CF56)))+2*SUP_OPEX!$F$20*(IF(CG56=0,0,INDEX(SUP_C3_EXPANSION!$J$20:$J$59,CG56))-IF(CF56=0,0,INDEX(SUP_C3_EXPANSION!$J$20:$J$59,CF56))))-IF(CF56=CE56,0,1*SUP_OPEX!$D$20*(IF(CF56=0,0,INDEX(SUP_C3_EXPANSION!$H$20:$H$59,CF56))-IF(CE56=0,0,INDEX(SUP_C3_EXPANSION!$H$20:$H$59,CE56)))+1*SUP_OPEX!$E$20*(IF(CF56=0,0,INDEX(SUP_C3_EXPANSION!$I$20:$I$59,CF56))-IF(CE56=0,0,INDEX(SUP_C3_EXPANSION!$I$20:$I$59,CE56)))+1*SUP_OPEX!$F$20*(IF(CF56=0,0,INDEX(SUP_C3_EXPANSION!$J$20:$J$59,CF56))-IF(CE56=0,0,INDEX(SUP_C3_EXPANSION!$J$20:$J$59,CE56))))-IF(CE56=CD56,0,1*SUP_OPEX!$D$20*(IF(CE56=0,0,INDEX(SUP_C3_EXPANSION!$H$20:$H$59,CE56))-IF(CD56=0,0,INDEX(SUP_C3_EXPANSION!$H$20:$H$59,CD56)))+1*SUP_OPEX!$E$20*(IF(CE56=0,0,INDEX(SUP_C3_EXPANSION!$I$20:$I$59,CE56))-IF(CD56=0,0,INDEX(SUP_C3_EXPANSION!$I$20:$I$59,CD56)))+1*SUP_OPEX!$F$20*(IF(CE56=0,0,INDEX(SUP_C3_EXPANSION!$J$20:$J$59,CE56))-IF(CD56=0,0,INDEX(SUP_C3_EXPANSION!$J$20:$J$59,CD56))))</f>
        <v>0</v>
      </c>
      <c r="CH66">
        <f>IF(CH56=CG56,0,2*SUP_OPEX!$D$20*(IF(CH56=0,0,INDEX(SUP_C3_EXPANSION!$H$20:$H$59,CH56))-IF(CG56=0,0,INDEX(SUP_C3_EXPANSION!$H$20:$H$59,CG56)))+2*SUP_OPEX!$E$20*(IF(CH56=0,0,INDEX(SUP_C3_EXPANSION!$I$20:$I$59,CH56))-IF(CG56=0,0,INDEX(SUP_C3_EXPANSION!$I$20:$I$59,CG56)))+2*SUP_OPEX!$F$20*(IF(CH56=0,0,INDEX(SUP_C3_EXPANSION!$J$20:$J$59,CH56))-IF(CG56=0,0,INDEX(SUP_C3_EXPANSION!$J$20:$J$59,CG56))))-IF(CG56=CF56,0,1*SUP_OPEX!$D$20*(IF(CG56=0,0,INDEX(SUP_C3_EXPANSION!$H$20:$H$59,CG56))-IF(CF56=0,0,INDEX(SUP_C3_EXPANSION!$H$20:$H$59,CF56)))+1*SUP_OPEX!$E$20*(IF(CG56=0,0,INDEX(SUP_C3_EXPANSION!$I$20:$I$59,CG56))-IF(CF56=0,0,INDEX(SUP_C3_EXPANSION!$I$20:$I$59,CF56)))+1*SUP_OPEX!$F$20*(IF(CG56=0,0,INDEX(SUP_C3_EXPANSION!$J$20:$J$59,CG56))-IF(CF56=0,0,INDEX(SUP_C3_EXPANSION!$J$20:$J$59,CF56))))-IF(CF56=CE56,0,1*SUP_OPEX!$D$20*(IF(CF56=0,0,INDEX(SUP_C3_EXPANSION!$H$20:$H$59,CF56))-IF(CE56=0,0,INDEX(SUP_C3_EXPANSION!$H$20:$H$59,CE56)))+1*SUP_OPEX!$E$20*(IF(CF56=0,0,INDEX(SUP_C3_EXPANSION!$I$20:$I$59,CF56))-IF(CE56=0,0,INDEX(SUP_C3_EXPANSION!$I$20:$I$59,CE56)))+1*SUP_OPEX!$F$20*(IF(CF56=0,0,INDEX(SUP_C3_EXPANSION!$J$20:$J$59,CF56))-IF(CE56=0,0,INDEX(SUP_C3_EXPANSION!$J$20:$J$59,CE56))))</f>
        <v>0</v>
      </c>
      <c r="CI66">
        <f>IF(CI56=CH56,0,2*SUP_OPEX!$D$20*(IF(CI56=0,0,INDEX(SUP_C3_EXPANSION!$H$20:$H$59,CI56))-IF(CH56=0,0,INDEX(SUP_C3_EXPANSION!$H$20:$H$59,CH56)))+2*SUP_OPEX!$E$20*(IF(CI56=0,0,INDEX(SUP_C3_EXPANSION!$I$20:$I$59,CI56))-IF(CH56=0,0,INDEX(SUP_C3_EXPANSION!$I$20:$I$59,CH56)))+2*SUP_OPEX!$F$20*(IF(CI56=0,0,INDEX(SUP_C3_EXPANSION!$J$20:$J$59,CI56))-IF(CH56=0,0,INDEX(SUP_C3_EXPANSION!$J$20:$J$59,CH56))))-IF(CH56=CG56,0,1*SUP_OPEX!$D$20*(IF(CH56=0,0,INDEX(SUP_C3_EXPANSION!$H$20:$H$59,CH56))-IF(CG56=0,0,INDEX(SUP_C3_EXPANSION!$H$20:$H$59,CG56)))+1*SUP_OPEX!$E$20*(IF(CH56=0,0,INDEX(SUP_C3_EXPANSION!$I$20:$I$59,CH56))-IF(CG56=0,0,INDEX(SUP_C3_EXPANSION!$I$20:$I$59,CG56)))+1*SUP_OPEX!$F$20*(IF(CH56=0,0,INDEX(SUP_C3_EXPANSION!$J$20:$J$59,CH56))-IF(CG56=0,0,INDEX(SUP_C3_EXPANSION!$J$20:$J$59,CG56))))-IF(CG56=CF56,0,1*SUP_OPEX!$D$20*(IF(CG56=0,0,INDEX(SUP_C3_EXPANSION!$H$20:$H$59,CG56))-IF(CF56=0,0,INDEX(SUP_C3_EXPANSION!$H$20:$H$59,CF56)))+1*SUP_OPEX!$E$20*(IF(CG56=0,0,INDEX(SUP_C3_EXPANSION!$I$20:$I$59,CG56))-IF(CF56=0,0,INDEX(SUP_C3_EXPANSION!$I$20:$I$59,CF56)))+1*SUP_OPEX!$F$20*(IF(CG56=0,0,INDEX(SUP_C3_EXPANSION!$J$20:$J$59,CG56))-IF(CF56=0,0,INDEX(SUP_C3_EXPANSION!$J$20:$J$59,CF56))))</f>
        <v>0</v>
      </c>
      <c r="CJ66">
        <f>IF(CJ56=CI56,0,2*SUP_OPEX!$D$20*(IF(CJ56=0,0,INDEX(SUP_C3_EXPANSION!$H$20:$H$59,CJ56))-IF(CI56=0,0,INDEX(SUP_C3_EXPANSION!$H$20:$H$59,CI56)))+2*SUP_OPEX!$E$20*(IF(CJ56=0,0,INDEX(SUP_C3_EXPANSION!$I$20:$I$59,CJ56))-IF(CI56=0,0,INDEX(SUP_C3_EXPANSION!$I$20:$I$59,CI56)))+2*SUP_OPEX!$F$20*(IF(CJ56=0,0,INDEX(SUP_C3_EXPANSION!$J$20:$J$59,CJ56))-IF(CI56=0,0,INDEX(SUP_C3_EXPANSION!$J$20:$J$59,CI56))))-IF(CI56=CH56,0,1*SUP_OPEX!$D$20*(IF(CI56=0,0,INDEX(SUP_C3_EXPANSION!$H$20:$H$59,CI56))-IF(CH56=0,0,INDEX(SUP_C3_EXPANSION!$H$20:$H$59,CH56)))+1*SUP_OPEX!$E$20*(IF(CI56=0,0,INDEX(SUP_C3_EXPANSION!$I$20:$I$59,CI56))-IF(CH56=0,0,INDEX(SUP_C3_EXPANSION!$I$20:$I$59,CH56)))+1*SUP_OPEX!$F$20*(IF(CI56=0,0,INDEX(SUP_C3_EXPANSION!$J$20:$J$59,CI56))-IF(CH56=0,0,INDEX(SUP_C3_EXPANSION!$J$20:$J$59,CH56))))-IF(CH56=CG56,0,1*SUP_OPEX!$D$20*(IF(CH56=0,0,INDEX(SUP_C3_EXPANSION!$H$20:$H$59,CH56))-IF(CG56=0,0,INDEX(SUP_C3_EXPANSION!$H$20:$H$59,CG56)))+1*SUP_OPEX!$E$20*(IF(CH56=0,0,INDEX(SUP_C3_EXPANSION!$I$20:$I$59,CH56))-IF(CG56=0,0,INDEX(SUP_C3_EXPANSION!$I$20:$I$59,CG56)))+1*SUP_OPEX!$F$20*(IF(CH56=0,0,INDEX(SUP_C3_EXPANSION!$J$20:$J$59,CH56))-IF(CG56=0,0,INDEX(SUP_C3_EXPANSION!$J$20:$J$59,CG56))))</f>
        <v>0</v>
      </c>
      <c r="CK66">
        <f>IF(CK56=CJ56,0,2*SUP_OPEX!$D$20*(IF(CK56=0,0,INDEX(SUP_C3_EXPANSION!$H$20:$H$59,CK56))-IF(CJ56=0,0,INDEX(SUP_C3_EXPANSION!$H$20:$H$59,CJ56)))+2*SUP_OPEX!$E$20*(IF(CK56=0,0,INDEX(SUP_C3_EXPANSION!$I$20:$I$59,CK56))-IF(CJ56=0,0,INDEX(SUP_C3_EXPANSION!$I$20:$I$59,CJ56)))+2*SUP_OPEX!$F$20*(IF(CK56=0,0,INDEX(SUP_C3_EXPANSION!$J$20:$J$59,CK56))-IF(CJ56=0,0,INDEX(SUP_C3_EXPANSION!$J$20:$J$59,CJ56))))-IF(CJ56=CI56,0,1*SUP_OPEX!$D$20*(IF(CJ56=0,0,INDEX(SUP_C3_EXPANSION!$H$20:$H$59,CJ56))-IF(CI56=0,0,INDEX(SUP_C3_EXPANSION!$H$20:$H$59,CI56)))+1*SUP_OPEX!$E$20*(IF(CJ56=0,0,INDEX(SUP_C3_EXPANSION!$I$20:$I$59,CJ56))-IF(CI56=0,0,INDEX(SUP_C3_EXPANSION!$I$20:$I$59,CI56)))+1*SUP_OPEX!$F$20*(IF(CJ56=0,0,INDEX(SUP_C3_EXPANSION!$J$20:$J$59,CJ56))-IF(CI56=0,0,INDEX(SUP_C3_EXPANSION!$J$20:$J$59,CI56))))-IF(CI56=CH56,0,1*SUP_OPEX!$D$20*(IF(CI56=0,0,INDEX(SUP_C3_EXPANSION!$H$20:$H$59,CI56))-IF(CH56=0,0,INDEX(SUP_C3_EXPANSION!$H$20:$H$59,CH56)))+1*SUP_OPEX!$E$20*(IF(CI56=0,0,INDEX(SUP_C3_EXPANSION!$I$20:$I$59,CI56))-IF(CH56=0,0,INDEX(SUP_C3_EXPANSION!$I$20:$I$59,CH56)))+1*SUP_OPEX!$F$20*(IF(CI56=0,0,INDEX(SUP_C3_EXPANSION!$J$20:$J$59,CI56))-IF(CH56=0,0,INDEX(SUP_C3_EXPANSION!$J$20:$J$59,CH56))))</f>
        <v>0</v>
      </c>
      <c r="CL66">
        <f>IF(CL56=CK56,0,2*SUP_OPEX!$D$20*(IF(CL56=0,0,INDEX(SUP_C3_EXPANSION!$H$20:$H$59,CL56))-IF(CK56=0,0,INDEX(SUP_C3_EXPANSION!$H$20:$H$59,CK56)))+2*SUP_OPEX!$E$20*(IF(CL56=0,0,INDEX(SUP_C3_EXPANSION!$I$20:$I$59,CL56))-IF(CK56=0,0,INDEX(SUP_C3_EXPANSION!$I$20:$I$59,CK56)))+2*SUP_OPEX!$F$20*(IF(CL56=0,0,INDEX(SUP_C3_EXPANSION!$J$20:$J$59,CL56))-IF(CK56=0,0,INDEX(SUP_C3_EXPANSION!$J$20:$J$59,CK56))))-IF(CK56=CJ56,0,1*SUP_OPEX!$D$20*(IF(CK56=0,0,INDEX(SUP_C3_EXPANSION!$H$20:$H$59,CK56))-IF(CJ56=0,0,INDEX(SUP_C3_EXPANSION!$H$20:$H$59,CJ56)))+1*SUP_OPEX!$E$20*(IF(CK56=0,0,INDEX(SUP_C3_EXPANSION!$I$20:$I$59,CK56))-IF(CJ56=0,0,INDEX(SUP_C3_EXPANSION!$I$20:$I$59,CJ56)))+1*SUP_OPEX!$F$20*(IF(CK56=0,0,INDEX(SUP_C3_EXPANSION!$J$20:$J$59,CK56))-IF(CJ56=0,0,INDEX(SUP_C3_EXPANSION!$J$20:$J$59,CJ56))))-IF(CJ56=CI56,0,1*SUP_OPEX!$D$20*(IF(CJ56=0,0,INDEX(SUP_C3_EXPANSION!$H$20:$H$59,CJ56))-IF(CI56=0,0,INDEX(SUP_C3_EXPANSION!$H$20:$H$59,CI56)))+1*SUP_OPEX!$E$20*(IF(CJ56=0,0,INDEX(SUP_C3_EXPANSION!$I$20:$I$59,CJ56))-IF(CI56=0,0,INDEX(SUP_C3_EXPANSION!$I$20:$I$59,CI56)))+1*SUP_OPEX!$F$20*(IF(CJ56=0,0,INDEX(SUP_C3_EXPANSION!$J$20:$J$59,CJ56))-IF(CI56=0,0,INDEX(SUP_C3_EXPANSION!$J$20:$J$59,CI56))))</f>
        <v>0</v>
      </c>
      <c r="CM66">
        <f>IF(CM56=CL56,0,2*SUP_OPEX!$D$20*(IF(CM56=0,0,INDEX(SUP_C3_EXPANSION!$H$20:$H$59,CM56))-IF(CL56=0,0,INDEX(SUP_C3_EXPANSION!$H$20:$H$59,CL56)))+2*SUP_OPEX!$E$20*(IF(CM56=0,0,INDEX(SUP_C3_EXPANSION!$I$20:$I$59,CM56))-IF(CL56=0,0,INDEX(SUP_C3_EXPANSION!$I$20:$I$59,CL56)))+2*SUP_OPEX!$F$20*(IF(CM56=0,0,INDEX(SUP_C3_EXPANSION!$J$20:$J$59,CM56))-IF(CL56=0,0,INDEX(SUP_C3_EXPANSION!$J$20:$J$59,CL56))))-IF(CL56=CK56,0,1*SUP_OPEX!$D$20*(IF(CL56=0,0,INDEX(SUP_C3_EXPANSION!$H$20:$H$59,CL56))-IF(CK56=0,0,INDEX(SUP_C3_EXPANSION!$H$20:$H$59,CK56)))+1*SUP_OPEX!$E$20*(IF(CL56=0,0,INDEX(SUP_C3_EXPANSION!$I$20:$I$59,CL56))-IF(CK56=0,0,INDEX(SUP_C3_EXPANSION!$I$20:$I$59,CK56)))+1*SUP_OPEX!$F$20*(IF(CL56=0,0,INDEX(SUP_C3_EXPANSION!$J$20:$J$59,CL56))-IF(CK56=0,0,INDEX(SUP_C3_EXPANSION!$J$20:$J$59,CK56))))-IF(CK56=CJ56,0,1*SUP_OPEX!$D$20*(IF(CK56=0,0,INDEX(SUP_C3_EXPANSION!$H$20:$H$59,CK56))-IF(CJ56=0,0,INDEX(SUP_C3_EXPANSION!$H$20:$H$59,CJ56)))+1*SUP_OPEX!$E$20*(IF(CK56=0,0,INDEX(SUP_C3_EXPANSION!$I$20:$I$59,CK56))-IF(CJ56=0,0,INDEX(SUP_C3_EXPANSION!$I$20:$I$59,CJ56)))+1*SUP_OPEX!$F$20*(IF(CK56=0,0,INDEX(SUP_C3_EXPANSION!$J$20:$J$59,CK56))-IF(CJ56=0,0,INDEX(SUP_C3_EXPANSION!$J$20:$J$59,CJ56))))</f>
        <v>0</v>
      </c>
      <c r="CN66">
        <f>IF(CN56=CM56,0,2*SUP_OPEX!$D$20*(IF(CN56=0,0,INDEX(SUP_C3_EXPANSION!$H$20:$H$59,CN56))-IF(CM56=0,0,INDEX(SUP_C3_EXPANSION!$H$20:$H$59,CM56)))+2*SUP_OPEX!$E$20*(IF(CN56=0,0,INDEX(SUP_C3_EXPANSION!$I$20:$I$59,CN56))-IF(CM56=0,0,INDEX(SUP_C3_EXPANSION!$I$20:$I$59,CM56)))+2*SUP_OPEX!$F$20*(IF(CN56=0,0,INDEX(SUP_C3_EXPANSION!$J$20:$J$59,CN56))-IF(CM56=0,0,INDEX(SUP_C3_EXPANSION!$J$20:$J$59,CM56))))-IF(CM56=CL56,0,1*SUP_OPEX!$D$20*(IF(CM56=0,0,INDEX(SUP_C3_EXPANSION!$H$20:$H$59,CM56))-IF(CL56=0,0,INDEX(SUP_C3_EXPANSION!$H$20:$H$59,CL56)))+1*SUP_OPEX!$E$20*(IF(CM56=0,0,INDEX(SUP_C3_EXPANSION!$I$20:$I$59,CM56))-IF(CL56=0,0,INDEX(SUP_C3_EXPANSION!$I$20:$I$59,CL56)))+1*SUP_OPEX!$F$20*(IF(CM56=0,0,INDEX(SUP_C3_EXPANSION!$J$20:$J$59,CM56))-IF(CL56=0,0,INDEX(SUP_C3_EXPANSION!$J$20:$J$59,CL56))))-IF(CL56=CK56,0,1*SUP_OPEX!$D$20*(IF(CL56=0,0,INDEX(SUP_C3_EXPANSION!$H$20:$H$59,CL56))-IF(CK56=0,0,INDEX(SUP_C3_EXPANSION!$H$20:$H$59,CK56)))+1*SUP_OPEX!$E$20*(IF(CL56=0,0,INDEX(SUP_C3_EXPANSION!$I$20:$I$59,CL56))-IF(CK56=0,0,INDEX(SUP_C3_EXPANSION!$I$20:$I$59,CK56)))+1*SUP_OPEX!$F$20*(IF(CL56=0,0,INDEX(SUP_C3_EXPANSION!$J$20:$J$59,CL56))-IF(CK56=0,0,INDEX(SUP_C3_EXPANSION!$J$20:$J$59,CK56))))</f>
        <v>0</v>
      </c>
      <c r="CO66">
        <f>IF(CO56=CN56,0,2*SUP_OPEX!$D$20*(IF(CO56=0,0,INDEX(SUP_C3_EXPANSION!$H$20:$H$59,CO56))-IF(CN56=0,0,INDEX(SUP_C3_EXPANSION!$H$20:$H$59,CN56)))+2*SUP_OPEX!$E$20*(IF(CO56=0,0,INDEX(SUP_C3_EXPANSION!$I$20:$I$59,CO56))-IF(CN56=0,0,INDEX(SUP_C3_EXPANSION!$I$20:$I$59,CN56)))+2*SUP_OPEX!$F$20*(IF(CO56=0,0,INDEX(SUP_C3_EXPANSION!$J$20:$J$59,CO56))-IF(CN56=0,0,INDEX(SUP_C3_EXPANSION!$J$20:$J$59,CN56))))-IF(CN56=CM56,0,1*SUP_OPEX!$D$20*(IF(CN56=0,0,INDEX(SUP_C3_EXPANSION!$H$20:$H$59,CN56))-IF(CM56=0,0,INDEX(SUP_C3_EXPANSION!$H$20:$H$59,CM56)))+1*SUP_OPEX!$E$20*(IF(CN56=0,0,INDEX(SUP_C3_EXPANSION!$I$20:$I$59,CN56))-IF(CM56=0,0,INDEX(SUP_C3_EXPANSION!$I$20:$I$59,CM56)))+1*SUP_OPEX!$F$20*(IF(CN56=0,0,INDEX(SUP_C3_EXPANSION!$J$20:$J$59,CN56))-IF(CM56=0,0,INDEX(SUP_C3_EXPANSION!$J$20:$J$59,CM56))))-IF(CM56=CL56,0,1*SUP_OPEX!$D$20*(IF(CM56=0,0,INDEX(SUP_C3_EXPANSION!$H$20:$H$59,CM56))-IF(CL56=0,0,INDEX(SUP_C3_EXPANSION!$H$20:$H$59,CL56)))+1*SUP_OPEX!$E$20*(IF(CM56=0,0,INDEX(SUP_C3_EXPANSION!$I$20:$I$59,CM56))-IF(CL56=0,0,INDEX(SUP_C3_EXPANSION!$I$20:$I$59,CL56)))+1*SUP_OPEX!$F$20*(IF(CM56=0,0,INDEX(SUP_C3_EXPANSION!$J$20:$J$59,CM56))-IF(CL56=0,0,INDEX(SUP_C3_EXPANSION!$J$20:$J$59,CL56))))</f>
        <v>0</v>
      </c>
      <c r="CP66">
        <f>IF(CP56=CO56,0,2*SUP_OPEX!$D$20*(IF(CP56=0,0,INDEX(SUP_C3_EXPANSION!$H$20:$H$59,CP56))-IF(CO56=0,0,INDEX(SUP_C3_EXPANSION!$H$20:$H$59,CO56)))+2*SUP_OPEX!$E$20*(IF(CP56=0,0,INDEX(SUP_C3_EXPANSION!$I$20:$I$59,CP56))-IF(CO56=0,0,INDEX(SUP_C3_EXPANSION!$I$20:$I$59,CO56)))+2*SUP_OPEX!$F$20*(IF(CP56=0,0,INDEX(SUP_C3_EXPANSION!$J$20:$J$59,CP56))-IF(CO56=0,0,INDEX(SUP_C3_EXPANSION!$J$20:$J$59,CO56))))-IF(CO56=CN56,0,1*SUP_OPEX!$D$20*(IF(CO56=0,0,INDEX(SUP_C3_EXPANSION!$H$20:$H$59,CO56))-IF(CN56=0,0,INDEX(SUP_C3_EXPANSION!$H$20:$H$59,CN56)))+1*SUP_OPEX!$E$20*(IF(CO56=0,0,INDEX(SUP_C3_EXPANSION!$I$20:$I$59,CO56))-IF(CN56=0,0,INDEX(SUP_C3_EXPANSION!$I$20:$I$59,CN56)))+1*SUP_OPEX!$F$20*(IF(CO56=0,0,INDEX(SUP_C3_EXPANSION!$J$20:$J$59,CO56))-IF(CN56=0,0,INDEX(SUP_C3_EXPANSION!$J$20:$J$59,CN56))))-IF(CN56=CM56,0,1*SUP_OPEX!$D$20*(IF(CN56=0,0,INDEX(SUP_C3_EXPANSION!$H$20:$H$59,CN56))-IF(CM56=0,0,INDEX(SUP_C3_EXPANSION!$H$20:$H$59,CM56)))+1*SUP_OPEX!$E$20*(IF(CN56=0,0,INDEX(SUP_C3_EXPANSION!$I$20:$I$59,CN56))-IF(CM56=0,0,INDEX(SUP_C3_EXPANSION!$I$20:$I$59,CM56)))+1*SUP_OPEX!$F$20*(IF(CN56=0,0,INDEX(SUP_C3_EXPANSION!$J$20:$J$59,CN56))-IF(CM56=0,0,INDEX(SUP_C3_EXPANSION!$J$20:$J$59,CM56))))</f>
        <v>0</v>
      </c>
      <c r="CQ66">
        <f>IF(CQ56=CP56,0,2*SUP_OPEX!$D$20*(IF(CQ56=0,0,INDEX(SUP_C3_EXPANSION!$H$20:$H$59,CQ56))-IF(CP56=0,0,INDEX(SUP_C3_EXPANSION!$H$20:$H$59,CP56)))+2*SUP_OPEX!$E$20*(IF(CQ56=0,0,INDEX(SUP_C3_EXPANSION!$I$20:$I$59,CQ56))-IF(CP56=0,0,INDEX(SUP_C3_EXPANSION!$I$20:$I$59,CP56)))+2*SUP_OPEX!$F$20*(IF(CQ56=0,0,INDEX(SUP_C3_EXPANSION!$J$20:$J$59,CQ56))-IF(CP56=0,0,INDEX(SUP_C3_EXPANSION!$J$20:$J$59,CP56))))-IF(CP56=CO56,0,1*SUP_OPEX!$D$20*(IF(CP56=0,0,INDEX(SUP_C3_EXPANSION!$H$20:$H$59,CP56))-IF(CO56=0,0,INDEX(SUP_C3_EXPANSION!$H$20:$H$59,CO56)))+1*SUP_OPEX!$E$20*(IF(CP56=0,0,INDEX(SUP_C3_EXPANSION!$I$20:$I$59,CP56))-IF(CO56=0,0,INDEX(SUP_C3_EXPANSION!$I$20:$I$59,CO56)))+1*SUP_OPEX!$F$20*(IF(CP56=0,0,INDEX(SUP_C3_EXPANSION!$J$20:$J$59,CP56))-IF(CO56=0,0,INDEX(SUP_C3_EXPANSION!$J$20:$J$59,CO56))))-IF(CO56=CN56,0,1*SUP_OPEX!$D$20*(IF(CO56=0,0,INDEX(SUP_C3_EXPANSION!$H$20:$H$59,CO56))-IF(CN56=0,0,INDEX(SUP_C3_EXPANSION!$H$20:$H$59,CN56)))+1*SUP_OPEX!$E$20*(IF(CO56=0,0,INDEX(SUP_C3_EXPANSION!$I$20:$I$59,CO56))-IF(CN56=0,0,INDEX(SUP_C3_EXPANSION!$I$20:$I$59,CN56)))+1*SUP_OPEX!$F$20*(IF(CO56=0,0,INDEX(SUP_C3_EXPANSION!$J$20:$J$59,CO56))-IF(CN56=0,0,INDEX(SUP_C3_EXPANSION!$J$20:$J$59,CN56))))</f>
        <v>0</v>
      </c>
      <c r="CR66">
        <f>IF(CR56=CQ56,0,2*SUP_OPEX!$D$20*(IF(CR56=0,0,INDEX(SUP_C3_EXPANSION!$H$20:$H$59,CR56))-IF(CQ56=0,0,INDEX(SUP_C3_EXPANSION!$H$20:$H$59,CQ56)))+2*SUP_OPEX!$E$20*(IF(CR56=0,0,INDEX(SUP_C3_EXPANSION!$I$20:$I$59,CR56))-IF(CQ56=0,0,INDEX(SUP_C3_EXPANSION!$I$20:$I$59,CQ56)))+2*SUP_OPEX!$F$20*(IF(CR56=0,0,INDEX(SUP_C3_EXPANSION!$J$20:$J$59,CR56))-IF(CQ56=0,0,INDEX(SUP_C3_EXPANSION!$J$20:$J$59,CQ56))))-IF(CQ56=CP56,0,1*SUP_OPEX!$D$20*(IF(CQ56=0,0,INDEX(SUP_C3_EXPANSION!$H$20:$H$59,CQ56))-IF(CP56=0,0,INDEX(SUP_C3_EXPANSION!$H$20:$H$59,CP56)))+1*SUP_OPEX!$E$20*(IF(CQ56=0,0,INDEX(SUP_C3_EXPANSION!$I$20:$I$59,CQ56))-IF(CP56=0,0,INDEX(SUP_C3_EXPANSION!$I$20:$I$59,CP56)))+1*SUP_OPEX!$F$20*(IF(CQ56=0,0,INDEX(SUP_C3_EXPANSION!$J$20:$J$59,CQ56))-IF(CP56=0,0,INDEX(SUP_C3_EXPANSION!$J$20:$J$59,CP56))))-IF(CP56=CO56,0,1*SUP_OPEX!$D$20*(IF(CP56=0,0,INDEX(SUP_C3_EXPANSION!$H$20:$H$59,CP56))-IF(CO56=0,0,INDEX(SUP_C3_EXPANSION!$H$20:$H$59,CO56)))+1*SUP_OPEX!$E$20*(IF(CP56=0,0,INDEX(SUP_C3_EXPANSION!$I$20:$I$59,CP56))-IF(CO56=0,0,INDEX(SUP_C3_EXPANSION!$I$20:$I$59,CO56)))+1*SUP_OPEX!$F$20*(IF(CP56=0,0,INDEX(SUP_C3_EXPANSION!$J$20:$J$59,CP56))-IF(CO56=0,0,INDEX(SUP_C3_EXPANSION!$J$20:$J$59,CO56))))</f>
        <v>0</v>
      </c>
      <c r="CS66">
        <f>IF(CS56=CR56,0,2*SUP_OPEX!$D$20*(IF(CS56=0,0,INDEX(SUP_C3_EXPANSION!$H$20:$H$59,CS56))-IF(CR56=0,0,INDEX(SUP_C3_EXPANSION!$H$20:$H$59,CR56)))+2*SUP_OPEX!$E$20*(IF(CS56=0,0,INDEX(SUP_C3_EXPANSION!$I$20:$I$59,CS56))-IF(CR56=0,0,INDEX(SUP_C3_EXPANSION!$I$20:$I$59,CR56)))+2*SUP_OPEX!$F$20*(IF(CS56=0,0,INDEX(SUP_C3_EXPANSION!$J$20:$J$59,CS56))-IF(CR56=0,0,INDEX(SUP_C3_EXPANSION!$J$20:$J$59,CR56))))-IF(CR56=CQ56,0,1*SUP_OPEX!$D$20*(IF(CR56=0,0,INDEX(SUP_C3_EXPANSION!$H$20:$H$59,CR56))-IF(CQ56=0,0,INDEX(SUP_C3_EXPANSION!$H$20:$H$59,CQ56)))+1*SUP_OPEX!$E$20*(IF(CR56=0,0,INDEX(SUP_C3_EXPANSION!$I$20:$I$59,CR56))-IF(CQ56=0,0,INDEX(SUP_C3_EXPANSION!$I$20:$I$59,CQ56)))+1*SUP_OPEX!$F$20*(IF(CR56=0,0,INDEX(SUP_C3_EXPANSION!$J$20:$J$59,CR56))-IF(CQ56=0,0,INDEX(SUP_C3_EXPANSION!$J$20:$J$59,CQ56))))-IF(CQ56=CP56,0,1*SUP_OPEX!$D$20*(IF(CQ56=0,0,INDEX(SUP_C3_EXPANSION!$H$20:$H$59,CQ56))-IF(CP56=0,0,INDEX(SUP_C3_EXPANSION!$H$20:$H$59,CP56)))+1*SUP_OPEX!$E$20*(IF(CQ56=0,0,INDEX(SUP_C3_EXPANSION!$I$20:$I$59,CQ56))-IF(CP56=0,0,INDEX(SUP_C3_EXPANSION!$I$20:$I$59,CP56)))+1*SUP_OPEX!$F$20*(IF(CQ56=0,0,INDEX(SUP_C3_EXPANSION!$J$20:$J$59,CQ56))-IF(CP56=0,0,INDEX(SUP_C3_EXPANSION!$J$20:$J$59,CP56))))</f>
        <v>0</v>
      </c>
      <c r="CT66">
        <f>IF(CT56=CS56,0,2*SUP_OPEX!$D$20*(IF(CT56=0,0,INDEX(SUP_C3_EXPANSION!$H$20:$H$59,CT56))-IF(CS56=0,0,INDEX(SUP_C3_EXPANSION!$H$20:$H$59,CS56)))+2*SUP_OPEX!$E$20*(IF(CT56=0,0,INDEX(SUP_C3_EXPANSION!$I$20:$I$59,CT56))-IF(CS56=0,0,INDEX(SUP_C3_EXPANSION!$I$20:$I$59,CS56)))+2*SUP_OPEX!$F$20*(IF(CT56=0,0,INDEX(SUP_C3_EXPANSION!$J$20:$J$59,CT56))-IF(CS56=0,0,INDEX(SUP_C3_EXPANSION!$J$20:$J$59,CS56))))-IF(CS56=CR56,0,1*SUP_OPEX!$D$20*(IF(CS56=0,0,INDEX(SUP_C3_EXPANSION!$H$20:$H$59,CS56))-IF(CR56=0,0,INDEX(SUP_C3_EXPANSION!$H$20:$H$59,CR56)))+1*SUP_OPEX!$E$20*(IF(CS56=0,0,INDEX(SUP_C3_EXPANSION!$I$20:$I$59,CS56))-IF(CR56=0,0,INDEX(SUP_C3_EXPANSION!$I$20:$I$59,CR56)))+1*SUP_OPEX!$F$20*(IF(CS56=0,0,INDEX(SUP_C3_EXPANSION!$J$20:$J$59,CS56))-IF(CR56=0,0,INDEX(SUP_C3_EXPANSION!$J$20:$J$59,CR56))))-IF(CR56=CQ56,0,1*SUP_OPEX!$D$20*(IF(CR56=0,0,INDEX(SUP_C3_EXPANSION!$H$20:$H$59,CR56))-IF(CQ56=0,0,INDEX(SUP_C3_EXPANSION!$H$20:$H$59,CQ56)))+1*SUP_OPEX!$E$20*(IF(CR56=0,0,INDEX(SUP_C3_EXPANSION!$I$20:$I$59,CR56))-IF(CQ56=0,0,INDEX(SUP_C3_EXPANSION!$I$20:$I$59,CQ56)))+1*SUP_OPEX!$F$20*(IF(CR56=0,0,INDEX(SUP_C3_EXPANSION!$J$20:$J$59,CR56))-IF(CQ56=0,0,INDEX(SUP_C3_EXPANSION!$J$20:$J$59,CQ56))))</f>
        <v>0</v>
      </c>
      <c r="CU66">
        <f>IF(CU56=CT56,0,2*SUP_OPEX!$D$20*(IF(CU56=0,0,INDEX(SUP_C3_EXPANSION!$H$20:$H$59,CU56))-IF(CT56=0,0,INDEX(SUP_C3_EXPANSION!$H$20:$H$59,CT56)))+2*SUP_OPEX!$E$20*(IF(CU56=0,0,INDEX(SUP_C3_EXPANSION!$I$20:$I$59,CU56))-IF(CT56=0,0,INDEX(SUP_C3_EXPANSION!$I$20:$I$59,CT56)))+2*SUP_OPEX!$F$20*(IF(CU56=0,0,INDEX(SUP_C3_EXPANSION!$J$20:$J$59,CU56))-IF(CT56=0,0,INDEX(SUP_C3_EXPANSION!$J$20:$J$59,CT56))))-IF(CT56=CS56,0,1*SUP_OPEX!$D$20*(IF(CT56=0,0,INDEX(SUP_C3_EXPANSION!$H$20:$H$59,CT56))-IF(CS56=0,0,INDEX(SUP_C3_EXPANSION!$H$20:$H$59,CS56)))+1*SUP_OPEX!$E$20*(IF(CT56=0,0,INDEX(SUP_C3_EXPANSION!$I$20:$I$59,CT56))-IF(CS56=0,0,INDEX(SUP_C3_EXPANSION!$I$20:$I$59,CS56)))+1*SUP_OPEX!$F$20*(IF(CT56=0,0,INDEX(SUP_C3_EXPANSION!$J$20:$J$59,CT56))-IF(CS56=0,0,INDEX(SUP_C3_EXPANSION!$J$20:$J$59,CS56))))-IF(CS56=CR56,0,1*SUP_OPEX!$D$20*(IF(CS56=0,0,INDEX(SUP_C3_EXPANSION!$H$20:$H$59,CS56))-IF(CR56=0,0,INDEX(SUP_C3_EXPANSION!$H$20:$H$59,CR56)))+1*SUP_OPEX!$E$20*(IF(CS56=0,0,INDEX(SUP_C3_EXPANSION!$I$20:$I$59,CS56))-IF(CR56=0,0,INDEX(SUP_C3_EXPANSION!$I$20:$I$59,CR56)))+1*SUP_OPEX!$F$20*(IF(CS56=0,0,INDEX(SUP_C3_EXPANSION!$J$20:$J$59,CS56))-IF(CR56=0,0,INDEX(SUP_C3_EXPANSION!$J$20:$J$59,CR56))))</f>
        <v>0</v>
      </c>
      <c r="CV66">
        <f>IF(CV56=CU56,0,2*SUP_OPEX!$D$20*(IF(CV56=0,0,INDEX(SUP_C3_EXPANSION!$H$20:$H$59,CV56))-IF(CU56=0,0,INDEX(SUP_C3_EXPANSION!$H$20:$H$59,CU56)))+2*SUP_OPEX!$E$20*(IF(CV56=0,0,INDEX(SUP_C3_EXPANSION!$I$20:$I$59,CV56))-IF(CU56=0,0,INDEX(SUP_C3_EXPANSION!$I$20:$I$59,CU56)))+2*SUP_OPEX!$F$20*(IF(CV56=0,0,INDEX(SUP_C3_EXPANSION!$J$20:$J$59,CV56))-IF(CU56=0,0,INDEX(SUP_C3_EXPANSION!$J$20:$J$59,CU56))))-IF(CU56=CT56,0,1*SUP_OPEX!$D$20*(IF(CU56=0,0,INDEX(SUP_C3_EXPANSION!$H$20:$H$59,CU56))-IF(CT56=0,0,INDEX(SUP_C3_EXPANSION!$H$20:$H$59,CT56)))+1*SUP_OPEX!$E$20*(IF(CU56=0,0,INDEX(SUP_C3_EXPANSION!$I$20:$I$59,CU56))-IF(CT56=0,0,INDEX(SUP_C3_EXPANSION!$I$20:$I$59,CT56)))+1*SUP_OPEX!$F$20*(IF(CU56=0,0,INDEX(SUP_C3_EXPANSION!$J$20:$J$59,CU56))-IF(CT56=0,0,INDEX(SUP_C3_EXPANSION!$J$20:$J$59,CT56))))-IF(CT56=CS56,0,1*SUP_OPEX!$D$20*(IF(CT56=0,0,INDEX(SUP_C3_EXPANSION!$H$20:$H$59,CT56))-IF(CS56=0,0,INDEX(SUP_C3_EXPANSION!$H$20:$H$59,CS56)))+1*SUP_OPEX!$E$20*(IF(CT56=0,0,INDEX(SUP_C3_EXPANSION!$I$20:$I$59,CT56))-IF(CS56=0,0,INDEX(SUP_C3_EXPANSION!$I$20:$I$59,CS56)))+1*SUP_OPEX!$F$20*(IF(CT56=0,0,INDEX(SUP_C3_EXPANSION!$J$20:$J$59,CT56))-IF(CS56=0,0,INDEX(SUP_C3_EXPANSION!$J$20:$J$59,CS56))))</f>
        <v>0</v>
      </c>
      <c r="CW66">
        <f>IF(CW56=CV56,0,2*SUP_OPEX!$D$20*(IF(CW56=0,0,INDEX(SUP_C3_EXPANSION!$H$20:$H$59,CW56))-IF(CV56=0,0,INDEX(SUP_C3_EXPANSION!$H$20:$H$59,CV56)))+2*SUP_OPEX!$E$20*(IF(CW56=0,0,INDEX(SUP_C3_EXPANSION!$I$20:$I$59,CW56))-IF(CV56=0,0,INDEX(SUP_C3_EXPANSION!$I$20:$I$59,CV56)))+2*SUP_OPEX!$F$20*(IF(CW56=0,0,INDEX(SUP_C3_EXPANSION!$J$20:$J$59,CW56))-IF(CV56=0,0,INDEX(SUP_C3_EXPANSION!$J$20:$J$59,CV56))))-IF(CV56=CU56,0,1*SUP_OPEX!$D$20*(IF(CV56=0,0,INDEX(SUP_C3_EXPANSION!$H$20:$H$59,CV56))-IF(CU56=0,0,INDEX(SUP_C3_EXPANSION!$H$20:$H$59,CU56)))+1*SUP_OPEX!$E$20*(IF(CV56=0,0,INDEX(SUP_C3_EXPANSION!$I$20:$I$59,CV56))-IF(CU56=0,0,INDEX(SUP_C3_EXPANSION!$I$20:$I$59,CU56)))+1*SUP_OPEX!$F$20*(IF(CV56=0,0,INDEX(SUP_C3_EXPANSION!$J$20:$J$59,CV56))-IF(CU56=0,0,INDEX(SUP_C3_EXPANSION!$J$20:$J$59,CU56))))-IF(CU56=CT56,0,1*SUP_OPEX!$D$20*(IF(CU56=0,0,INDEX(SUP_C3_EXPANSION!$H$20:$H$59,CU56))-IF(CT56=0,0,INDEX(SUP_C3_EXPANSION!$H$20:$H$59,CT56)))+1*SUP_OPEX!$E$20*(IF(CU56=0,0,INDEX(SUP_C3_EXPANSION!$I$20:$I$59,CU56))-IF(CT56=0,0,INDEX(SUP_C3_EXPANSION!$I$20:$I$59,CT56)))+1*SUP_OPEX!$F$20*(IF(CU56=0,0,INDEX(SUP_C3_EXPANSION!$J$20:$J$59,CU56))-IF(CT56=0,0,INDEX(SUP_C3_EXPANSION!$J$20:$J$59,CT56))))</f>
        <v>0</v>
      </c>
      <c r="CX66">
        <f>IF(CX56=CW56,0,2*SUP_OPEX!$D$20*(IF(CX56=0,0,INDEX(SUP_C3_EXPANSION!$H$20:$H$59,CX56))-IF(CW56=0,0,INDEX(SUP_C3_EXPANSION!$H$20:$H$59,CW56)))+2*SUP_OPEX!$E$20*(IF(CX56=0,0,INDEX(SUP_C3_EXPANSION!$I$20:$I$59,CX56))-IF(CW56=0,0,INDEX(SUP_C3_EXPANSION!$I$20:$I$59,CW56)))+2*SUP_OPEX!$F$20*(IF(CX56=0,0,INDEX(SUP_C3_EXPANSION!$J$20:$J$59,CX56))-IF(CW56=0,0,INDEX(SUP_C3_EXPANSION!$J$20:$J$59,CW56))))-IF(CW56=CV56,0,1*SUP_OPEX!$D$20*(IF(CW56=0,0,INDEX(SUP_C3_EXPANSION!$H$20:$H$59,CW56))-IF(CV56=0,0,INDEX(SUP_C3_EXPANSION!$H$20:$H$59,CV56)))+1*SUP_OPEX!$E$20*(IF(CW56=0,0,INDEX(SUP_C3_EXPANSION!$I$20:$I$59,CW56))-IF(CV56=0,0,INDEX(SUP_C3_EXPANSION!$I$20:$I$59,CV56)))+1*SUP_OPEX!$F$20*(IF(CW56=0,0,INDEX(SUP_C3_EXPANSION!$J$20:$J$59,CW56))-IF(CV56=0,0,INDEX(SUP_C3_EXPANSION!$J$20:$J$59,CV56))))-IF(CV56=CU56,0,1*SUP_OPEX!$D$20*(IF(CV56=0,0,INDEX(SUP_C3_EXPANSION!$H$20:$H$59,CV56))-IF(CU56=0,0,INDEX(SUP_C3_EXPANSION!$H$20:$H$59,CU56)))+1*SUP_OPEX!$E$20*(IF(CV56=0,0,INDEX(SUP_C3_EXPANSION!$I$20:$I$59,CV56))-IF(CU56=0,0,INDEX(SUP_C3_EXPANSION!$I$20:$I$59,CU56)))+1*SUP_OPEX!$F$20*(IF(CV56=0,0,INDEX(SUP_C3_EXPANSION!$J$20:$J$59,CV56))-IF(CU56=0,0,INDEX(SUP_C3_EXPANSION!$J$20:$J$59,CU56))))</f>
        <v>0</v>
      </c>
      <c r="CY66">
        <f>IF(CY56=CX56,0,2*SUP_OPEX!$D$20*(IF(CY56=0,0,INDEX(SUP_C3_EXPANSION!$H$20:$H$59,CY56))-IF(CX56=0,0,INDEX(SUP_C3_EXPANSION!$H$20:$H$59,CX56)))+2*SUP_OPEX!$E$20*(IF(CY56=0,0,INDEX(SUP_C3_EXPANSION!$I$20:$I$59,CY56))-IF(CX56=0,0,INDEX(SUP_C3_EXPANSION!$I$20:$I$59,CX56)))+2*SUP_OPEX!$F$20*(IF(CY56=0,0,INDEX(SUP_C3_EXPANSION!$J$20:$J$59,CY56))-IF(CX56=0,0,INDEX(SUP_C3_EXPANSION!$J$20:$J$59,CX56))))-IF(CX56=CW56,0,1*SUP_OPEX!$D$20*(IF(CX56=0,0,INDEX(SUP_C3_EXPANSION!$H$20:$H$59,CX56))-IF(CW56=0,0,INDEX(SUP_C3_EXPANSION!$H$20:$H$59,CW56)))+1*SUP_OPEX!$E$20*(IF(CX56=0,0,INDEX(SUP_C3_EXPANSION!$I$20:$I$59,CX56))-IF(CW56=0,0,INDEX(SUP_C3_EXPANSION!$I$20:$I$59,CW56)))+1*SUP_OPEX!$F$20*(IF(CX56=0,0,INDEX(SUP_C3_EXPANSION!$J$20:$J$59,CX56))-IF(CW56=0,0,INDEX(SUP_C3_EXPANSION!$J$20:$J$59,CW56))))-IF(CW56=CV56,0,1*SUP_OPEX!$D$20*(IF(CW56=0,0,INDEX(SUP_C3_EXPANSION!$H$20:$H$59,CW56))-IF(CV56=0,0,INDEX(SUP_C3_EXPANSION!$H$20:$H$59,CV56)))+1*SUP_OPEX!$E$20*(IF(CW56=0,0,INDEX(SUP_C3_EXPANSION!$I$20:$I$59,CW56))-IF(CV56=0,0,INDEX(SUP_C3_EXPANSION!$I$20:$I$59,CV56)))+1*SUP_OPEX!$F$20*(IF(CW56=0,0,INDEX(SUP_C3_EXPANSION!$J$20:$J$59,CW56))-IF(CV56=0,0,INDEX(SUP_C3_EXPANSION!$J$20:$J$59,CV56))))</f>
        <v>0</v>
      </c>
      <c r="CZ66">
        <f>IF(CZ56=CY56,0,2*SUP_OPEX!$D$20*(IF(CZ56=0,0,INDEX(SUP_C3_EXPANSION!$H$20:$H$59,CZ56))-IF(CY56=0,0,INDEX(SUP_C3_EXPANSION!$H$20:$H$59,CY56)))+2*SUP_OPEX!$E$20*(IF(CZ56=0,0,INDEX(SUP_C3_EXPANSION!$I$20:$I$59,CZ56))-IF(CY56=0,0,INDEX(SUP_C3_EXPANSION!$I$20:$I$59,CY56)))+2*SUP_OPEX!$F$20*(IF(CZ56=0,0,INDEX(SUP_C3_EXPANSION!$J$20:$J$59,CZ56))-IF(CY56=0,0,INDEX(SUP_C3_EXPANSION!$J$20:$J$59,CY56))))-IF(CY56=CX56,0,1*SUP_OPEX!$D$20*(IF(CY56=0,0,INDEX(SUP_C3_EXPANSION!$H$20:$H$59,CY56))-IF(CX56=0,0,INDEX(SUP_C3_EXPANSION!$H$20:$H$59,CX56)))+1*SUP_OPEX!$E$20*(IF(CY56=0,0,INDEX(SUP_C3_EXPANSION!$I$20:$I$59,CY56))-IF(CX56=0,0,INDEX(SUP_C3_EXPANSION!$I$20:$I$59,CX56)))+1*SUP_OPEX!$F$20*(IF(CY56=0,0,INDEX(SUP_C3_EXPANSION!$J$20:$J$59,CY56))-IF(CX56=0,0,INDEX(SUP_C3_EXPANSION!$J$20:$J$59,CX56))))-IF(CX56=CW56,0,1*SUP_OPEX!$D$20*(IF(CX56=0,0,INDEX(SUP_C3_EXPANSION!$H$20:$H$59,CX56))-IF(CW56=0,0,INDEX(SUP_C3_EXPANSION!$H$20:$H$59,CW56)))+1*SUP_OPEX!$E$20*(IF(CX56=0,0,INDEX(SUP_C3_EXPANSION!$I$20:$I$59,CX56))-IF(CW56=0,0,INDEX(SUP_C3_EXPANSION!$I$20:$I$59,CW56)))+1*SUP_OPEX!$F$20*(IF(CX56=0,0,INDEX(SUP_C3_EXPANSION!$J$20:$J$59,CX56))-IF(CW56=0,0,INDEX(SUP_C3_EXPANSION!$J$20:$J$59,CW56))))</f>
        <v>0</v>
      </c>
      <c r="DA66">
        <f>IF(DA56=CZ56,0,2*SUP_OPEX!$D$20*(IF(DA56=0,0,INDEX(SUP_C3_EXPANSION!$H$20:$H$59,DA56))-IF(CZ56=0,0,INDEX(SUP_C3_EXPANSION!$H$20:$H$59,CZ56)))+2*SUP_OPEX!$E$20*(IF(DA56=0,0,INDEX(SUP_C3_EXPANSION!$I$20:$I$59,DA56))-IF(CZ56=0,0,INDEX(SUP_C3_EXPANSION!$I$20:$I$59,CZ56)))+2*SUP_OPEX!$F$20*(IF(DA56=0,0,INDEX(SUP_C3_EXPANSION!$J$20:$J$59,DA56))-IF(CZ56=0,0,INDEX(SUP_C3_EXPANSION!$J$20:$J$59,CZ56))))-IF(CZ56=CY56,0,1*SUP_OPEX!$D$20*(IF(CZ56=0,0,INDEX(SUP_C3_EXPANSION!$H$20:$H$59,CZ56))-IF(CY56=0,0,INDEX(SUP_C3_EXPANSION!$H$20:$H$59,CY56)))+1*SUP_OPEX!$E$20*(IF(CZ56=0,0,INDEX(SUP_C3_EXPANSION!$I$20:$I$59,CZ56))-IF(CY56=0,0,INDEX(SUP_C3_EXPANSION!$I$20:$I$59,CY56)))+1*SUP_OPEX!$F$20*(IF(CZ56=0,0,INDEX(SUP_C3_EXPANSION!$J$20:$J$59,CZ56))-IF(CY56=0,0,INDEX(SUP_C3_EXPANSION!$J$20:$J$59,CY56))))-IF(CY56=CX56,0,1*SUP_OPEX!$D$20*(IF(CY56=0,0,INDEX(SUP_C3_EXPANSION!$H$20:$H$59,CY56))-IF(CX56=0,0,INDEX(SUP_C3_EXPANSION!$H$20:$H$59,CX56)))+1*SUP_OPEX!$E$20*(IF(CY56=0,0,INDEX(SUP_C3_EXPANSION!$I$20:$I$59,CY56))-IF(CX56=0,0,INDEX(SUP_C3_EXPANSION!$I$20:$I$59,CX56)))+1*SUP_OPEX!$F$20*(IF(CY56=0,0,INDEX(SUP_C3_EXPANSION!$J$20:$J$59,CY56))-IF(CX56=0,0,INDEX(SUP_C3_EXPANSION!$J$20:$J$59,CX56))))</f>
        <v>0</v>
      </c>
      <c r="DB66">
        <f>IF(DB56=DA56,0,2*SUP_OPEX!$D$20*(IF(DB56=0,0,INDEX(SUP_C3_EXPANSION!$H$20:$H$59,DB56))-IF(DA56=0,0,INDEX(SUP_C3_EXPANSION!$H$20:$H$59,DA56)))+2*SUP_OPEX!$E$20*(IF(DB56=0,0,INDEX(SUP_C3_EXPANSION!$I$20:$I$59,DB56))-IF(DA56=0,0,INDEX(SUP_C3_EXPANSION!$I$20:$I$59,DA56)))+2*SUP_OPEX!$F$20*(IF(DB56=0,0,INDEX(SUP_C3_EXPANSION!$J$20:$J$59,DB56))-IF(DA56=0,0,INDEX(SUP_C3_EXPANSION!$J$20:$J$59,DA56))))-IF(DA56=CZ56,0,1*SUP_OPEX!$D$20*(IF(DA56=0,0,INDEX(SUP_C3_EXPANSION!$H$20:$H$59,DA56))-IF(CZ56=0,0,INDEX(SUP_C3_EXPANSION!$H$20:$H$59,CZ56)))+1*SUP_OPEX!$E$20*(IF(DA56=0,0,INDEX(SUP_C3_EXPANSION!$I$20:$I$59,DA56))-IF(CZ56=0,0,INDEX(SUP_C3_EXPANSION!$I$20:$I$59,CZ56)))+1*SUP_OPEX!$F$20*(IF(DA56=0,0,INDEX(SUP_C3_EXPANSION!$J$20:$J$59,DA56))-IF(CZ56=0,0,INDEX(SUP_C3_EXPANSION!$J$20:$J$59,CZ56))))-IF(CZ56=CY56,0,1*SUP_OPEX!$D$20*(IF(CZ56=0,0,INDEX(SUP_C3_EXPANSION!$H$20:$H$59,CZ56))-IF(CY56=0,0,INDEX(SUP_C3_EXPANSION!$H$20:$H$59,CY56)))+1*SUP_OPEX!$E$20*(IF(CZ56=0,0,INDEX(SUP_C3_EXPANSION!$I$20:$I$59,CZ56))-IF(CY56=0,0,INDEX(SUP_C3_EXPANSION!$I$20:$I$59,CY56)))+1*SUP_OPEX!$F$20*(IF(CZ56=0,0,INDEX(SUP_C3_EXPANSION!$J$20:$J$59,CZ56))-IF(CY56=0,0,INDEX(SUP_C3_EXPANSION!$J$20:$J$59,CY56))))</f>
        <v>0</v>
      </c>
      <c r="DC66">
        <f>IF(DC56=DB56,0,2*SUP_OPEX!$D$20*(IF(DC56=0,0,INDEX(SUP_C3_EXPANSION!$H$20:$H$59,DC56))-IF(DB56=0,0,INDEX(SUP_C3_EXPANSION!$H$20:$H$59,DB56)))+2*SUP_OPEX!$E$20*(IF(DC56=0,0,INDEX(SUP_C3_EXPANSION!$I$20:$I$59,DC56))-IF(DB56=0,0,INDEX(SUP_C3_EXPANSION!$I$20:$I$59,DB56)))+2*SUP_OPEX!$F$20*(IF(DC56=0,0,INDEX(SUP_C3_EXPANSION!$J$20:$J$59,DC56))-IF(DB56=0,0,INDEX(SUP_C3_EXPANSION!$J$20:$J$59,DB56))))-IF(DB56=DA56,0,1*SUP_OPEX!$D$20*(IF(DB56=0,0,INDEX(SUP_C3_EXPANSION!$H$20:$H$59,DB56))-IF(DA56=0,0,INDEX(SUP_C3_EXPANSION!$H$20:$H$59,DA56)))+1*SUP_OPEX!$E$20*(IF(DB56=0,0,INDEX(SUP_C3_EXPANSION!$I$20:$I$59,DB56))-IF(DA56=0,0,INDEX(SUP_C3_EXPANSION!$I$20:$I$59,DA56)))+1*SUP_OPEX!$F$20*(IF(DB56=0,0,INDEX(SUP_C3_EXPANSION!$J$20:$J$59,DB56))-IF(DA56=0,0,INDEX(SUP_C3_EXPANSION!$J$20:$J$59,DA56))))-IF(DA56=CZ56,0,1*SUP_OPEX!$D$20*(IF(DA56=0,0,INDEX(SUP_C3_EXPANSION!$H$20:$H$59,DA56))-IF(CZ56=0,0,INDEX(SUP_C3_EXPANSION!$H$20:$H$59,CZ56)))+1*SUP_OPEX!$E$20*(IF(DA56=0,0,INDEX(SUP_C3_EXPANSION!$I$20:$I$59,DA56))-IF(CZ56=0,0,INDEX(SUP_C3_EXPANSION!$I$20:$I$59,CZ56)))+1*SUP_OPEX!$F$20*(IF(DA56=0,0,INDEX(SUP_C3_EXPANSION!$J$20:$J$59,DA56))-IF(CZ56=0,0,INDEX(SUP_C3_EXPANSION!$J$20:$J$59,CZ56))))</f>
        <v>0</v>
      </c>
      <c r="DD66">
        <f>IF(DD56=DC56,0,2*SUP_OPEX!$D$20*(IF(DD56=0,0,INDEX(SUP_C3_EXPANSION!$H$20:$H$59,DD56))-IF(DC56=0,0,INDEX(SUP_C3_EXPANSION!$H$20:$H$59,DC56)))+2*SUP_OPEX!$E$20*(IF(DD56=0,0,INDEX(SUP_C3_EXPANSION!$I$20:$I$59,DD56))-IF(DC56=0,0,INDEX(SUP_C3_EXPANSION!$I$20:$I$59,DC56)))+2*SUP_OPEX!$F$20*(IF(DD56=0,0,INDEX(SUP_C3_EXPANSION!$J$20:$J$59,DD56))-IF(DC56=0,0,INDEX(SUP_C3_EXPANSION!$J$20:$J$59,DC56))))-IF(DC56=DB56,0,1*SUP_OPEX!$D$20*(IF(DC56=0,0,INDEX(SUP_C3_EXPANSION!$H$20:$H$59,DC56))-IF(DB56=0,0,INDEX(SUP_C3_EXPANSION!$H$20:$H$59,DB56)))+1*SUP_OPEX!$E$20*(IF(DC56=0,0,INDEX(SUP_C3_EXPANSION!$I$20:$I$59,DC56))-IF(DB56=0,0,INDEX(SUP_C3_EXPANSION!$I$20:$I$59,DB56)))+1*SUP_OPEX!$F$20*(IF(DC56=0,0,INDEX(SUP_C3_EXPANSION!$J$20:$J$59,DC56))-IF(DB56=0,0,INDEX(SUP_C3_EXPANSION!$J$20:$J$59,DB56))))-IF(DB56=DA56,0,1*SUP_OPEX!$D$20*(IF(DB56=0,0,INDEX(SUP_C3_EXPANSION!$H$20:$H$59,DB56))-IF(DA56=0,0,INDEX(SUP_C3_EXPANSION!$H$20:$H$59,DA56)))+1*SUP_OPEX!$E$20*(IF(DB56=0,0,INDEX(SUP_C3_EXPANSION!$I$20:$I$59,DB56))-IF(DA56=0,0,INDEX(SUP_C3_EXPANSION!$I$20:$I$59,DA56)))+1*SUP_OPEX!$F$20*(IF(DB56=0,0,INDEX(SUP_C3_EXPANSION!$J$20:$J$59,DB56))-IF(DA56=0,0,INDEX(SUP_C3_EXPANSION!$J$20:$J$59,DA56))))</f>
        <v>0</v>
      </c>
      <c r="DE66">
        <f>IF(DE56=DD56,0,2*SUP_OPEX!$D$20*(IF(DE56=0,0,INDEX(SUP_C3_EXPANSION!$H$20:$H$59,DE56))-IF(DD56=0,0,INDEX(SUP_C3_EXPANSION!$H$20:$H$59,DD56)))+2*SUP_OPEX!$E$20*(IF(DE56=0,0,INDEX(SUP_C3_EXPANSION!$I$20:$I$59,DE56))-IF(DD56=0,0,INDEX(SUP_C3_EXPANSION!$I$20:$I$59,DD56)))+2*SUP_OPEX!$F$20*(IF(DE56=0,0,INDEX(SUP_C3_EXPANSION!$J$20:$J$59,DE56))-IF(DD56=0,0,INDEX(SUP_C3_EXPANSION!$J$20:$J$59,DD56))))-IF(DD56=DC56,0,1*SUP_OPEX!$D$20*(IF(DD56=0,0,INDEX(SUP_C3_EXPANSION!$H$20:$H$59,DD56))-IF(DC56=0,0,INDEX(SUP_C3_EXPANSION!$H$20:$H$59,DC56)))+1*SUP_OPEX!$E$20*(IF(DD56=0,0,INDEX(SUP_C3_EXPANSION!$I$20:$I$59,DD56))-IF(DC56=0,0,INDEX(SUP_C3_EXPANSION!$I$20:$I$59,DC56)))+1*SUP_OPEX!$F$20*(IF(DD56=0,0,INDEX(SUP_C3_EXPANSION!$J$20:$J$59,DD56))-IF(DC56=0,0,INDEX(SUP_C3_EXPANSION!$J$20:$J$59,DC56))))-IF(DC56=DB56,0,1*SUP_OPEX!$D$20*(IF(DC56=0,0,INDEX(SUP_C3_EXPANSION!$H$20:$H$59,DC56))-IF(DB56=0,0,INDEX(SUP_C3_EXPANSION!$H$20:$H$59,DB56)))+1*SUP_OPEX!$E$20*(IF(DC56=0,0,INDEX(SUP_C3_EXPANSION!$I$20:$I$59,DC56))-IF(DB56=0,0,INDEX(SUP_C3_EXPANSION!$I$20:$I$59,DB56)))+1*SUP_OPEX!$F$20*(IF(DC56=0,0,INDEX(SUP_C3_EXPANSION!$J$20:$J$59,DC56))-IF(DB56=0,0,INDEX(SUP_C3_EXPANSION!$J$20:$J$59,DB56))))</f>
        <v>0</v>
      </c>
      <c r="DF66">
        <f>IF(DF56=DE56,0,2*SUP_OPEX!$D$20*(IF(DF56=0,0,INDEX(SUP_C3_EXPANSION!$H$20:$H$59,DF56))-IF(DE56=0,0,INDEX(SUP_C3_EXPANSION!$H$20:$H$59,DE56)))+2*SUP_OPEX!$E$20*(IF(DF56=0,0,INDEX(SUP_C3_EXPANSION!$I$20:$I$59,DF56))-IF(DE56=0,0,INDEX(SUP_C3_EXPANSION!$I$20:$I$59,DE56)))+2*SUP_OPEX!$F$20*(IF(DF56=0,0,INDEX(SUP_C3_EXPANSION!$J$20:$J$59,DF56))-IF(DE56=0,0,INDEX(SUP_C3_EXPANSION!$J$20:$J$59,DE56))))-IF(DE56=DD56,0,1*SUP_OPEX!$D$20*(IF(DE56=0,0,INDEX(SUP_C3_EXPANSION!$H$20:$H$59,DE56))-IF(DD56=0,0,INDEX(SUP_C3_EXPANSION!$H$20:$H$59,DD56)))+1*SUP_OPEX!$E$20*(IF(DE56=0,0,INDEX(SUP_C3_EXPANSION!$I$20:$I$59,DE56))-IF(DD56=0,0,INDEX(SUP_C3_EXPANSION!$I$20:$I$59,DD56)))+1*SUP_OPEX!$F$20*(IF(DE56=0,0,INDEX(SUP_C3_EXPANSION!$J$20:$J$59,DE56))-IF(DD56=0,0,INDEX(SUP_C3_EXPANSION!$J$20:$J$59,DD56))))-IF(DD56=DC56,0,1*SUP_OPEX!$D$20*(IF(DD56=0,0,INDEX(SUP_C3_EXPANSION!$H$20:$H$59,DD56))-IF(DC56=0,0,INDEX(SUP_C3_EXPANSION!$H$20:$H$59,DC56)))+1*SUP_OPEX!$E$20*(IF(DD56=0,0,INDEX(SUP_C3_EXPANSION!$I$20:$I$59,DD56))-IF(DC56=0,0,INDEX(SUP_C3_EXPANSION!$I$20:$I$59,DC56)))+1*SUP_OPEX!$F$20*(IF(DD56=0,0,INDEX(SUP_C3_EXPANSION!$J$20:$J$59,DD56))-IF(DC56=0,0,INDEX(SUP_C3_EXPANSION!$J$20:$J$59,DC56))))</f>
        <v>0</v>
      </c>
      <c r="DG66">
        <f>IF(DG56=DF56,0,2*SUP_OPEX!$D$20*(IF(DG56=0,0,INDEX(SUP_C3_EXPANSION!$H$20:$H$59,DG56))-IF(DF56=0,0,INDEX(SUP_C3_EXPANSION!$H$20:$H$59,DF56)))+2*SUP_OPEX!$E$20*(IF(DG56=0,0,INDEX(SUP_C3_EXPANSION!$I$20:$I$59,DG56))-IF(DF56=0,0,INDEX(SUP_C3_EXPANSION!$I$20:$I$59,DF56)))+2*SUP_OPEX!$F$20*(IF(DG56=0,0,INDEX(SUP_C3_EXPANSION!$J$20:$J$59,DG56))-IF(DF56=0,0,INDEX(SUP_C3_EXPANSION!$J$20:$J$59,DF56))))-IF(DF56=DE56,0,1*SUP_OPEX!$D$20*(IF(DF56=0,0,INDEX(SUP_C3_EXPANSION!$H$20:$H$59,DF56))-IF(DE56=0,0,INDEX(SUP_C3_EXPANSION!$H$20:$H$59,DE56)))+1*SUP_OPEX!$E$20*(IF(DF56=0,0,INDEX(SUP_C3_EXPANSION!$I$20:$I$59,DF56))-IF(DE56=0,0,INDEX(SUP_C3_EXPANSION!$I$20:$I$59,DE56)))+1*SUP_OPEX!$F$20*(IF(DF56=0,0,INDEX(SUP_C3_EXPANSION!$J$20:$J$59,DF56))-IF(DE56=0,0,INDEX(SUP_C3_EXPANSION!$J$20:$J$59,DE56))))-IF(DE56=DD56,0,1*SUP_OPEX!$D$20*(IF(DE56=0,0,INDEX(SUP_C3_EXPANSION!$H$20:$H$59,DE56))-IF(DD56=0,0,INDEX(SUP_C3_EXPANSION!$H$20:$H$59,DD56)))+1*SUP_OPEX!$E$20*(IF(DE56=0,0,INDEX(SUP_C3_EXPANSION!$I$20:$I$59,DE56))-IF(DD56=0,0,INDEX(SUP_C3_EXPANSION!$I$20:$I$59,DD56)))+1*SUP_OPEX!$F$20*(IF(DE56=0,0,INDEX(SUP_C3_EXPANSION!$J$20:$J$59,DE56))-IF(DD56=0,0,INDEX(SUP_C3_EXPANSION!$J$20:$J$59,DD56))))</f>
        <v>0</v>
      </c>
      <c r="DH66">
        <f>IF(DH56=DG56,0,2*SUP_OPEX!$D$20*(IF(DH56=0,0,INDEX(SUP_C3_EXPANSION!$H$20:$H$59,DH56))-IF(DG56=0,0,INDEX(SUP_C3_EXPANSION!$H$20:$H$59,DG56)))+2*SUP_OPEX!$E$20*(IF(DH56=0,0,INDEX(SUP_C3_EXPANSION!$I$20:$I$59,DH56))-IF(DG56=0,0,INDEX(SUP_C3_EXPANSION!$I$20:$I$59,DG56)))+2*SUP_OPEX!$F$20*(IF(DH56=0,0,INDEX(SUP_C3_EXPANSION!$J$20:$J$59,DH56))-IF(DG56=0,0,INDEX(SUP_C3_EXPANSION!$J$20:$J$59,DG56))))-IF(DG56=DF56,0,1*SUP_OPEX!$D$20*(IF(DG56=0,0,INDEX(SUP_C3_EXPANSION!$H$20:$H$59,DG56))-IF(DF56=0,0,INDEX(SUP_C3_EXPANSION!$H$20:$H$59,DF56)))+1*SUP_OPEX!$E$20*(IF(DG56=0,0,INDEX(SUP_C3_EXPANSION!$I$20:$I$59,DG56))-IF(DF56=0,0,INDEX(SUP_C3_EXPANSION!$I$20:$I$59,DF56)))+1*SUP_OPEX!$F$20*(IF(DG56=0,0,INDEX(SUP_C3_EXPANSION!$J$20:$J$59,DG56))-IF(DF56=0,0,INDEX(SUP_C3_EXPANSION!$J$20:$J$59,DF56))))-IF(DF56=DE56,0,1*SUP_OPEX!$D$20*(IF(DF56=0,0,INDEX(SUP_C3_EXPANSION!$H$20:$H$59,DF56))-IF(DE56=0,0,INDEX(SUP_C3_EXPANSION!$H$20:$H$59,DE56)))+1*SUP_OPEX!$E$20*(IF(DF56=0,0,INDEX(SUP_C3_EXPANSION!$I$20:$I$59,DF56))-IF(DE56=0,0,INDEX(SUP_C3_EXPANSION!$I$20:$I$59,DE56)))+1*SUP_OPEX!$F$20*(IF(DF56=0,0,INDEX(SUP_C3_EXPANSION!$J$20:$J$59,DF56))-IF(DE56=0,0,INDEX(SUP_C3_EXPANSION!$J$20:$J$59,DE56))))</f>
        <v>0</v>
      </c>
      <c r="DI66">
        <f>IF(DI56=DH56,0,2*SUP_OPEX!$D$20*(IF(DI56=0,0,INDEX(SUP_C3_EXPANSION!$H$20:$H$59,DI56))-IF(DH56=0,0,INDEX(SUP_C3_EXPANSION!$H$20:$H$59,DH56)))+2*SUP_OPEX!$E$20*(IF(DI56=0,0,INDEX(SUP_C3_EXPANSION!$I$20:$I$59,DI56))-IF(DH56=0,0,INDEX(SUP_C3_EXPANSION!$I$20:$I$59,DH56)))+2*SUP_OPEX!$F$20*(IF(DI56=0,0,INDEX(SUP_C3_EXPANSION!$J$20:$J$59,DI56))-IF(DH56=0,0,INDEX(SUP_C3_EXPANSION!$J$20:$J$59,DH56))))-IF(DH56=DG56,0,1*SUP_OPEX!$D$20*(IF(DH56=0,0,INDEX(SUP_C3_EXPANSION!$H$20:$H$59,DH56))-IF(DG56=0,0,INDEX(SUP_C3_EXPANSION!$H$20:$H$59,DG56)))+1*SUP_OPEX!$E$20*(IF(DH56=0,0,INDEX(SUP_C3_EXPANSION!$I$20:$I$59,DH56))-IF(DG56=0,0,INDEX(SUP_C3_EXPANSION!$I$20:$I$59,DG56)))+1*SUP_OPEX!$F$20*(IF(DH56=0,0,INDEX(SUP_C3_EXPANSION!$J$20:$J$59,DH56))-IF(DG56=0,0,INDEX(SUP_C3_EXPANSION!$J$20:$J$59,DG56))))-IF(DG56=DF56,0,1*SUP_OPEX!$D$20*(IF(DG56=0,0,INDEX(SUP_C3_EXPANSION!$H$20:$H$59,DG56))-IF(DF56=0,0,INDEX(SUP_C3_EXPANSION!$H$20:$H$59,DF56)))+1*SUP_OPEX!$E$20*(IF(DG56=0,0,INDEX(SUP_C3_EXPANSION!$I$20:$I$59,DG56))-IF(DF56=0,0,INDEX(SUP_C3_EXPANSION!$I$20:$I$59,DF56)))+1*SUP_OPEX!$F$20*(IF(DG56=0,0,INDEX(SUP_C3_EXPANSION!$J$20:$J$59,DG56))-IF(DF56=0,0,INDEX(SUP_C3_EXPANSION!$J$20:$J$59,DF56))))</f>
        <v>0</v>
      </c>
      <c r="DJ66">
        <f>IF(DJ56=DI56,0,2*SUP_OPEX!$D$20*(IF(DJ56=0,0,INDEX(SUP_C3_EXPANSION!$H$20:$H$59,DJ56))-IF(DI56=0,0,INDEX(SUP_C3_EXPANSION!$H$20:$H$59,DI56)))+2*SUP_OPEX!$E$20*(IF(DJ56=0,0,INDEX(SUP_C3_EXPANSION!$I$20:$I$59,DJ56))-IF(DI56=0,0,INDEX(SUP_C3_EXPANSION!$I$20:$I$59,DI56)))+2*SUP_OPEX!$F$20*(IF(DJ56=0,0,INDEX(SUP_C3_EXPANSION!$J$20:$J$59,DJ56))-IF(DI56=0,0,INDEX(SUP_C3_EXPANSION!$J$20:$J$59,DI56))))-IF(DI56=DH56,0,1*SUP_OPEX!$D$20*(IF(DI56=0,0,INDEX(SUP_C3_EXPANSION!$H$20:$H$59,DI56))-IF(DH56=0,0,INDEX(SUP_C3_EXPANSION!$H$20:$H$59,DH56)))+1*SUP_OPEX!$E$20*(IF(DI56=0,0,INDEX(SUP_C3_EXPANSION!$I$20:$I$59,DI56))-IF(DH56=0,0,INDEX(SUP_C3_EXPANSION!$I$20:$I$59,DH56)))+1*SUP_OPEX!$F$20*(IF(DI56=0,0,INDEX(SUP_C3_EXPANSION!$J$20:$J$59,DI56))-IF(DH56=0,0,INDEX(SUP_C3_EXPANSION!$J$20:$J$59,DH56))))-IF(DH56=DG56,0,1*SUP_OPEX!$D$20*(IF(DH56=0,0,INDEX(SUP_C3_EXPANSION!$H$20:$H$59,DH56))-IF(DG56=0,0,INDEX(SUP_C3_EXPANSION!$H$20:$H$59,DG56)))+1*SUP_OPEX!$E$20*(IF(DH56=0,0,INDEX(SUP_C3_EXPANSION!$I$20:$I$59,DH56))-IF(DG56=0,0,INDEX(SUP_C3_EXPANSION!$I$20:$I$59,DG56)))+1*SUP_OPEX!$F$20*(IF(DH56=0,0,INDEX(SUP_C3_EXPANSION!$J$20:$J$59,DH56))-IF(DG56=0,0,INDEX(SUP_C3_EXPANSION!$J$20:$J$59,DG56))))</f>
        <v>0</v>
      </c>
      <c r="DK66">
        <f>IF(DK56=DJ56,0,2*SUP_OPEX!$D$20*(IF(DK56=0,0,INDEX(SUP_C3_EXPANSION!$H$20:$H$59,DK56))-IF(DJ56=0,0,INDEX(SUP_C3_EXPANSION!$H$20:$H$59,DJ56)))+2*SUP_OPEX!$E$20*(IF(DK56=0,0,INDEX(SUP_C3_EXPANSION!$I$20:$I$59,DK56))-IF(DJ56=0,0,INDEX(SUP_C3_EXPANSION!$I$20:$I$59,DJ56)))+2*SUP_OPEX!$F$20*(IF(DK56=0,0,INDEX(SUP_C3_EXPANSION!$J$20:$J$59,DK56))-IF(DJ56=0,0,INDEX(SUP_C3_EXPANSION!$J$20:$J$59,DJ56))))-IF(DJ56=DI56,0,1*SUP_OPEX!$D$20*(IF(DJ56=0,0,INDEX(SUP_C3_EXPANSION!$H$20:$H$59,DJ56))-IF(DI56=0,0,INDEX(SUP_C3_EXPANSION!$H$20:$H$59,DI56)))+1*SUP_OPEX!$E$20*(IF(DJ56=0,0,INDEX(SUP_C3_EXPANSION!$I$20:$I$59,DJ56))-IF(DI56=0,0,INDEX(SUP_C3_EXPANSION!$I$20:$I$59,DI56)))+1*SUP_OPEX!$F$20*(IF(DJ56=0,0,INDEX(SUP_C3_EXPANSION!$J$20:$J$59,DJ56))-IF(DI56=0,0,INDEX(SUP_C3_EXPANSION!$J$20:$J$59,DI56))))-IF(DI56=DH56,0,1*SUP_OPEX!$D$20*(IF(DI56=0,0,INDEX(SUP_C3_EXPANSION!$H$20:$H$59,DI56))-IF(DH56=0,0,INDEX(SUP_C3_EXPANSION!$H$20:$H$59,DH56)))+1*SUP_OPEX!$E$20*(IF(DI56=0,0,INDEX(SUP_C3_EXPANSION!$I$20:$I$59,DI56))-IF(DH56=0,0,INDEX(SUP_C3_EXPANSION!$I$20:$I$59,DH56)))+1*SUP_OPEX!$F$20*(IF(DI56=0,0,INDEX(SUP_C3_EXPANSION!$J$20:$J$59,DI56))-IF(DH56=0,0,INDEX(SUP_C3_EXPANSION!$J$20:$J$59,DH56))))</f>
        <v>0</v>
      </c>
      <c r="DL66">
        <f>IF(DL56=DK56,0,2*SUP_OPEX!$D$20*(IF(DL56=0,0,INDEX(SUP_C3_EXPANSION!$H$20:$H$59,DL56))-IF(DK56=0,0,INDEX(SUP_C3_EXPANSION!$H$20:$H$59,DK56)))+2*SUP_OPEX!$E$20*(IF(DL56=0,0,INDEX(SUP_C3_EXPANSION!$I$20:$I$59,DL56))-IF(DK56=0,0,INDEX(SUP_C3_EXPANSION!$I$20:$I$59,DK56)))+2*SUP_OPEX!$F$20*(IF(DL56=0,0,INDEX(SUP_C3_EXPANSION!$J$20:$J$59,DL56))-IF(DK56=0,0,INDEX(SUP_C3_EXPANSION!$J$20:$J$59,DK56))))-IF(DK56=DJ56,0,1*SUP_OPEX!$D$20*(IF(DK56=0,0,INDEX(SUP_C3_EXPANSION!$H$20:$H$59,DK56))-IF(DJ56=0,0,INDEX(SUP_C3_EXPANSION!$H$20:$H$59,DJ56)))+1*SUP_OPEX!$E$20*(IF(DK56=0,0,INDEX(SUP_C3_EXPANSION!$I$20:$I$59,DK56))-IF(DJ56=0,0,INDEX(SUP_C3_EXPANSION!$I$20:$I$59,DJ56)))+1*SUP_OPEX!$F$20*(IF(DK56=0,0,INDEX(SUP_C3_EXPANSION!$J$20:$J$59,DK56))-IF(DJ56=0,0,INDEX(SUP_C3_EXPANSION!$J$20:$J$59,DJ56))))-IF(DJ56=DI56,0,1*SUP_OPEX!$D$20*(IF(DJ56=0,0,INDEX(SUP_C3_EXPANSION!$H$20:$H$59,DJ56))-IF(DI56=0,0,INDEX(SUP_C3_EXPANSION!$H$20:$H$59,DI56)))+1*SUP_OPEX!$E$20*(IF(DJ56=0,0,INDEX(SUP_C3_EXPANSION!$I$20:$I$59,DJ56))-IF(DI56=0,0,INDEX(SUP_C3_EXPANSION!$I$20:$I$59,DI56)))+1*SUP_OPEX!$F$20*(IF(DJ56=0,0,INDEX(SUP_C3_EXPANSION!$J$20:$J$59,DJ56))-IF(DI56=0,0,INDEX(SUP_C3_EXPANSION!$J$20:$J$59,DI56))))</f>
        <v>0</v>
      </c>
      <c r="DM66">
        <f>IF(DM56=DL56,0,2*SUP_OPEX!$D$20*(IF(DM56=0,0,INDEX(SUP_C3_EXPANSION!$H$20:$H$59,DM56))-IF(DL56=0,0,INDEX(SUP_C3_EXPANSION!$H$20:$H$59,DL56)))+2*SUP_OPEX!$E$20*(IF(DM56=0,0,INDEX(SUP_C3_EXPANSION!$I$20:$I$59,DM56))-IF(DL56=0,0,INDEX(SUP_C3_EXPANSION!$I$20:$I$59,DL56)))+2*SUP_OPEX!$F$20*(IF(DM56=0,0,INDEX(SUP_C3_EXPANSION!$J$20:$J$59,DM56))-IF(DL56=0,0,INDEX(SUP_C3_EXPANSION!$J$20:$J$59,DL56))))-IF(DL56=DK56,0,1*SUP_OPEX!$D$20*(IF(DL56=0,0,INDEX(SUP_C3_EXPANSION!$H$20:$H$59,DL56))-IF(DK56=0,0,INDEX(SUP_C3_EXPANSION!$H$20:$H$59,DK56)))+1*SUP_OPEX!$E$20*(IF(DL56=0,0,INDEX(SUP_C3_EXPANSION!$I$20:$I$59,DL56))-IF(DK56=0,0,INDEX(SUP_C3_EXPANSION!$I$20:$I$59,DK56)))+1*SUP_OPEX!$F$20*(IF(DL56=0,0,INDEX(SUP_C3_EXPANSION!$J$20:$J$59,DL56))-IF(DK56=0,0,INDEX(SUP_C3_EXPANSION!$J$20:$J$59,DK56))))-IF(DK56=DJ56,0,1*SUP_OPEX!$D$20*(IF(DK56=0,0,INDEX(SUP_C3_EXPANSION!$H$20:$H$59,DK56))-IF(DJ56=0,0,INDEX(SUP_C3_EXPANSION!$H$20:$H$59,DJ56)))+1*SUP_OPEX!$E$20*(IF(DK56=0,0,INDEX(SUP_C3_EXPANSION!$I$20:$I$59,DK56))-IF(DJ56=0,0,INDEX(SUP_C3_EXPANSION!$I$20:$I$59,DJ56)))+1*SUP_OPEX!$F$20*(IF(DK56=0,0,INDEX(SUP_C3_EXPANSION!$J$20:$J$59,DK56))-IF(DJ56=0,0,INDEX(SUP_C3_EXPANSION!$J$20:$J$59,DJ56))))</f>
        <v>0</v>
      </c>
      <c r="DN66">
        <f>IF(DN56=DM56,0,2*SUP_OPEX!$D$20*(IF(DN56=0,0,INDEX(SUP_C3_EXPANSION!$H$20:$H$59,DN56))-IF(DM56=0,0,INDEX(SUP_C3_EXPANSION!$H$20:$H$59,DM56)))+2*SUP_OPEX!$E$20*(IF(DN56=0,0,INDEX(SUP_C3_EXPANSION!$I$20:$I$59,DN56))-IF(DM56=0,0,INDEX(SUP_C3_EXPANSION!$I$20:$I$59,DM56)))+2*SUP_OPEX!$F$20*(IF(DN56=0,0,INDEX(SUP_C3_EXPANSION!$J$20:$J$59,DN56))-IF(DM56=0,0,INDEX(SUP_C3_EXPANSION!$J$20:$J$59,DM56))))-IF(DM56=DL56,0,1*SUP_OPEX!$D$20*(IF(DM56=0,0,INDEX(SUP_C3_EXPANSION!$H$20:$H$59,DM56))-IF(DL56=0,0,INDEX(SUP_C3_EXPANSION!$H$20:$H$59,DL56)))+1*SUP_OPEX!$E$20*(IF(DM56=0,0,INDEX(SUP_C3_EXPANSION!$I$20:$I$59,DM56))-IF(DL56=0,0,INDEX(SUP_C3_EXPANSION!$I$20:$I$59,DL56)))+1*SUP_OPEX!$F$20*(IF(DM56=0,0,INDEX(SUP_C3_EXPANSION!$J$20:$J$59,DM56))-IF(DL56=0,0,INDEX(SUP_C3_EXPANSION!$J$20:$J$59,DL56))))-IF(DL56=DK56,0,1*SUP_OPEX!$D$20*(IF(DL56=0,0,INDEX(SUP_C3_EXPANSION!$H$20:$H$59,DL56))-IF(DK56=0,0,INDEX(SUP_C3_EXPANSION!$H$20:$H$59,DK56)))+1*SUP_OPEX!$E$20*(IF(DL56=0,0,INDEX(SUP_C3_EXPANSION!$I$20:$I$59,DL56))-IF(DK56=0,0,INDEX(SUP_C3_EXPANSION!$I$20:$I$59,DK56)))+1*SUP_OPEX!$F$20*(IF(DL56=0,0,INDEX(SUP_C3_EXPANSION!$J$20:$J$59,DL56))-IF(DK56=0,0,INDEX(SUP_C3_EXPANSION!$J$20:$J$59,DK56))))</f>
        <v>0</v>
      </c>
      <c r="DO66">
        <f>IF(DO56=DN56,0,2*SUP_OPEX!$D$20*(IF(DO56=0,0,INDEX(SUP_C3_EXPANSION!$H$20:$H$59,DO56))-IF(DN56=0,0,INDEX(SUP_C3_EXPANSION!$H$20:$H$59,DN56)))+2*SUP_OPEX!$E$20*(IF(DO56=0,0,INDEX(SUP_C3_EXPANSION!$I$20:$I$59,DO56))-IF(DN56=0,0,INDEX(SUP_C3_EXPANSION!$I$20:$I$59,DN56)))+2*SUP_OPEX!$F$20*(IF(DO56=0,0,INDEX(SUP_C3_EXPANSION!$J$20:$J$59,DO56))-IF(DN56=0,0,INDEX(SUP_C3_EXPANSION!$J$20:$J$59,DN56))))-IF(DN56=DM56,0,1*SUP_OPEX!$D$20*(IF(DN56=0,0,INDEX(SUP_C3_EXPANSION!$H$20:$H$59,DN56))-IF(DM56=0,0,INDEX(SUP_C3_EXPANSION!$H$20:$H$59,DM56)))+1*SUP_OPEX!$E$20*(IF(DN56=0,0,INDEX(SUP_C3_EXPANSION!$I$20:$I$59,DN56))-IF(DM56=0,0,INDEX(SUP_C3_EXPANSION!$I$20:$I$59,DM56)))+1*SUP_OPEX!$F$20*(IF(DN56=0,0,INDEX(SUP_C3_EXPANSION!$J$20:$J$59,DN56))-IF(DM56=0,0,INDEX(SUP_C3_EXPANSION!$J$20:$J$59,DM56))))-IF(DM56=DL56,0,1*SUP_OPEX!$D$20*(IF(DM56=0,0,INDEX(SUP_C3_EXPANSION!$H$20:$H$59,DM56))-IF(DL56=0,0,INDEX(SUP_C3_EXPANSION!$H$20:$H$59,DL56)))+1*SUP_OPEX!$E$20*(IF(DM56=0,0,INDEX(SUP_C3_EXPANSION!$I$20:$I$59,DM56))-IF(DL56=0,0,INDEX(SUP_C3_EXPANSION!$I$20:$I$59,DL56)))+1*SUP_OPEX!$F$20*(IF(DM56=0,0,INDEX(SUP_C3_EXPANSION!$J$20:$J$59,DM56))-IF(DL56=0,0,INDEX(SUP_C3_EXPANSION!$J$20:$J$59,DL56))))</f>
        <v>0</v>
      </c>
      <c r="DP66">
        <f>IF(DP56=DO56,0,2*SUP_OPEX!$D$20*(IF(DP56=0,0,INDEX(SUP_C3_EXPANSION!$H$20:$H$59,DP56))-IF(DO56=0,0,INDEX(SUP_C3_EXPANSION!$H$20:$H$59,DO56)))+2*SUP_OPEX!$E$20*(IF(DP56=0,0,INDEX(SUP_C3_EXPANSION!$I$20:$I$59,DP56))-IF(DO56=0,0,INDEX(SUP_C3_EXPANSION!$I$20:$I$59,DO56)))+2*SUP_OPEX!$F$20*(IF(DP56=0,0,INDEX(SUP_C3_EXPANSION!$J$20:$J$59,DP56))-IF(DO56=0,0,INDEX(SUP_C3_EXPANSION!$J$20:$J$59,DO56))))-IF(DO56=DN56,0,1*SUP_OPEX!$D$20*(IF(DO56=0,0,INDEX(SUP_C3_EXPANSION!$H$20:$H$59,DO56))-IF(DN56=0,0,INDEX(SUP_C3_EXPANSION!$H$20:$H$59,DN56)))+1*SUP_OPEX!$E$20*(IF(DO56=0,0,INDEX(SUP_C3_EXPANSION!$I$20:$I$59,DO56))-IF(DN56=0,0,INDEX(SUP_C3_EXPANSION!$I$20:$I$59,DN56)))+1*SUP_OPEX!$F$20*(IF(DO56=0,0,INDEX(SUP_C3_EXPANSION!$J$20:$J$59,DO56))-IF(DN56=0,0,INDEX(SUP_C3_EXPANSION!$J$20:$J$59,DN56))))-IF(DN56=DM56,0,1*SUP_OPEX!$D$20*(IF(DN56=0,0,INDEX(SUP_C3_EXPANSION!$H$20:$H$59,DN56))-IF(DM56=0,0,INDEX(SUP_C3_EXPANSION!$H$20:$H$59,DM56)))+1*SUP_OPEX!$E$20*(IF(DN56=0,0,INDEX(SUP_C3_EXPANSION!$I$20:$I$59,DN56))-IF(DM56=0,0,INDEX(SUP_C3_EXPANSION!$I$20:$I$59,DM56)))+1*SUP_OPEX!$F$20*(IF(DN56=0,0,INDEX(SUP_C3_EXPANSION!$J$20:$J$59,DN56))-IF(DM56=0,0,INDEX(SUP_C3_EXPANSION!$J$20:$J$59,DM56))))</f>
        <v>0</v>
      </c>
      <c r="DQ66">
        <f>IF(DQ56=DP56,0,2*SUP_OPEX!$D$20*(IF(DQ56=0,0,INDEX(SUP_C3_EXPANSION!$H$20:$H$59,DQ56))-IF(DP56=0,0,INDEX(SUP_C3_EXPANSION!$H$20:$H$59,DP56)))+2*SUP_OPEX!$E$20*(IF(DQ56=0,0,INDEX(SUP_C3_EXPANSION!$I$20:$I$59,DQ56))-IF(DP56=0,0,INDEX(SUP_C3_EXPANSION!$I$20:$I$59,DP56)))+2*SUP_OPEX!$F$20*(IF(DQ56=0,0,INDEX(SUP_C3_EXPANSION!$J$20:$J$59,DQ56))-IF(DP56=0,0,INDEX(SUP_C3_EXPANSION!$J$20:$J$59,DP56))))-IF(DP56=DO56,0,1*SUP_OPEX!$D$20*(IF(DP56=0,0,INDEX(SUP_C3_EXPANSION!$H$20:$H$59,DP56))-IF(DO56=0,0,INDEX(SUP_C3_EXPANSION!$H$20:$H$59,DO56)))+1*SUP_OPEX!$E$20*(IF(DP56=0,0,INDEX(SUP_C3_EXPANSION!$I$20:$I$59,DP56))-IF(DO56=0,0,INDEX(SUP_C3_EXPANSION!$I$20:$I$59,DO56)))+1*SUP_OPEX!$F$20*(IF(DP56=0,0,INDEX(SUP_C3_EXPANSION!$J$20:$J$59,DP56))-IF(DO56=0,0,INDEX(SUP_C3_EXPANSION!$J$20:$J$59,DO56))))-IF(DO56=DN56,0,1*SUP_OPEX!$D$20*(IF(DO56=0,0,INDEX(SUP_C3_EXPANSION!$H$20:$H$59,DO56))-IF(DN56=0,0,INDEX(SUP_C3_EXPANSION!$H$20:$H$59,DN56)))+1*SUP_OPEX!$E$20*(IF(DO56=0,0,INDEX(SUP_C3_EXPANSION!$I$20:$I$59,DO56))-IF(DN56=0,0,INDEX(SUP_C3_EXPANSION!$I$20:$I$59,DN56)))+1*SUP_OPEX!$F$20*(IF(DO56=0,0,INDEX(SUP_C3_EXPANSION!$J$20:$J$59,DO56))-IF(DN56=0,0,INDEX(SUP_C3_EXPANSION!$J$20:$J$59,DN56))))</f>
        <v>0</v>
      </c>
      <c r="DR66">
        <f>IF(DR56=DQ56,0,2*SUP_OPEX!$D$20*(IF(DR56=0,0,INDEX(SUP_C3_EXPANSION!$H$20:$H$59,DR56))-IF(DQ56=0,0,INDEX(SUP_C3_EXPANSION!$H$20:$H$59,DQ56)))+2*SUP_OPEX!$E$20*(IF(DR56=0,0,INDEX(SUP_C3_EXPANSION!$I$20:$I$59,DR56))-IF(DQ56=0,0,INDEX(SUP_C3_EXPANSION!$I$20:$I$59,DQ56)))+2*SUP_OPEX!$F$20*(IF(DR56=0,0,INDEX(SUP_C3_EXPANSION!$J$20:$J$59,DR56))-IF(DQ56=0,0,INDEX(SUP_C3_EXPANSION!$J$20:$J$59,DQ56))))-IF(DQ56=DP56,0,1*SUP_OPEX!$D$20*(IF(DQ56=0,0,INDEX(SUP_C3_EXPANSION!$H$20:$H$59,DQ56))-IF(DP56=0,0,INDEX(SUP_C3_EXPANSION!$H$20:$H$59,DP56)))+1*SUP_OPEX!$E$20*(IF(DQ56=0,0,INDEX(SUP_C3_EXPANSION!$I$20:$I$59,DQ56))-IF(DP56=0,0,INDEX(SUP_C3_EXPANSION!$I$20:$I$59,DP56)))+1*SUP_OPEX!$F$20*(IF(DQ56=0,0,INDEX(SUP_C3_EXPANSION!$J$20:$J$59,DQ56))-IF(DP56=0,0,INDEX(SUP_C3_EXPANSION!$J$20:$J$59,DP56))))-IF(DP56=DO56,0,1*SUP_OPEX!$D$20*(IF(DP56=0,0,INDEX(SUP_C3_EXPANSION!$H$20:$H$59,DP56))-IF(DO56=0,0,INDEX(SUP_C3_EXPANSION!$H$20:$H$59,DO56)))+1*SUP_OPEX!$E$20*(IF(DP56=0,0,INDEX(SUP_C3_EXPANSION!$I$20:$I$59,DP56))-IF(DO56=0,0,INDEX(SUP_C3_EXPANSION!$I$20:$I$59,DO56)))+1*SUP_OPEX!$F$20*(IF(DP56=0,0,INDEX(SUP_C3_EXPANSION!$J$20:$J$59,DP56))-IF(DO56=0,0,INDEX(SUP_C3_EXPANSION!$J$20:$J$59,DO56))))</f>
        <v>0</v>
      </c>
      <c r="DS66">
        <f>IF(DS56=DR56,0,2*SUP_OPEX!$D$20*(IF(DS56=0,0,INDEX(SUP_C3_EXPANSION!$H$20:$H$59,DS56))-IF(DR56=0,0,INDEX(SUP_C3_EXPANSION!$H$20:$H$59,DR56)))+2*SUP_OPEX!$E$20*(IF(DS56=0,0,INDEX(SUP_C3_EXPANSION!$I$20:$I$59,DS56))-IF(DR56=0,0,INDEX(SUP_C3_EXPANSION!$I$20:$I$59,DR56)))+2*SUP_OPEX!$F$20*(IF(DS56=0,0,INDEX(SUP_C3_EXPANSION!$J$20:$J$59,DS56))-IF(DR56=0,0,INDEX(SUP_C3_EXPANSION!$J$20:$J$59,DR56))))-IF(DR56=DQ56,0,1*SUP_OPEX!$D$20*(IF(DR56=0,0,INDEX(SUP_C3_EXPANSION!$H$20:$H$59,DR56))-IF(DQ56=0,0,INDEX(SUP_C3_EXPANSION!$H$20:$H$59,DQ56)))+1*SUP_OPEX!$E$20*(IF(DR56=0,0,INDEX(SUP_C3_EXPANSION!$I$20:$I$59,DR56))-IF(DQ56=0,0,INDEX(SUP_C3_EXPANSION!$I$20:$I$59,DQ56)))+1*SUP_OPEX!$F$20*(IF(DR56=0,0,INDEX(SUP_C3_EXPANSION!$J$20:$J$59,DR56))-IF(DQ56=0,0,INDEX(SUP_C3_EXPANSION!$J$20:$J$59,DQ56))))-IF(DQ56=DP56,0,1*SUP_OPEX!$D$20*(IF(DQ56=0,0,INDEX(SUP_C3_EXPANSION!$H$20:$H$59,DQ56))-IF(DP56=0,0,INDEX(SUP_C3_EXPANSION!$H$20:$H$59,DP56)))+1*SUP_OPEX!$E$20*(IF(DQ56=0,0,INDEX(SUP_C3_EXPANSION!$I$20:$I$59,DQ56))-IF(DP56=0,0,INDEX(SUP_C3_EXPANSION!$I$20:$I$59,DP56)))+1*SUP_OPEX!$F$20*(IF(DQ56=0,0,INDEX(SUP_C3_EXPANSION!$J$20:$J$59,DQ56))-IF(DP56=0,0,INDEX(SUP_C3_EXPANSION!$J$20:$J$59,DP56))))</f>
        <v>0</v>
      </c>
    </row>
    <row r="67" spans="2:123" ht="15" customHeight="1" x14ac:dyDescent="0.2">
      <c r="B67" s="86" t="s">
        <v>1045</v>
      </c>
      <c r="D67">
        <f>SUP_CONTROL!$C$11*CAPA1_PILOTO!D27+SUP_CONTROL!$C$12*CAPA2_FLAGSHIP!D21</f>
        <v>183600</v>
      </c>
      <c r="E67">
        <f>SUP_CONTROL!$C$11*CAPA1_PILOTO!E27+SUP_CONTROL!$C$12*CAPA2_FLAGSHIP!E21</f>
        <v>0</v>
      </c>
      <c r="F67">
        <f>SUP_CONTROL!$C$11*CAPA1_PILOTO!F27+SUP_CONTROL!$C$12*CAPA2_FLAGSHIP!F21</f>
        <v>0</v>
      </c>
      <c r="G67">
        <f>SUP_CONTROL!$C$11*CAPA1_PILOTO!G27+SUP_CONTROL!$C$12*CAPA2_FLAGSHIP!G21</f>
        <v>0</v>
      </c>
      <c r="H67">
        <f>SUP_CONTROL!$C$11*CAPA1_PILOTO!H27+SUP_CONTROL!$C$12*CAPA2_FLAGSHIP!H21</f>
        <v>0</v>
      </c>
      <c r="I67">
        <f>SUP_CONTROL!$C$11*CAPA1_PILOTO!I27+SUP_CONTROL!$C$12*CAPA2_FLAGSHIP!I21</f>
        <v>0</v>
      </c>
      <c r="J67">
        <f>SUP_CONTROL!$C$11*CAPA1_PILOTO!J27+SUP_CONTROL!$C$12*CAPA2_FLAGSHIP!J21</f>
        <v>0</v>
      </c>
      <c r="K67">
        <f>SUP_CONTROL!$C$11*CAPA1_PILOTO!K27+SUP_CONTROL!$C$12*CAPA2_FLAGSHIP!K21</f>
        <v>0</v>
      </c>
      <c r="L67">
        <f>SUP_CONTROL!$C$11*CAPA1_PILOTO!L27+SUP_CONTROL!$C$12*CAPA2_FLAGSHIP!L21</f>
        <v>0</v>
      </c>
      <c r="M67">
        <f>SUP_CONTROL!$C$11*CAPA1_PILOTO!M27+SUP_CONTROL!$C$12*CAPA2_FLAGSHIP!M21</f>
        <v>0</v>
      </c>
      <c r="N67">
        <f>SUP_CONTROL!$C$11*CAPA1_PILOTO!N27+SUP_CONTROL!$C$12*CAPA2_FLAGSHIP!N21</f>
        <v>0</v>
      </c>
      <c r="O67">
        <f>SUP_CONTROL!$C$11*CAPA1_PILOTO!O27+SUP_CONTROL!$C$12*CAPA2_FLAGSHIP!O21</f>
        <v>0</v>
      </c>
      <c r="P67">
        <f>SUP_CONTROL!$C$11*CAPA1_PILOTO!P27+SUP_CONTROL!$C$12*CAPA2_FLAGSHIP!P21</f>
        <v>0</v>
      </c>
      <c r="Q67">
        <f>SUP_CONTROL!$C$11*CAPA1_PILOTO!Q27+SUP_CONTROL!$C$12*CAPA2_FLAGSHIP!Q21</f>
        <v>0</v>
      </c>
      <c r="R67">
        <f>SUP_CONTROL!$C$11*CAPA1_PILOTO!R27+SUP_CONTROL!$C$12*CAPA2_FLAGSHIP!R21</f>
        <v>0</v>
      </c>
      <c r="S67">
        <f>SUP_CONTROL!$C$11*CAPA1_PILOTO!S27+SUP_CONTROL!$C$12*CAPA2_FLAGSHIP!S21</f>
        <v>0</v>
      </c>
      <c r="T67">
        <f>SUP_CONTROL!$C$11*CAPA1_PILOTO!T27+SUP_CONTROL!$C$12*CAPA2_FLAGSHIP!T21</f>
        <v>0</v>
      </c>
      <c r="U67">
        <f>SUP_CONTROL!$C$11*CAPA1_PILOTO!U27+SUP_CONTROL!$C$12*CAPA2_FLAGSHIP!U21</f>
        <v>0</v>
      </c>
      <c r="V67">
        <f>SUP_CONTROL!$C$11*CAPA1_PILOTO!V27+SUP_CONTROL!$C$12*CAPA2_FLAGSHIP!V21</f>
        <v>0</v>
      </c>
      <c r="W67">
        <f>SUP_CONTROL!$C$11*CAPA1_PILOTO!W27+SUP_CONTROL!$C$12*CAPA2_FLAGSHIP!W21</f>
        <v>0</v>
      </c>
      <c r="X67">
        <f>SUP_CONTROL!$C$11*CAPA1_PILOTO!X27+SUP_CONTROL!$C$12*CAPA2_FLAGSHIP!X21</f>
        <v>0</v>
      </c>
      <c r="Y67">
        <f>SUP_CONTROL!$C$11*CAPA1_PILOTO!Y27+SUP_CONTROL!$C$12*CAPA2_FLAGSHIP!Y21</f>
        <v>0</v>
      </c>
      <c r="Z67">
        <f>SUP_CONTROL!$C$11*CAPA1_PILOTO!Z27+SUP_CONTROL!$C$12*CAPA2_FLAGSHIP!Z21</f>
        <v>0</v>
      </c>
      <c r="AA67">
        <f>SUP_CONTROL!$C$11*CAPA1_PILOTO!AA27+SUP_CONTROL!$C$12*CAPA2_FLAGSHIP!AA21</f>
        <v>0</v>
      </c>
      <c r="AB67">
        <f>SUP_CONTROL!$C$11*CAPA1_PILOTO!AB27+SUP_CONTROL!$C$12*CAPA2_FLAGSHIP!AB21</f>
        <v>0</v>
      </c>
      <c r="AC67">
        <f>SUP_CONTROL!$C$11*CAPA1_PILOTO!AC27+SUP_CONTROL!$C$12*CAPA2_FLAGSHIP!AC21</f>
        <v>0</v>
      </c>
      <c r="AD67">
        <f>SUP_CONTROL!$C$11*CAPA1_PILOTO!AD27+SUP_CONTROL!$C$12*CAPA2_FLAGSHIP!AD21</f>
        <v>0</v>
      </c>
      <c r="AE67">
        <f>SUP_CONTROL!$C$11*CAPA1_PILOTO!AE27+SUP_CONTROL!$C$12*CAPA2_FLAGSHIP!AE21</f>
        <v>0</v>
      </c>
      <c r="AF67">
        <f>SUP_CONTROL!$C$11*CAPA1_PILOTO!AF27+SUP_CONTROL!$C$12*CAPA2_FLAGSHIP!AF21</f>
        <v>0</v>
      </c>
      <c r="AG67">
        <f>SUP_CONTROL!$C$11*CAPA1_PILOTO!AG27+SUP_CONTROL!$C$12*CAPA2_FLAGSHIP!AG21</f>
        <v>0</v>
      </c>
      <c r="AH67">
        <f>SUP_CONTROL!$C$11*CAPA1_PILOTO!AH27+SUP_CONTROL!$C$12*CAPA2_FLAGSHIP!AH21</f>
        <v>0</v>
      </c>
      <c r="AI67">
        <f>SUP_CONTROL!$C$11*CAPA1_PILOTO!AI27+SUP_CONTROL!$C$12*CAPA2_FLAGSHIP!AI21</f>
        <v>0</v>
      </c>
      <c r="AJ67">
        <f>SUP_CONTROL!$C$11*CAPA1_PILOTO!AJ27+SUP_CONTROL!$C$12*CAPA2_FLAGSHIP!AJ21</f>
        <v>0</v>
      </c>
      <c r="AK67">
        <f>SUP_CONTROL!$C$11*CAPA1_PILOTO!AK27+SUP_CONTROL!$C$12*CAPA2_FLAGSHIP!AK21</f>
        <v>0</v>
      </c>
      <c r="AL67">
        <f>SUP_CONTROL!$C$11*CAPA1_PILOTO!AL27+SUP_CONTROL!$C$12*CAPA2_FLAGSHIP!AL21</f>
        <v>0</v>
      </c>
      <c r="AM67">
        <f>SUP_CONTROL!$C$11*CAPA1_PILOTO!AM27+SUP_CONTROL!$C$12*CAPA2_FLAGSHIP!AM21</f>
        <v>0</v>
      </c>
      <c r="AN67">
        <f>SUP_CONTROL!$C$11*CAPA1_PILOTO!AN27+SUP_CONTROL!$C$12*CAPA2_FLAGSHIP!AN21</f>
        <v>0</v>
      </c>
      <c r="AO67">
        <f>SUP_CONTROL!$C$11*CAPA1_PILOTO!AO27+SUP_CONTROL!$C$12*CAPA2_FLAGSHIP!AO21</f>
        <v>0</v>
      </c>
      <c r="AP67">
        <f>SUP_CONTROL!$C$11*CAPA1_PILOTO!AP27+SUP_CONTROL!$C$12*CAPA2_FLAGSHIP!AP21</f>
        <v>0</v>
      </c>
      <c r="AQ67">
        <f>SUP_CONTROL!$C$11*CAPA1_PILOTO!AQ27+SUP_CONTROL!$C$12*CAPA2_FLAGSHIP!AQ21</f>
        <v>0</v>
      </c>
      <c r="AR67">
        <f>SUP_CONTROL!$C$11*CAPA1_PILOTO!AR27+SUP_CONTROL!$C$12*CAPA2_FLAGSHIP!AR21</f>
        <v>0</v>
      </c>
      <c r="AS67">
        <f>SUP_CONTROL!$C$11*CAPA1_PILOTO!AS27+SUP_CONTROL!$C$12*CAPA2_FLAGSHIP!AS21</f>
        <v>0</v>
      </c>
      <c r="AT67">
        <f>SUP_CONTROL!$C$11*CAPA1_PILOTO!AT27+SUP_CONTROL!$C$12*CAPA2_FLAGSHIP!AT21</f>
        <v>0</v>
      </c>
      <c r="AU67">
        <f>SUP_CONTROL!$C$11*CAPA1_PILOTO!AU27+SUP_CONTROL!$C$12*CAPA2_FLAGSHIP!AU21</f>
        <v>0</v>
      </c>
      <c r="AV67">
        <f>SUP_CONTROL!$C$11*CAPA1_PILOTO!AV27+SUP_CONTROL!$C$12*CAPA2_FLAGSHIP!AV21</f>
        <v>0</v>
      </c>
      <c r="AW67">
        <f>SUP_CONTROL!$C$11*CAPA1_PILOTO!AW27+SUP_CONTROL!$C$12*CAPA2_FLAGSHIP!AW21</f>
        <v>0</v>
      </c>
      <c r="AX67">
        <f>SUP_CONTROL!$C$11*CAPA1_PILOTO!AX27+SUP_CONTROL!$C$12*CAPA2_FLAGSHIP!AX21</f>
        <v>0</v>
      </c>
      <c r="AY67">
        <f>SUP_CONTROL!$C$11*CAPA1_PILOTO!AY27+SUP_CONTROL!$C$12*CAPA2_FLAGSHIP!AY21</f>
        <v>0</v>
      </c>
      <c r="AZ67">
        <f>SUP_CONTROL!$C$11*CAPA1_PILOTO!AZ27+SUP_CONTROL!$C$12*CAPA2_FLAGSHIP!AZ21</f>
        <v>0</v>
      </c>
      <c r="BA67">
        <f>SUP_CONTROL!$C$11*CAPA1_PILOTO!BA27+SUP_CONTROL!$C$12*CAPA2_FLAGSHIP!BA21</f>
        <v>0</v>
      </c>
      <c r="BB67">
        <f>SUP_CONTROL!$C$11*CAPA1_PILOTO!BB27+SUP_CONTROL!$C$12*CAPA2_FLAGSHIP!BB21</f>
        <v>0</v>
      </c>
      <c r="BC67">
        <f>SUP_CONTROL!$C$11*CAPA1_PILOTO!BC27+SUP_CONTROL!$C$12*CAPA2_FLAGSHIP!BC21</f>
        <v>0</v>
      </c>
      <c r="BD67">
        <f>SUP_CONTROL!$C$11*CAPA1_PILOTO!BD27+SUP_CONTROL!$C$12*CAPA2_FLAGSHIP!BD21</f>
        <v>0</v>
      </c>
      <c r="BE67">
        <f>SUP_CONTROL!$C$11*CAPA1_PILOTO!BE27+SUP_CONTROL!$C$12*CAPA2_FLAGSHIP!BE21</f>
        <v>0</v>
      </c>
      <c r="BF67">
        <f>SUP_CONTROL!$C$11*CAPA1_PILOTO!BF27+SUP_CONTROL!$C$12*CAPA2_FLAGSHIP!BF21</f>
        <v>0</v>
      </c>
      <c r="BG67">
        <f>SUP_CONTROL!$C$11*CAPA1_PILOTO!BG27+SUP_CONTROL!$C$12*CAPA2_FLAGSHIP!BG21</f>
        <v>0</v>
      </c>
      <c r="BH67">
        <f>SUP_CONTROL!$C$11*CAPA1_PILOTO!BH27+SUP_CONTROL!$C$12*CAPA2_FLAGSHIP!BH21</f>
        <v>0</v>
      </c>
      <c r="BI67">
        <f>SUP_CONTROL!$C$11*CAPA1_PILOTO!BI27+SUP_CONTROL!$C$12*CAPA2_FLAGSHIP!BI21</f>
        <v>0</v>
      </c>
      <c r="BJ67">
        <f>SUP_CONTROL!$C$11*CAPA1_PILOTO!BJ27+SUP_CONTROL!$C$12*CAPA2_FLAGSHIP!BJ21</f>
        <v>0</v>
      </c>
      <c r="BK67">
        <f>SUP_CONTROL!$C$11*CAPA1_PILOTO!BK27+SUP_CONTROL!$C$12*CAPA2_FLAGSHIP!BK21</f>
        <v>0</v>
      </c>
      <c r="BL67">
        <f>SUP_CONTROL!$C$11*CAPA1_PILOTO!BL27+SUP_CONTROL!$C$12*CAPA2_FLAGSHIP!BL21</f>
        <v>0</v>
      </c>
      <c r="BM67">
        <f>SUP_CONTROL!$C$11*CAPA1_PILOTO!BM27+SUP_CONTROL!$C$12*CAPA2_FLAGSHIP!BM21</f>
        <v>0</v>
      </c>
      <c r="BN67">
        <f>SUP_CONTROL!$C$11*CAPA1_PILOTO!BN27+SUP_CONTROL!$C$12*CAPA2_FLAGSHIP!BN21</f>
        <v>0</v>
      </c>
      <c r="BO67">
        <f>SUP_CONTROL!$C$11*CAPA1_PILOTO!BO27+SUP_CONTROL!$C$12*CAPA2_FLAGSHIP!BO21</f>
        <v>0</v>
      </c>
      <c r="BP67">
        <f>SUP_CONTROL!$C$11*CAPA1_PILOTO!BP27+SUP_CONTROL!$C$12*CAPA2_FLAGSHIP!BP21</f>
        <v>0</v>
      </c>
      <c r="BQ67">
        <f>SUP_CONTROL!$C$11*CAPA1_PILOTO!BQ27+SUP_CONTROL!$C$12*CAPA2_FLAGSHIP!BQ21</f>
        <v>0</v>
      </c>
      <c r="BR67">
        <f>SUP_CONTROL!$C$11*CAPA1_PILOTO!BR27+SUP_CONTROL!$C$12*CAPA2_FLAGSHIP!BR21</f>
        <v>0</v>
      </c>
      <c r="BS67">
        <f>SUP_CONTROL!$C$11*CAPA1_PILOTO!BS27+SUP_CONTROL!$C$12*CAPA2_FLAGSHIP!BS21</f>
        <v>0</v>
      </c>
      <c r="BT67">
        <f>SUP_CONTROL!$C$11*CAPA1_PILOTO!BT27+SUP_CONTROL!$C$12*CAPA2_FLAGSHIP!BT21</f>
        <v>0</v>
      </c>
      <c r="BU67">
        <f>SUP_CONTROL!$C$11*CAPA1_PILOTO!BU27+SUP_CONTROL!$C$12*CAPA2_FLAGSHIP!BU21</f>
        <v>0</v>
      </c>
      <c r="BV67">
        <f>SUP_CONTROL!$C$11*CAPA1_PILOTO!BV27+SUP_CONTROL!$C$12*CAPA2_FLAGSHIP!BV21</f>
        <v>0</v>
      </c>
      <c r="BW67">
        <f>SUP_CONTROL!$C$11*CAPA1_PILOTO!BW27+SUP_CONTROL!$C$12*CAPA2_FLAGSHIP!BW21</f>
        <v>0</v>
      </c>
      <c r="BX67">
        <f>SUP_CONTROL!$C$11*CAPA1_PILOTO!BX27+SUP_CONTROL!$C$12*CAPA2_FLAGSHIP!BX21</f>
        <v>0</v>
      </c>
      <c r="BY67">
        <f>SUP_CONTROL!$C$11*CAPA1_PILOTO!BY27+SUP_CONTROL!$C$12*CAPA2_FLAGSHIP!BY21</f>
        <v>0</v>
      </c>
      <c r="BZ67">
        <f>SUP_CONTROL!$C$11*CAPA1_PILOTO!BZ27+SUP_CONTROL!$C$12*CAPA2_FLAGSHIP!BZ21</f>
        <v>0</v>
      </c>
      <c r="CA67">
        <f>SUP_CONTROL!$C$11*CAPA1_PILOTO!CA27+SUP_CONTROL!$C$12*CAPA2_FLAGSHIP!CA21</f>
        <v>0</v>
      </c>
      <c r="CB67">
        <f>SUP_CONTROL!$C$11*CAPA1_PILOTO!CB27+SUP_CONTROL!$C$12*CAPA2_FLAGSHIP!CB21</f>
        <v>0</v>
      </c>
      <c r="CC67">
        <f>SUP_CONTROL!$C$11*CAPA1_PILOTO!CC27+SUP_CONTROL!$C$12*CAPA2_FLAGSHIP!CC21</f>
        <v>0</v>
      </c>
      <c r="CD67">
        <f>SUP_CONTROL!$C$11*CAPA1_PILOTO!CD27+SUP_CONTROL!$C$12*CAPA2_FLAGSHIP!CD21</f>
        <v>0</v>
      </c>
      <c r="CE67">
        <f>SUP_CONTROL!$C$11*CAPA1_PILOTO!CE27+SUP_CONTROL!$C$12*CAPA2_FLAGSHIP!CE21</f>
        <v>0</v>
      </c>
      <c r="CF67">
        <f>SUP_CONTROL!$C$11*CAPA1_PILOTO!CF27+SUP_CONTROL!$C$12*CAPA2_FLAGSHIP!CF21</f>
        <v>0</v>
      </c>
      <c r="CG67">
        <f>SUP_CONTROL!$C$11*CAPA1_PILOTO!CG27+SUP_CONTROL!$C$12*CAPA2_FLAGSHIP!CG21</f>
        <v>0</v>
      </c>
      <c r="CH67">
        <f>SUP_CONTROL!$C$11*CAPA1_PILOTO!CH27+SUP_CONTROL!$C$12*CAPA2_FLAGSHIP!CH21</f>
        <v>0</v>
      </c>
      <c r="CI67">
        <f>SUP_CONTROL!$C$11*CAPA1_PILOTO!CI27+SUP_CONTROL!$C$12*CAPA2_FLAGSHIP!CI21</f>
        <v>0</v>
      </c>
      <c r="CJ67">
        <f>SUP_CONTROL!$C$11*CAPA1_PILOTO!CJ27+SUP_CONTROL!$C$12*CAPA2_FLAGSHIP!CJ21</f>
        <v>0</v>
      </c>
      <c r="CK67">
        <f>SUP_CONTROL!$C$11*CAPA1_PILOTO!CK27+SUP_CONTROL!$C$12*CAPA2_FLAGSHIP!CK21</f>
        <v>0</v>
      </c>
      <c r="CL67">
        <f>SUP_CONTROL!$C$11*CAPA1_PILOTO!CL27+SUP_CONTROL!$C$12*CAPA2_FLAGSHIP!CL21</f>
        <v>0</v>
      </c>
      <c r="CM67">
        <f>SUP_CONTROL!$C$11*CAPA1_PILOTO!CM27+SUP_CONTROL!$C$12*CAPA2_FLAGSHIP!CM21</f>
        <v>0</v>
      </c>
      <c r="CN67">
        <f>SUP_CONTROL!$C$11*CAPA1_PILOTO!CN27+SUP_CONTROL!$C$12*CAPA2_FLAGSHIP!CN21</f>
        <v>0</v>
      </c>
      <c r="CO67">
        <f>SUP_CONTROL!$C$11*CAPA1_PILOTO!CO27+SUP_CONTROL!$C$12*CAPA2_FLAGSHIP!CO21</f>
        <v>0</v>
      </c>
      <c r="CP67">
        <f>SUP_CONTROL!$C$11*CAPA1_PILOTO!CP27+SUP_CONTROL!$C$12*CAPA2_FLAGSHIP!CP21</f>
        <v>0</v>
      </c>
      <c r="CQ67">
        <f>SUP_CONTROL!$C$11*CAPA1_PILOTO!CQ27+SUP_CONTROL!$C$12*CAPA2_FLAGSHIP!CQ21</f>
        <v>0</v>
      </c>
      <c r="CR67">
        <f>SUP_CONTROL!$C$11*CAPA1_PILOTO!CR27+SUP_CONTROL!$C$12*CAPA2_FLAGSHIP!CR21</f>
        <v>0</v>
      </c>
      <c r="CS67">
        <f>SUP_CONTROL!$C$11*CAPA1_PILOTO!CS27+SUP_CONTROL!$C$12*CAPA2_FLAGSHIP!CS21</f>
        <v>0</v>
      </c>
      <c r="CT67">
        <f>SUP_CONTROL!$C$11*CAPA1_PILOTO!CT27+SUP_CONTROL!$C$12*CAPA2_FLAGSHIP!CT21</f>
        <v>0</v>
      </c>
      <c r="CU67">
        <f>SUP_CONTROL!$C$11*CAPA1_PILOTO!CU27+SUP_CONTROL!$C$12*CAPA2_FLAGSHIP!CU21</f>
        <v>0</v>
      </c>
      <c r="CV67">
        <f>SUP_CONTROL!$C$11*CAPA1_PILOTO!CV27+SUP_CONTROL!$C$12*CAPA2_FLAGSHIP!CV21</f>
        <v>0</v>
      </c>
      <c r="CW67">
        <f>SUP_CONTROL!$C$11*CAPA1_PILOTO!CW27+SUP_CONTROL!$C$12*CAPA2_FLAGSHIP!CW21</f>
        <v>0</v>
      </c>
      <c r="CX67">
        <f>SUP_CONTROL!$C$11*CAPA1_PILOTO!CX27+SUP_CONTROL!$C$12*CAPA2_FLAGSHIP!CX21</f>
        <v>0</v>
      </c>
      <c r="CY67">
        <f>SUP_CONTROL!$C$11*CAPA1_PILOTO!CY27+SUP_CONTROL!$C$12*CAPA2_FLAGSHIP!CY21</f>
        <v>0</v>
      </c>
      <c r="CZ67">
        <f>SUP_CONTROL!$C$11*CAPA1_PILOTO!CZ27+SUP_CONTROL!$C$12*CAPA2_FLAGSHIP!CZ21</f>
        <v>0</v>
      </c>
      <c r="DA67">
        <f>SUP_CONTROL!$C$11*CAPA1_PILOTO!DA27+SUP_CONTROL!$C$12*CAPA2_FLAGSHIP!DA21</f>
        <v>0</v>
      </c>
      <c r="DB67">
        <f>SUP_CONTROL!$C$11*CAPA1_PILOTO!DB27+SUP_CONTROL!$C$12*CAPA2_FLAGSHIP!DB21</f>
        <v>0</v>
      </c>
      <c r="DC67">
        <f>SUP_CONTROL!$C$11*CAPA1_PILOTO!DC27+SUP_CONTROL!$C$12*CAPA2_FLAGSHIP!DC21</f>
        <v>0</v>
      </c>
      <c r="DD67">
        <f>SUP_CONTROL!$C$11*CAPA1_PILOTO!DD27+SUP_CONTROL!$C$12*CAPA2_FLAGSHIP!DD21</f>
        <v>0</v>
      </c>
      <c r="DE67">
        <f>SUP_CONTROL!$C$11*CAPA1_PILOTO!DE27+SUP_CONTROL!$C$12*CAPA2_FLAGSHIP!DE21</f>
        <v>0</v>
      </c>
      <c r="DF67">
        <f>SUP_CONTROL!$C$11*CAPA1_PILOTO!DF27+SUP_CONTROL!$C$12*CAPA2_FLAGSHIP!DF21</f>
        <v>0</v>
      </c>
      <c r="DG67">
        <f>SUP_CONTROL!$C$11*CAPA1_PILOTO!DG27+SUP_CONTROL!$C$12*CAPA2_FLAGSHIP!DG21</f>
        <v>0</v>
      </c>
      <c r="DH67">
        <f>SUP_CONTROL!$C$11*CAPA1_PILOTO!DH27+SUP_CONTROL!$C$12*CAPA2_FLAGSHIP!DH21</f>
        <v>0</v>
      </c>
      <c r="DI67">
        <f>SUP_CONTROL!$C$11*CAPA1_PILOTO!DI27+SUP_CONTROL!$C$12*CAPA2_FLAGSHIP!DI21</f>
        <v>0</v>
      </c>
      <c r="DJ67">
        <f>SUP_CONTROL!$C$11*CAPA1_PILOTO!DJ27+SUP_CONTROL!$C$12*CAPA2_FLAGSHIP!DJ21</f>
        <v>0</v>
      </c>
      <c r="DK67">
        <f>SUP_CONTROL!$C$11*CAPA1_PILOTO!DK27+SUP_CONTROL!$C$12*CAPA2_FLAGSHIP!DK21</f>
        <v>0</v>
      </c>
      <c r="DL67">
        <f>SUP_CONTROL!$C$11*CAPA1_PILOTO!DL27+SUP_CONTROL!$C$12*CAPA2_FLAGSHIP!DL21</f>
        <v>0</v>
      </c>
      <c r="DM67">
        <f>SUP_CONTROL!$C$11*CAPA1_PILOTO!DM27+SUP_CONTROL!$C$12*CAPA2_FLAGSHIP!DM21</f>
        <v>0</v>
      </c>
      <c r="DN67">
        <f>SUP_CONTROL!$C$11*CAPA1_PILOTO!DN27+SUP_CONTROL!$C$12*CAPA2_FLAGSHIP!DN21</f>
        <v>0</v>
      </c>
      <c r="DO67">
        <f>SUP_CONTROL!$C$11*CAPA1_PILOTO!DO27+SUP_CONTROL!$C$12*CAPA2_FLAGSHIP!DO21</f>
        <v>0</v>
      </c>
      <c r="DP67">
        <f>SUP_CONTROL!$C$11*CAPA1_PILOTO!DP27+SUP_CONTROL!$C$12*CAPA2_FLAGSHIP!DP21</f>
        <v>0</v>
      </c>
      <c r="DQ67">
        <f>SUP_CONTROL!$C$11*CAPA1_PILOTO!DQ27+SUP_CONTROL!$C$12*CAPA2_FLAGSHIP!DQ21</f>
        <v>0</v>
      </c>
      <c r="DR67">
        <f>SUP_CONTROL!$C$11*CAPA1_PILOTO!DR27+SUP_CONTROL!$C$12*CAPA2_FLAGSHIP!DR21</f>
        <v>0</v>
      </c>
      <c r="DS67">
        <f>SUP_CONTROL!$C$11*CAPA1_PILOTO!DS27+SUP_CONTROL!$C$12*CAPA2_FLAGSHIP!DS21</f>
        <v>0</v>
      </c>
    </row>
    <row r="68" spans="2:123" ht="15" customHeight="1" x14ac:dyDescent="0.2">
      <c r="B68" t="s">
        <v>1046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7030A0"/>
  </sheetPr>
  <dimension ref="A1:DS183"/>
  <sheetViews>
    <sheetView topLeftCell="A45" zoomScaleNormal="100" workbookViewId="0"/>
  </sheetViews>
  <sheetFormatPr baseColWidth="10" defaultColWidth="8.6640625" defaultRowHeight="15" x14ac:dyDescent="0.2"/>
  <cols>
    <col min="1" max="1" width="4" customWidth="1"/>
    <col min="2" max="2" width="14" customWidth="1"/>
    <col min="3" max="3" width="12" customWidth="1"/>
    <col min="4" max="13" width="10" customWidth="1"/>
    <col min="14" max="14" width="12.83203125" customWidth="1"/>
    <col min="15" max="123" width="10" customWidth="1"/>
  </cols>
  <sheetData>
    <row r="1" spans="1:123" ht="15" customHeight="1" x14ac:dyDescent="0.2">
      <c r="A1" s="24" t="s">
        <v>1047</v>
      </c>
      <c r="B1" s="14"/>
      <c r="C1" s="14"/>
      <c r="D1" s="14"/>
      <c r="E1" s="14"/>
      <c r="F1" s="14"/>
      <c r="G1" s="14"/>
      <c r="H1" s="14"/>
      <c r="I1" s="14"/>
    </row>
    <row r="2" spans="1:123" ht="15" customHeight="1" x14ac:dyDescent="0.2">
      <c r="A2" s="23" t="s">
        <v>1048</v>
      </c>
    </row>
    <row r="3" spans="1:123" ht="15" customHeight="1" x14ac:dyDescent="0.2">
      <c r="A3" s="23" t="s">
        <v>89</v>
      </c>
    </row>
    <row r="4" spans="1:123" ht="15" customHeight="1" x14ac:dyDescent="0.2">
      <c r="B4" s="20" t="s">
        <v>632</v>
      </c>
      <c r="D4" s="87">
        <v>1</v>
      </c>
      <c r="E4" s="87">
        <v>2</v>
      </c>
      <c r="F4" s="87">
        <v>3</v>
      </c>
      <c r="G4" s="87">
        <v>4</v>
      </c>
      <c r="H4" s="87">
        <v>5</v>
      </c>
      <c r="I4" s="87">
        <v>6</v>
      </c>
      <c r="J4" s="87">
        <v>7</v>
      </c>
      <c r="K4" s="87">
        <v>8</v>
      </c>
      <c r="L4" s="87">
        <v>9</v>
      </c>
      <c r="M4" s="87">
        <v>10</v>
      </c>
      <c r="N4" s="87">
        <v>11</v>
      </c>
      <c r="O4" s="87">
        <v>12</v>
      </c>
      <c r="P4" s="87">
        <v>13</v>
      </c>
      <c r="Q4" s="87">
        <v>14</v>
      </c>
      <c r="R4" s="87">
        <v>15</v>
      </c>
      <c r="S4" s="87">
        <v>16</v>
      </c>
      <c r="T4" s="87">
        <v>17</v>
      </c>
      <c r="U4" s="87">
        <v>18</v>
      </c>
      <c r="V4" s="87">
        <v>19</v>
      </c>
      <c r="W4" s="87">
        <v>20</v>
      </c>
      <c r="X4" s="87">
        <v>21</v>
      </c>
      <c r="Y4" s="87">
        <v>22</v>
      </c>
      <c r="Z4" s="87">
        <v>23</v>
      </c>
      <c r="AA4" s="87">
        <v>24</v>
      </c>
      <c r="AB4" s="87">
        <v>25</v>
      </c>
      <c r="AC4" s="87">
        <v>26</v>
      </c>
      <c r="AD4" s="87">
        <v>27</v>
      </c>
      <c r="AE4" s="87">
        <v>28</v>
      </c>
      <c r="AF4" s="87">
        <v>29</v>
      </c>
      <c r="AG4" s="87">
        <v>30</v>
      </c>
      <c r="AH4" s="87">
        <v>31</v>
      </c>
      <c r="AI4" s="87">
        <v>32</v>
      </c>
      <c r="AJ4" s="87">
        <v>33</v>
      </c>
      <c r="AK4" s="87">
        <v>34</v>
      </c>
      <c r="AL4" s="87">
        <v>35</v>
      </c>
      <c r="AM4" s="87">
        <v>36</v>
      </c>
      <c r="AN4" s="87">
        <v>37</v>
      </c>
      <c r="AO4" s="87">
        <v>38</v>
      </c>
      <c r="AP4" s="87">
        <v>39</v>
      </c>
      <c r="AQ4" s="87">
        <v>40</v>
      </c>
      <c r="AR4" s="87">
        <v>41</v>
      </c>
      <c r="AS4" s="87">
        <v>42</v>
      </c>
      <c r="AT4" s="87">
        <v>43</v>
      </c>
      <c r="AU4" s="87">
        <v>44</v>
      </c>
      <c r="AV4" s="87">
        <v>45</v>
      </c>
      <c r="AW4" s="87">
        <v>46</v>
      </c>
      <c r="AX4" s="87">
        <v>47</v>
      </c>
      <c r="AY4" s="87">
        <v>48</v>
      </c>
      <c r="AZ4" s="87">
        <v>49</v>
      </c>
      <c r="BA4" s="87">
        <v>50</v>
      </c>
      <c r="BB4" s="87">
        <v>51</v>
      </c>
      <c r="BC4" s="87">
        <v>52</v>
      </c>
      <c r="BD4" s="87">
        <v>53</v>
      </c>
      <c r="BE4" s="87">
        <v>54</v>
      </c>
      <c r="BF4" s="87">
        <v>55</v>
      </c>
      <c r="BG4" s="87">
        <v>56</v>
      </c>
      <c r="BH4" s="87">
        <v>57</v>
      </c>
      <c r="BI4" s="87">
        <v>58</v>
      </c>
      <c r="BJ4" s="87">
        <v>59</v>
      </c>
      <c r="BK4" s="87">
        <v>60</v>
      </c>
      <c r="BL4" s="87">
        <v>61</v>
      </c>
      <c r="BM4" s="87">
        <v>62</v>
      </c>
      <c r="BN4" s="87">
        <v>63</v>
      </c>
      <c r="BO4" s="87">
        <v>64</v>
      </c>
      <c r="BP4" s="87">
        <v>65</v>
      </c>
      <c r="BQ4" s="87">
        <v>66</v>
      </c>
      <c r="BR4" s="87">
        <v>67</v>
      </c>
      <c r="BS4" s="87">
        <v>68</v>
      </c>
      <c r="BT4" s="87">
        <v>69</v>
      </c>
      <c r="BU4" s="87">
        <v>70</v>
      </c>
      <c r="BV4" s="87">
        <v>71</v>
      </c>
      <c r="BW4" s="87">
        <v>72</v>
      </c>
      <c r="BX4" s="87">
        <v>73</v>
      </c>
      <c r="BY4" s="87">
        <v>74</v>
      </c>
      <c r="BZ4" s="87">
        <v>75</v>
      </c>
      <c r="CA4" s="87">
        <v>76</v>
      </c>
      <c r="CB4" s="87">
        <v>77</v>
      </c>
      <c r="CC4" s="87">
        <v>78</v>
      </c>
      <c r="CD4" s="87">
        <v>79</v>
      </c>
      <c r="CE4" s="87">
        <v>80</v>
      </c>
      <c r="CF4" s="87">
        <v>81</v>
      </c>
      <c r="CG4" s="87">
        <v>82</v>
      </c>
      <c r="CH4" s="87">
        <v>83</v>
      </c>
      <c r="CI4" s="87">
        <v>84</v>
      </c>
      <c r="CJ4" s="87">
        <v>85</v>
      </c>
      <c r="CK4" s="87">
        <v>86</v>
      </c>
      <c r="CL4" s="87">
        <v>87</v>
      </c>
      <c r="CM4" s="87">
        <v>88</v>
      </c>
      <c r="CN4" s="87">
        <v>89</v>
      </c>
      <c r="CO4" s="87">
        <v>90</v>
      </c>
      <c r="CP4" s="87">
        <v>91</v>
      </c>
      <c r="CQ4" s="87">
        <v>92</v>
      </c>
      <c r="CR4" s="87">
        <v>93</v>
      </c>
      <c r="CS4" s="87">
        <v>94</v>
      </c>
      <c r="CT4" s="87">
        <v>95</v>
      </c>
      <c r="CU4" s="87">
        <v>96</v>
      </c>
      <c r="CV4" s="87">
        <v>97</v>
      </c>
      <c r="CW4" s="87">
        <v>98</v>
      </c>
      <c r="CX4" s="87">
        <v>99</v>
      </c>
      <c r="CY4" s="87">
        <v>100</v>
      </c>
      <c r="CZ4" s="87">
        <v>101</v>
      </c>
      <c r="DA4" s="87">
        <v>102</v>
      </c>
      <c r="DB4" s="87">
        <v>103</v>
      </c>
      <c r="DC4" s="87">
        <v>104</v>
      </c>
      <c r="DD4" s="87">
        <v>105</v>
      </c>
      <c r="DE4" s="87">
        <v>106</v>
      </c>
      <c r="DF4" s="87">
        <v>107</v>
      </c>
      <c r="DG4" s="87">
        <v>108</v>
      </c>
      <c r="DH4" s="87">
        <v>109</v>
      </c>
      <c r="DI4" s="87">
        <v>110</v>
      </c>
      <c r="DJ4" s="87">
        <v>111</v>
      </c>
      <c r="DK4" s="87">
        <v>112</v>
      </c>
      <c r="DL4" s="87">
        <v>113</v>
      </c>
      <c r="DM4" s="87">
        <v>114</v>
      </c>
      <c r="DN4" s="87">
        <v>115</v>
      </c>
      <c r="DO4" s="87">
        <v>116</v>
      </c>
      <c r="DP4" s="87">
        <v>117</v>
      </c>
      <c r="DQ4" s="87">
        <v>118</v>
      </c>
      <c r="DR4" s="87">
        <v>119</v>
      </c>
      <c r="DS4" s="87">
        <v>120</v>
      </c>
    </row>
    <row r="7" spans="1:123" ht="15" customHeight="1" x14ac:dyDescent="0.2">
      <c r="A7" s="20" t="s">
        <v>339</v>
      </c>
      <c r="B7" s="20" t="s">
        <v>974</v>
      </c>
      <c r="C7" s="20" t="s">
        <v>1049</v>
      </c>
    </row>
    <row r="8" spans="1:123" ht="15" customHeight="1" x14ac:dyDescent="0.2">
      <c r="A8" s="88">
        <v>11</v>
      </c>
      <c r="B8" s="104" t="str">
        <f>SUP_C3_EXPANSION!B20</f>
        <v>V</v>
      </c>
      <c r="C8" s="73">
        <f>SUP_C3_EXPANSION!G20</f>
        <v>14</v>
      </c>
      <c r="D8" s="88">
        <f>IF(COUNTIF(CAPA3_EXPANSION!$D$56:D$56,"&gt;="&amp;1)=0,0,SUP_CONTROL!$C$8*IF($B8="V",1,IF($B8="D",(1+SUP_VOLUMEN!$C$26),(1+SUP_VOLUMEN!$C$27)))*INDEX(SUP_C3_EXPANSION!$C$6:$F$6,MIN(4,COUNTIF(CAPA3_EXPANSION!$D$56:D$56,"&gt;="&amp;1)))*CAPA3_EXPANSION!D$36)</f>
        <v>0</v>
      </c>
      <c r="E8" s="88">
        <f>IF(COUNTIF(CAPA3_EXPANSION!$D$56:E$56,"&gt;="&amp;1)=0,0,SUP_CONTROL!$C$8*IF($B8="V",1,IF($B8="D",(1+SUP_VOLUMEN!$C$26),(1+SUP_VOLUMEN!$C$27)))*INDEX(SUP_C3_EXPANSION!$C$6:$F$6,MIN(4,COUNTIF(CAPA3_EXPANSION!$D$56:E$56,"&gt;="&amp;1)))*CAPA3_EXPANSION!E$36)</f>
        <v>0</v>
      </c>
      <c r="F8" s="88">
        <f>IF(COUNTIF(CAPA3_EXPANSION!$D$56:F$56,"&gt;="&amp;1)=0,0,SUP_CONTROL!$C$8*IF($B8="V",1,IF($B8="D",(1+SUP_VOLUMEN!$C$26),(1+SUP_VOLUMEN!$C$27)))*INDEX(SUP_C3_EXPANSION!$C$6:$F$6,MIN(4,COUNTIF(CAPA3_EXPANSION!$D$56:F$56,"&gt;="&amp;1)))*CAPA3_EXPANSION!F$36)</f>
        <v>0</v>
      </c>
      <c r="G8" s="88">
        <f>IF(COUNTIF(CAPA3_EXPANSION!$D$56:G$56,"&gt;="&amp;1)=0,0,SUP_CONTROL!$C$8*IF($B8="V",1,IF($B8="D",(1+SUP_VOLUMEN!$C$26),(1+SUP_VOLUMEN!$C$27)))*INDEX(SUP_C3_EXPANSION!$C$6:$F$6,MIN(4,COUNTIF(CAPA3_EXPANSION!$D$56:G$56,"&gt;="&amp;1)))*CAPA3_EXPANSION!G$36)</f>
        <v>0</v>
      </c>
      <c r="H8" s="88">
        <f>IF(COUNTIF(CAPA3_EXPANSION!$D$56:H$56,"&gt;="&amp;1)=0,0,SUP_CONTROL!$C$8*IF($B8="V",1,IF($B8="D",(1+SUP_VOLUMEN!$C$26),(1+SUP_VOLUMEN!$C$27)))*INDEX(SUP_C3_EXPANSION!$C$6:$F$6,MIN(4,COUNTIF(CAPA3_EXPANSION!$D$56:H$56,"&gt;="&amp;1)))*CAPA3_EXPANSION!H$36)</f>
        <v>0</v>
      </c>
      <c r="I8" s="88">
        <f>IF(COUNTIF(CAPA3_EXPANSION!$D$56:I$56,"&gt;="&amp;1)=0,0,SUP_CONTROL!$C$8*IF($B8="V",1,IF($B8="D",(1+SUP_VOLUMEN!$C$26),(1+SUP_VOLUMEN!$C$27)))*INDEX(SUP_C3_EXPANSION!$C$6:$F$6,MIN(4,COUNTIF(CAPA3_EXPANSION!$D$56:I$56,"&gt;="&amp;1)))*CAPA3_EXPANSION!I$36)</f>
        <v>0</v>
      </c>
      <c r="J8" s="88">
        <f>IF(COUNTIF(CAPA3_EXPANSION!$D$56:J$56,"&gt;="&amp;1)=0,0,SUP_CONTROL!$C$8*IF($B8="V",1,IF($B8="D",(1+SUP_VOLUMEN!$C$26),(1+SUP_VOLUMEN!$C$27)))*INDEX(SUP_C3_EXPANSION!$C$6:$F$6,MIN(4,COUNTIF(CAPA3_EXPANSION!$D$56:J$56,"&gt;="&amp;1)))*CAPA3_EXPANSION!J$36)</f>
        <v>0</v>
      </c>
      <c r="K8" s="88">
        <f>IF(COUNTIF(CAPA3_EXPANSION!$D$56:K$56,"&gt;="&amp;1)=0,0,SUP_CONTROL!$C$8*IF($B8="V",1,IF($B8="D",(1+SUP_VOLUMEN!$C$26),(1+SUP_VOLUMEN!$C$27)))*INDEX(SUP_C3_EXPANSION!$C$6:$F$6,MIN(4,COUNTIF(CAPA3_EXPANSION!$D$56:K$56,"&gt;="&amp;1)))*CAPA3_EXPANSION!K$36)</f>
        <v>0</v>
      </c>
      <c r="L8" s="88">
        <f>IF(COUNTIF(CAPA3_EXPANSION!$D$56:L$56,"&gt;="&amp;1)=0,0,SUP_CONTROL!$C$8*IF($B8="V",1,IF($B8="D",(1+SUP_VOLUMEN!$C$26),(1+SUP_VOLUMEN!$C$27)))*INDEX(SUP_C3_EXPANSION!$C$6:$F$6,MIN(4,COUNTIF(CAPA3_EXPANSION!$D$56:L$56,"&gt;="&amp;1)))*CAPA3_EXPANSION!L$36)</f>
        <v>0</v>
      </c>
      <c r="M8" s="88">
        <f>IF(COUNTIF(CAPA3_EXPANSION!$D$56:M$56,"&gt;="&amp;1)=0,0,SUP_CONTROL!$C$8*IF($B8="V",1,IF($B8="D",(1+SUP_VOLUMEN!$C$26),(1+SUP_VOLUMEN!$C$27)))*INDEX(SUP_C3_EXPANSION!$C$6:$F$6,MIN(4,COUNTIF(CAPA3_EXPANSION!$D$56:M$56,"&gt;="&amp;1)))*CAPA3_EXPANSION!M$36)</f>
        <v>0</v>
      </c>
      <c r="N8" s="88">
        <f>IF(COUNTIF(CAPA3_EXPANSION!$D$56:N$56,"&gt;="&amp;1)=0,0,SUP_CONTROL!$C$8*IF($B8="V",1,IF($B8="D",(1+SUP_VOLUMEN!$C$26),(1+SUP_VOLUMEN!$C$27)))*INDEX(SUP_C3_EXPANSION!$C$6:$F$6,MIN(4,COUNTIF(CAPA3_EXPANSION!$D$56:N$56,"&gt;="&amp;1)))*CAPA3_EXPANSION!N$36)</f>
        <v>0</v>
      </c>
      <c r="O8" s="88">
        <f>IF(COUNTIF(CAPA3_EXPANSION!$D$56:O$56,"&gt;="&amp;1)=0,0,SUP_CONTROL!$C$8*IF($B8="V",1,IF($B8="D",(1+SUP_VOLUMEN!$C$26),(1+SUP_VOLUMEN!$C$27)))*INDEX(SUP_C3_EXPANSION!$C$6:$F$6,MIN(4,COUNTIF(CAPA3_EXPANSION!$D$56:O$56,"&gt;="&amp;1)))*CAPA3_EXPANSION!O$36)</f>
        <v>0</v>
      </c>
      <c r="P8" s="88">
        <f>IF(COUNTIF(CAPA3_EXPANSION!$D$56:P$56,"&gt;="&amp;1)=0,0,SUP_CONTROL!$C$8*IF($B8="V",1,IF($B8="D",(1+SUP_VOLUMEN!$C$26),(1+SUP_VOLUMEN!$C$27)))*INDEX(SUP_C3_EXPANSION!$C$6:$F$6,MIN(4,COUNTIF(CAPA3_EXPANSION!$D$56:P$56,"&gt;="&amp;1)))*CAPA3_EXPANSION!P$36)</f>
        <v>0</v>
      </c>
      <c r="Q8" s="88">
        <f>IF(COUNTIF(CAPA3_EXPANSION!$D$56:Q$56,"&gt;="&amp;1)=0,0,SUP_CONTROL!$C$8*IF($B8="V",1,IF($B8="D",(1+SUP_VOLUMEN!$C$26),(1+SUP_VOLUMEN!$C$27)))*INDEX(SUP_C3_EXPANSION!$C$6:$F$6,MIN(4,COUNTIF(CAPA3_EXPANSION!$D$56:Q$56,"&gt;="&amp;1)))*CAPA3_EXPANSION!Q$36)</f>
        <v>0</v>
      </c>
      <c r="R8" s="88">
        <f>IF(COUNTIF(CAPA3_EXPANSION!$D$56:R$56,"&gt;="&amp;1)=0,0,SUP_CONTROL!$C$8*IF($B8="V",1,IF($B8="D",(1+SUP_VOLUMEN!$C$26),(1+SUP_VOLUMEN!$C$27)))*INDEX(SUP_C3_EXPANSION!$C$6:$F$6,MIN(4,COUNTIF(CAPA3_EXPANSION!$D$56:R$56,"&gt;="&amp;1)))*CAPA3_EXPANSION!R$36)</f>
        <v>0</v>
      </c>
      <c r="S8" s="88">
        <f>IF(COUNTIF(CAPA3_EXPANSION!$D$56:S$56,"&gt;="&amp;1)=0,0,SUP_CONTROL!$C$8*IF($B8="V",1,IF($B8="D",(1+SUP_VOLUMEN!$C$26),(1+SUP_VOLUMEN!$C$27)))*INDEX(SUP_C3_EXPANSION!$C$6:$F$6,MIN(4,COUNTIF(CAPA3_EXPANSION!$D$56:S$56,"&gt;="&amp;1)))*CAPA3_EXPANSION!S$36)</f>
        <v>0</v>
      </c>
      <c r="T8" s="88">
        <f>IF(COUNTIF(CAPA3_EXPANSION!$D$56:T$56,"&gt;="&amp;1)=0,0,SUP_CONTROL!$C$8*IF($B8="V",1,IF($B8="D",(1+SUP_VOLUMEN!$C$26),(1+SUP_VOLUMEN!$C$27)))*INDEX(SUP_C3_EXPANSION!$C$6:$F$6,MIN(4,COUNTIF(CAPA3_EXPANSION!$D$56:T$56,"&gt;="&amp;1)))*CAPA3_EXPANSION!T$36)</f>
        <v>2188.5500000000002</v>
      </c>
      <c r="U8" s="88">
        <f>IF(COUNTIF(CAPA3_EXPANSION!$D$56:U$56,"&gt;="&amp;1)=0,0,SUP_CONTROL!$C$8*IF($B8="V",1,IF($B8="D",(1+SUP_VOLUMEN!$C$26),(1+SUP_VOLUMEN!$C$27)))*INDEX(SUP_C3_EXPANSION!$C$6:$F$6,MIN(4,COUNTIF(CAPA3_EXPANSION!$D$56:U$56,"&gt;="&amp;1)))*CAPA3_EXPANSION!U$36)</f>
        <v>2693.6000000000004</v>
      </c>
      <c r="V8" s="88">
        <f>IF(COUNTIF(CAPA3_EXPANSION!$D$56:V$56,"&gt;="&amp;1)=0,0,SUP_CONTROL!$C$8*IF($B8="V",1,IF($B8="D",(1+SUP_VOLUMEN!$C$26),(1+SUP_VOLUMEN!$C$27)))*INDEX(SUP_C3_EXPANSION!$C$6:$F$6,MIN(4,COUNTIF(CAPA3_EXPANSION!$D$56:V$56,"&gt;="&amp;1)))*CAPA3_EXPANSION!V$36)</f>
        <v>3030.3</v>
      </c>
      <c r="W8" s="88">
        <f>IF(COUNTIF(CAPA3_EXPANSION!$D$56:W$56,"&gt;="&amp;1)=0,0,SUP_CONTROL!$C$8*IF($B8="V",1,IF($B8="D",(1+SUP_VOLUMEN!$C$26),(1+SUP_VOLUMEN!$C$27)))*INDEX(SUP_C3_EXPANSION!$C$6:$F$6,MIN(4,COUNTIF(CAPA3_EXPANSION!$D$56:W$56,"&gt;="&amp;1)))*CAPA3_EXPANSION!W$36)</f>
        <v>3367</v>
      </c>
      <c r="X8" s="88">
        <f>IF(COUNTIF(CAPA3_EXPANSION!$D$56:X$56,"&gt;="&amp;1)=0,0,SUP_CONTROL!$C$8*IF($B8="V",1,IF($B8="D",(1+SUP_VOLUMEN!$C$26),(1+SUP_VOLUMEN!$C$27)))*INDEX(SUP_C3_EXPANSION!$C$6:$F$6,MIN(4,COUNTIF(CAPA3_EXPANSION!$D$56:X$56,"&gt;="&amp;1)))*CAPA3_EXPANSION!X$36)</f>
        <v>3367</v>
      </c>
      <c r="Y8" s="88">
        <f>IF(COUNTIF(CAPA3_EXPANSION!$D$56:Y$56,"&gt;="&amp;1)=0,0,SUP_CONTROL!$C$8*IF($B8="V",1,IF($B8="D",(1+SUP_VOLUMEN!$C$26),(1+SUP_VOLUMEN!$C$27)))*INDEX(SUP_C3_EXPANSION!$C$6:$F$6,MIN(4,COUNTIF(CAPA3_EXPANSION!$D$56:Y$56,"&gt;="&amp;1)))*CAPA3_EXPANSION!Y$36)</f>
        <v>3367</v>
      </c>
      <c r="Z8" s="88">
        <f>IF(COUNTIF(CAPA3_EXPANSION!$D$56:Z$56,"&gt;="&amp;1)=0,0,SUP_CONTROL!$C$8*IF($B8="V",1,IF($B8="D",(1+SUP_VOLUMEN!$C$26),(1+SUP_VOLUMEN!$C$27)))*INDEX(SUP_C3_EXPANSION!$C$6:$F$6,MIN(4,COUNTIF(CAPA3_EXPANSION!$D$56:Z$56,"&gt;="&amp;1)))*CAPA3_EXPANSION!Z$36)</f>
        <v>3367</v>
      </c>
      <c r="AA8" s="88">
        <f>IF(COUNTIF(CAPA3_EXPANSION!$D$56:AA$56,"&gt;="&amp;1)=0,0,SUP_CONTROL!$C$8*IF($B8="V",1,IF($B8="D",(1+SUP_VOLUMEN!$C$26),(1+SUP_VOLUMEN!$C$27)))*INDEX(SUP_C3_EXPANSION!$C$6:$F$6,MIN(4,COUNTIF(CAPA3_EXPANSION!$D$56:AA$56,"&gt;="&amp;1)))*CAPA3_EXPANSION!AA$36)</f>
        <v>3367</v>
      </c>
      <c r="AB8" s="88">
        <f>IF(COUNTIF(CAPA3_EXPANSION!$D$56:AB$56,"&gt;="&amp;1)=0,0,SUP_CONTROL!$C$8*IF($B8="V",1,IF($B8="D",(1+SUP_VOLUMEN!$C$26),(1+SUP_VOLUMEN!$C$27)))*INDEX(SUP_C3_EXPANSION!$C$6:$F$6,MIN(4,COUNTIF(CAPA3_EXPANSION!$D$56:AB$56,"&gt;="&amp;1)))*CAPA3_EXPANSION!AB$36)</f>
        <v>3367</v>
      </c>
      <c r="AC8" s="88">
        <f>IF(COUNTIF(CAPA3_EXPANSION!$D$56:AC$56,"&gt;="&amp;1)=0,0,SUP_CONTROL!$C$8*IF($B8="V",1,IF($B8="D",(1+SUP_VOLUMEN!$C$26),(1+SUP_VOLUMEN!$C$27)))*INDEX(SUP_C3_EXPANSION!$C$6:$F$6,MIN(4,COUNTIF(CAPA3_EXPANSION!$D$56:AC$56,"&gt;="&amp;1)))*CAPA3_EXPANSION!AC$36)</f>
        <v>3367</v>
      </c>
      <c r="AD8" s="88">
        <f>IF(COUNTIF(CAPA3_EXPANSION!$D$56:AD$56,"&gt;="&amp;1)=0,0,SUP_CONTROL!$C$8*IF($B8="V",1,IF($B8="D",(1+SUP_VOLUMEN!$C$26),(1+SUP_VOLUMEN!$C$27)))*INDEX(SUP_C3_EXPANSION!$C$6:$F$6,MIN(4,COUNTIF(CAPA3_EXPANSION!$D$56:AD$56,"&gt;="&amp;1)))*CAPA3_EXPANSION!AD$36)</f>
        <v>3265.99</v>
      </c>
      <c r="AE8" s="88">
        <f>IF(COUNTIF(CAPA3_EXPANSION!$D$56:AE$56,"&gt;="&amp;1)=0,0,SUP_CONTROL!$C$8*IF($B8="V",1,IF($B8="D",(1+SUP_VOLUMEN!$C$26),(1+SUP_VOLUMEN!$C$27)))*INDEX(SUP_C3_EXPANSION!$C$6:$F$6,MIN(4,COUNTIF(CAPA3_EXPANSION!$D$56:AE$56,"&gt;="&amp;1)))*CAPA3_EXPANSION!AE$36)</f>
        <v>3265.99</v>
      </c>
      <c r="AF8" s="88">
        <f>IF(COUNTIF(CAPA3_EXPANSION!$D$56:AF$56,"&gt;="&amp;1)=0,0,SUP_CONTROL!$C$8*IF($B8="V",1,IF($B8="D",(1+SUP_VOLUMEN!$C$26),(1+SUP_VOLUMEN!$C$27)))*INDEX(SUP_C3_EXPANSION!$C$6:$F$6,MIN(4,COUNTIF(CAPA3_EXPANSION!$D$56:AF$56,"&gt;="&amp;1)))*CAPA3_EXPANSION!AF$36)</f>
        <v>3265.99</v>
      </c>
      <c r="AG8" s="88">
        <f>IF(COUNTIF(CAPA3_EXPANSION!$D$56:AG$56,"&gt;="&amp;1)=0,0,SUP_CONTROL!$C$8*IF($B8="V",1,IF($B8="D",(1+SUP_VOLUMEN!$C$26),(1+SUP_VOLUMEN!$C$27)))*INDEX(SUP_C3_EXPANSION!$C$6:$F$6,MIN(4,COUNTIF(CAPA3_EXPANSION!$D$56:AG$56,"&gt;="&amp;1)))*CAPA3_EXPANSION!AG$36)</f>
        <v>3265.99</v>
      </c>
      <c r="AH8" s="88">
        <f>IF(COUNTIF(CAPA3_EXPANSION!$D$56:AH$56,"&gt;="&amp;1)=0,0,SUP_CONTROL!$C$8*IF($B8="V",1,IF($B8="D",(1+SUP_VOLUMEN!$C$26),(1+SUP_VOLUMEN!$C$27)))*INDEX(SUP_C3_EXPANSION!$C$6:$F$6,MIN(4,COUNTIF(CAPA3_EXPANSION!$D$56:AH$56,"&gt;="&amp;1)))*CAPA3_EXPANSION!AH$36)</f>
        <v>3265.99</v>
      </c>
      <c r="AI8" s="88">
        <f>IF(COUNTIF(CAPA3_EXPANSION!$D$56:AI$56,"&gt;="&amp;1)=0,0,SUP_CONTROL!$C$8*IF($B8="V",1,IF($B8="D",(1+SUP_VOLUMEN!$C$26),(1+SUP_VOLUMEN!$C$27)))*INDEX(SUP_C3_EXPANSION!$C$6:$F$6,MIN(4,COUNTIF(CAPA3_EXPANSION!$D$56:AI$56,"&gt;="&amp;1)))*CAPA3_EXPANSION!AI$36)</f>
        <v>3265.99</v>
      </c>
      <c r="AJ8" s="88">
        <f>IF(COUNTIF(CAPA3_EXPANSION!$D$56:AJ$56,"&gt;="&amp;1)=0,0,SUP_CONTROL!$C$8*IF($B8="V",1,IF($B8="D",(1+SUP_VOLUMEN!$C$26),(1+SUP_VOLUMEN!$C$27)))*INDEX(SUP_C3_EXPANSION!$C$6:$F$6,MIN(4,COUNTIF(CAPA3_EXPANSION!$D$56:AJ$56,"&gt;="&amp;1)))*CAPA3_EXPANSION!AJ$36)</f>
        <v>3265.99</v>
      </c>
      <c r="AK8" s="88">
        <f>IF(COUNTIF(CAPA3_EXPANSION!$D$56:AK$56,"&gt;="&amp;1)=0,0,SUP_CONTROL!$C$8*IF($B8="V",1,IF($B8="D",(1+SUP_VOLUMEN!$C$26),(1+SUP_VOLUMEN!$C$27)))*INDEX(SUP_C3_EXPANSION!$C$6:$F$6,MIN(4,COUNTIF(CAPA3_EXPANSION!$D$56:AK$56,"&gt;="&amp;1)))*CAPA3_EXPANSION!AK$36)</f>
        <v>3265.99</v>
      </c>
      <c r="AL8" s="88">
        <f>IF(COUNTIF(CAPA3_EXPANSION!$D$56:AL$56,"&gt;="&amp;1)=0,0,SUP_CONTROL!$C$8*IF($B8="V",1,IF($B8="D",(1+SUP_VOLUMEN!$C$26),(1+SUP_VOLUMEN!$C$27)))*INDEX(SUP_C3_EXPANSION!$C$6:$F$6,MIN(4,COUNTIF(CAPA3_EXPANSION!$D$56:AL$56,"&gt;="&amp;1)))*CAPA3_EXPANSION!AL$36)</f>
        <v>3181.8150000000001</v>
      </c>
      <c r="AM8" s="88">
        <f>IF(COUNTIF(CAPA3_EXPANSION!$D$56:AM$56,"&gt;="&amp;1)=0,0,SUP_CONTROL!$C$8*IF($B8="V",1,IF($B8="D",(1+SUP_VOLUMEN!$C$26),(1+SUP_VOLUMEN!$C$27)))*INDEX(SUP_C3_EXPANSION!$C$6:$F$6,MIN(4,COUNTIF(CAPA3_EXPANSION!$D$56:AM$56,"&gt;="&amp;1)))*CAPA3_EXPANSION!AM$36)</f>
        <v>3181.8150000000001</v>
      </c>
      <c r="AN8" s="88">
        <f>IF(COUNTIF(CAPA3_EXPANSION!$D$56:AN$56,"&gt;="&amp;1)=0,0,SUP_CONTROL!$C$8*IF($B8="V",1,IF($B8="D",(1+SUP_VOLUMEN!$C$26),(1+SUP_VOLUMEN!$C$27)))*INDEX(SUP_C3_EXPANSION!$C$6:$F$6,MIN(4,COUNTIF(CAPA3_EXPANSION!$D$56:AN$56,"&gt;="&amp;1)))*CAPA3_EXPANSION!AN$36)</f>
        <v>3181.8150000000001</v>
      </c>
      <c r="AO8" s="88">
        <f>IF(COUNTIF(CAPA3_EXPANSION!$D$56:AO$56,"&gt;="&amp;1)=0,0,SUP_CONTROL!$C$8*IF($B8="V",1,IF($B8="D",(1+SUP_VOLUMEN!$C$26),(1+SUP_VOLUMEN!$C$27)))*INDEX(SUP_C3_EXPANSION!$C$6:$F$6,MIN(4,COUNTIF(CAPA3_EXPANSION!$D$56:AO$56,"&gt;="&amp;1)))*CAPA3_EXPANSION!AO$36)</f>
        <v>3181.8150000000001</v>
      </c>
      <c r="AP8" s="88">
        <f>IF(COUNTIF(CAPA3_EXPANSION!$D$56:AP$56,"&gt;="&amp;1)=0,0,SUP_CONTROL!$C$8*IF($B8="V",1,IF($B8="D",(1+SUP_VOLUMEN!$C$26),(1+SUP_VOLUMEN!$C$27)))*INDEX(SUP_C3_EXPANSION!$C$6:$F$6,MIN(4,COUNTIF(CAPA3_EXPANSION!$D$56:AP$56,"&gt;="&amp;1)))*CAPA3_EXPANSION!AP$36)</f>
        <v>3181.8150000000001</v>
      </c>
      <c r="AQ8" s="88">
        <f>IF(COUNTIF(CAPA3_EXPANSION!$D$56:AQ$56,"&gt;="&amp;1)=0,0,SUP_CONTROL!$C$8*IF($B8="V",1,IF($B8="D",(1+SUP_VOLUMEN!$C$26),(1+SUP_VOLUMEN!$C$27)))*INDEX(SUP_C3_EXPANSION!$C$6:$F$6,MIN(4,COUNTIF(CAPA3_EXPANSION!$D$56:AQ$56,"&gt;="&amp;1)))*CAPA3_EXPANSION!AQ$36)</f>
        <v>3181.8150000000001</v>
      </c>
      <c r="AR8" s="88">
        <f>IF(COUNTIF(CAPA3_EXPANSION!$D$56:AR$56,"&gt;="&amp;1)=0,0,SUP_CONTROL!$C$8*IF($B8="V",1,IF($B8="D",(1+SUP_VOLUMEN!$C$26),(1+SUP_VOLUMEN!$C$27)))*INDEX(SUP_C3_EXPANSION!$C$6:$F$6,MIN(4,COUNTIF(CAPA3_EXPANSION!$D$56:AR$56,"&gt;="&amp;1)))*CAPA3_EXPANSION!AR$36)</f>
        <v>3181.8150000000001</v>
      </c>
      <c r="AS8" s="88">
        <f>IF(COUNTIF(CAPA3_EXPANSION!$D$56:AS$56,"&gt;="&amp;1)=0,0,SUP_CONTROL!$C$8*IF($B8="V",1,IF($B8="D",(1+SUP_VOLUMEN!$C$26),(1+SUP_VOLUMEN!$C$27)))*INDEX(SUP_C3_EXPANSION!$C$6:$F$6,MIN(4,COUNTIF(CAPA3_EXPANSION!$D$56:AS$56,"&gt;="&amp;1)))*CAPA3_EXPANSION!AS$36)</f>
        <v>3181.8150000000001</v>
      </c>
      <c r="AT8" s="88">
        <f>IF(COUNTIF(CAPA3_EXPANSION!$D$56:AT$56,"&gt;="&amp;1)=0,0,SUP_CONTROL!$C$8*IF($B8="V",1,IF($B8="D",(1+SUP_VOLUMEN!$C$26),(1+SUP_VOLUMEN!$C$27)))*INDEX(SUP_C3_EXPANSION!$C$6:$F$6,MIN(4,COUNTIF(CAPA3_EXPANSION!$D$56:AT$56,"&gt;="&amp;1)))*CAPA3_EXPANSION!AT$36)</f>
        <v>3181.8150000000001</v>
      </c>
      <c r="AU8" s="88">
        <f>IF(COUNTIF(CAPA3_EXPANSION!$D$56:AU$56,"&gt;="&amp;1)=0,0,SUP_CONTROL!$C$8*IF($B8="V",1,IF($B8="D",(1+SUP_VOLUMEN!$C$26),(1+SUP_VOLUMEN!$C$27)))*INDEX(SUP_C3_EXPANSION!$C$6:$F$6,MIN(4,COUNTIF(CAPA3_EXPANSION!$D$56:AU$56,"&gt;="&amp;1)))*CAPA3_EXPANSION!AU$36)</f>
        <v>3181.8150000000001</v>
      </c>
      <c r="AV8" s="88">
        <f>IF(COUNTIF(CAPA3_EXPANSION!$D$56:AV$56,"&gt;="&amp;1)=0,0,SUP_CONTROL!$C$8*IF($B8="V",1,IF($B8="D",(1+SUP_VOLUMEN!$C$26),(1+SUP_VOLUMEN!$C$27)))*INDEX(SUP_C3_EXPANSION!$C$6:$F$6,MIN(4,COUNTIF(CAPA3_EXPANSION!$D$56:AV$56,"&gt;="&amp;1)))*CAPA3_EXPANSION!AV$36)</f>
        <v>3181.8150000000001</v>
      </c>
      <c r="AW8" s="88">
        <f>IF(COUNTIF(CAPA3_EXPANSION!$D$56:AW$56,"&gt;="&amp;1)=0,0,SUP_CONTROL!$C$8*IF($B8="V",1,IF($B8="D",(1+SUP_VOLUMEN!$C$26),(1+SUP_VOLUMEN!$C$27)))*INDEX(SUP_C3_EXPANSION!$C$6:$F$6,MIN(4,COUNTIF(CAPA3_EXPANSION!$D$56:AW$56,"&gt;="&amp;1)))*CAPA3_EXPANSION!AW$36)</f>
        <v>3181.8150000000001</v>
      </c>
      <c r="AX8" s="88">
        <f>IF(COUNTIF(CAPA3_EXPANSION!$D$56:AX$56,"&gt;="&amp;1)=0,0,SUP_CONTROL!$C$8*IF($B8="V",1,IF($B8="D",(1+SUP_VOLUMEN!$C$26),(1+SUP_VOLUMEN!$C$27)))*INDEX(SUP_C3_EXPANSION!$C$6:$F$6,MIN(4,COUNTIF(CAPA3_EXPANSION!$D$56:AX$56,"&gt;="&amp;1)))*CAPA3_EXPANSION!AX$36)</f>
        <v>3181.8150000000001</v>
      </c>
      <c r="AY8" s="88">
        <f>IF(COUNTIF(CAPA3_EXPANSION!$D$56:AY$56,"&gt;="&amp;1)=0,0,SUP_CONTROL!$C$8*IF($B8="V",1,IF($B8="D",(1+SUP_VOLUMEN!$C$26),(1+SUP_VOLUMEN!$C$27)))*INDEX(SUP_C3_EXPANSION!$C$6:$F$6,MIN(4,COUNTIF(CAPA3_EXPANSION!$D$56:AY$56,"&gt;="&amp;1)))*CAPA3_EXPANSION!AY$36)</f>
        <v>3181.8150000000001</v>
      </c>
      <c r="AZ8" s="88">
        <f>IF(COUNTIF(CAPA3_EXPANSION!$D$56:AZ$56,"&gt;="&amp;1)=0,0,SUP_CONTROL!$C$8*IF($B8="V",1,IF($B8="D",(1+SUP_VOLUMEN!$C$26),(1+SUP_VOLUMEN!$C$27)))*INDEX(SUP_C3_EXPANSION!$C$6:$F$6,MIN(4,COUNTIF(CAPA3_EXPANSION!$D$56:AZ$56,"&gt;="&amp;1)))*CAPA3_EXPANSION!AZ$36)</f>
        <v>3181.8150000000001</v>
      </c>
      <c r="BA8" s="88">
        <f>IF(COUNTIF(CAPA3_EXPANSION!$D$56:BA$56,"&gt;="&amp;1)=0,0,SUP_CONTROL!$C$8*IF($B8="V",1,IF($B8="D",(1+SUP_VOLUMEN!$C$26),(1+SUP_VOLUMEN!$C$27)))*INDEX(SUP_C3_EXPANSION!$C$6:$F$6,MIN(4,COUNTIF(CAPA3_EXPANSION!$D$56:BA$56,"&gt;="&amp;1)))*CAPA3_EXPANSION!BA$36)</f>
        <v>3097.6400000000003</v>
      </c>
      <c r="BB8" s="88">
        <f>IF(COUNTIF(CAPA3_EXPANSION!$D$56:BB$56,"&gt;="&amp;1)=0,0,SUP_CONTROL!$C$8*IF($B8="V",1,IF($B8="D",(1+SUP_VOLUMEN!$C$26),(1+SUP_VOLUMEN!$C$27)))*INDEX(SUP_C3_EXPANSION!$C$6:$F$6,MIN(4,COUNTIF(CAPA3_EXPANSION!$D$56:BB$56,"&gt;="&amp;1)))*CAPA3_EXPANSION!BB$36)</f>
        <v>3097.6400000000003</v>
      </c>
      <c r="BC8" s="88">
        <f>IF(COUNTIF(CAPA3_EXPANSION!$D$56:BC$56,"&gt;="&amp;1)=0,0,SUP_CONTROL!$C$8*IF($B8="V",1,IF($B8="D",(1+SUP_VOLUMEN!$C$26),(1+SUP_VOLUMEN!$C$27)))*INDEX(SUP_C3_EXPANSION!$C$6:$F$6,MIN(4,COUNTIF(CAPA3_EXPANSION!$D$56:BC$56,"&gt;="&amp;1)))*CAPA3_EXPANSION!BC$36)</f>
        <v>3097.6400000000003</v>
      </c>
      <c r="BD8" s="88">
        <f>IF(COUNTIF(CAPA3_EXPANSION!$D$56:BD$56,"&gt;="&amp;1)=0,0,SUP_CONTROL!$C$8*IF($B8="V",1,IF($B8="D",(1+SUP_VOLUMEN!$C$26),(1+SUP_VOLUMEN!$C$27)))*INDEX(SUP_C3_EXPANSION!$C$6:$F$6,MIN(4,COUNTIF(CAPA3_EXPANSION!$D$56:BD$56,"&gt;="&amp;1)))*CAPA3_EXPANSION!BD$36)</f>
        <v>3097.6400000000003</v>
      </c>
      <c r="BE8" s="88">
        <f>IF(COUNTIF(CAPA3_EXPANSION!$D$56:BE$56,"&gt;="&amp;1)=0,0,SUP_CONTROL!$C$8*IF($B8="V",1,IF($B8="D",(1+SUP_VOLUMEN!$C$26),(1+SUP_VOLUMEN!$C$27)))*INDEX(SUP_C3_EXPANSION!$C$6:$F$6,MIN(4,COUNTIF(CAPA3_EXPANSION!$D$56:BE$56,"&gt;="&amp;1)))*CAPA3_EXPANSION!BE$36)</f>
        <v>3097.6400000000003</v>
      </c>
      <c r="BF8" s="88">
        <f>IF(COUNTIF(CAPA3_EXPANSION!$D$56:BF$56,"&gt;="&amp;1)=0,0,SUP_CONTROL!$C$8*IF($B8="V",1,IF($B8="D",(1+SUP_VOLUMEN!$C$26),(1+SUP_VOLUMEN!$C$27)))*INDEX(SUP_C3_EXPANSION!$C$6:$F$6,MIN(4,COUNTIF(CAPA3_EXPANSION!$D$56:BF$56,"&gt;="&amp;1)))*CAPA3_EXPANSION!BF$36)</f>
        <v>3030.3</v>
      </c>
      <c r="BG8" s="88">
        <f>IF(COUNTIF(CAPA3_EXPANSION!$D$56:BG$56,"&gt;="&amp;1)=0,0,SUP_CONTROL!$C$8*IF($B8="V",1,IF($B8="D",(1+SUP_VOLUMEN!$C$26),(1+SUP_VOLUMEN!$C$27)))*INDEX(SUP_C3_EXPANSION!$C$6:$F$6,MIN(4,COUNTIF(CAPA3_EXPANSION!$D$56:BG$56,"&gt;="&amp;1)))*CAPA3_EXPANSION!BG$36)</f>
        <v>3030.3</v>
      </c>
      <c r="BH8" s="88">
        <f>IF(COUNTIF(CAPA3_EXPANSION!$D$56:BH$56,"&gt;="&amp;1)=0,0,SUP_CONTROL!$C$8*IF($B8="V",1,IF($B8="D",(1+SUP_VOLUMEN!$C$26),(1+SUP_VOLUMEN!$C$27)))*INDEX(SUP_C3_EXPANSION!$C$6:$F$6,MIN(4,COUNTIF(CAPA3_EXPANSION!$D$56:BH$56,"&gt;="&amp;1)))*CAPA3_EXPANSION!BH$36)</f>
        <v>3030.3</v>
      </c>
      <c r="BI8" s="88">
        <f>IF(COUNTIF(CAPA3_EXPANSION!$D$56:BI$56,"&gt;="&amp;1)=0,0,SUP_CONTROL!$C$8*IF($B8="V",1,IF($B8="D",(1+SUP_VOLUMEN!$C$26),(1+SUP_VOLUMEN!$C$27)))*INDEX(SUP_C3_EXPANSION!$C$6:$F$6,MIN(4,COUNTIF(CAPA3_EXPANSION!$D$56:BI$56,"&gt;="&amp;1)))*CAPA3_EXPANSION!BI$36)</f>
        <v>3030.3</v>
      </c>
      <c r="BJ8" s="88">
        <f>IF(COUNTIF(CAPA3_EXPANSION!$D$56:BJ$56,"&gt;="&amp;1)=0,0,SUP_CONTROL!$C$8*IF($B8="V",1,IF($B8="D",(1+SUP_VOLUMEN!$C$26),(1+SUP_VOLUMEN!$C$27)))*INDEX(SUP_C3_EXPANSION!$C$6:$F$6,MIN(4,COUNTIF(CAPA3_EXPANSION!$D$56:BJ$56,"&gt;="&amp;1)))*CAPA3_EXPANSION!BJ$36)</f>
        <v>3030.3</v>
      </c>
      <c r="BK8" s="88">
        <f>IF(COUNTIF(CAPA3_EXPANSION!$D$56:BK$56,"&gt;="&amp;1)=0,0,SUP_CONTROL!$C$8*IF($B8="V",1,IF($B8="D",(1+SUP_VOLUMEN!$C$26),(1+SUP_VOLUMEN!$C$27)))*INDEX(SUP_C3_EXPANSION!$C$6:$F$6,MIN(4,COUNTIF(CAPA3_EXPANSION!$D$56:BK$56,"&gt;="&amp;1)))*CAPA3_EXPANSION!BK$36)</f>
        <v>2962.96</v>
      </c>
      <c r="BL8" s="88">
        <f>IF(COUNTIF(CAPA3_EXPANSION!$D$56:BL$56,"&gt;="&amp;1)=0,0,SUP_CONTROL!$C$8*IF($B8="V",1,IF($B8="D",(1+SUP_VOLUMEN!$C$26),(1+SUP_VOLUMEN!$C$27)))*INDEX(SUP_C3_EXPANSION!$C$6:$F$6,MIN(4,COUNTIF(CAPA3_EXPANSION!$D$56:BL$56,"&gt;="&amp;1)))*CAPA3_EXPANSION!BL$36)</f>
        <v>2962.96</v>
      </c>
      <c r="BM8" s="88">
        <f>IF(COUNTIF(CAPA3_EXPANSION!$D$56:BM$56,"&gt;="&amp;1)=0,0,SUP_CONTROL!$C$8*IF($B8="V",1,IF($B8="D",(1+SUP_VOLUMEN!$C$26),(1+SUP_VOLUMEN!$C$27)))*INDEX(SUP_C3_EXPANSION!$C$6:$F$6,MIN(4,COUNTIF(CAPA3_EXPANSION!$D$56:BM$56,"&gt;="&amp;1)))*CAPA3_EXPANSION!BM$36)</f>
        <v>2962.96</v>
      </c>
      <c r="BN8" s="88">
        <f>IF(COUNTIF(CAPA3_EXPANSION!$D$56:BN$56,"&gt;="&amp;1)=0,0,SUP_CONTROL!$C$8*IF($B8="V",1,IF($B8="D",(1+SUP_VOLUMEN!$C$26),(1+SUP_VOLUMEN!$C$27)))*INDEX(SUP_C3_EXPANSION!$C$6:$F$6,MIN(4,COUNTIF(CAPA3_EXPANSION!$D$56:BN$56,"&gt;="&amp;1)))*CAPA3_EXPANSION!BN$36)</f>
        <v>2962.96</v>
      </c>
      <c r="BO8" s="88">
        <f>IF(COUNTIF(CAPA3_EXPANSION!$D$56:BO$56,"&gt;="&amp;1)=0,0,SUP_CONTROL!$C$8*IF($B8="V",1,IF($B8="D",(1+SUP_VOLUMEN!$C$26),(1+SUP_VOLUMEN!$C$27)))*INDEX(SUP_C3_EXPANSION!$C$6:$F$6,MIN(4,COUNTIF(CAPA3_EXPANSION!$D$56:BO$56,"&gt;="&amp;1)))*CAPA3_EXPANSION!BO$36)</f>
        <v>2962.96</v>
      </c>
      <c r="BP8" s="88">
        <f>IF(COUNTIF(CAPA3_EXPANSION!$D$56:BP$56,"&gt;="&amp;1)=0,0,SUP_CONTROL!$C$8*IF($B8="V",1,IF($B8="D",(1+SUP_VOLUMEN!$C$26),(1+SUP_VOLUMEN!$C$27)))*INDEX(SUP_C3_EXPANSION!$C$6:$F$6,MIN(4,COUNTIF(CAPA3_EXPANSION!$D$56:BP$56,"&gt;="&amp;1)))*CAPA3_EXPANSION!BP$36)</f>
        <v>2912.4549999999999</v>
      </c>
      <c r="BQ8" s="88">
        <f>IF(COUNTIF(CAPA3_EXPANSION!$D$56:BQ$56,"&gt;="&amp;1)=0,0,SUP_CONTROL!$C$8*IF($B8="V",1,IF($B8="D",(1+SUP_VOLUMEN!$C$26),(1+SUP_VOLUMEN!$C$27)))*INDEX(SUP_C3_EXPANSION!$C$6:$F$6,MIN(4,COUNTIF(CAPA3_EXPANSION!$D$56:BQ$56,"&gt;="&amp;1)))*CAPA3_EXPANSION!BQ$36)</f>
        <v>2912.4549999999999</v>
      </c>
      <c r="BR8" s="88">
        <f>IF(COUNTIF(CAPA3_EXPANSION!$D$56:BR$56,"&gt;="&amp;1)=0,0,SUP_CONTROL!$C$8*IF($B8="V",1,IF($B8="D",(1+SUP_VOLUMEN!$C$26),(1+SUP_VOLUMEN!$C$27)))*INDEX(SUP_C3_EXPANSION!$C$6:$F$6,MIN(4,COUNTIF(CAPA3_EXPANSION!$D$56:BR$56,"&gt;="&amp;1)))*CAPA3_EXPANSION!BR$36)</f>
        <v>2912.4549999999999</v>
      </c>
      <c r="BS8" s="88">
        <f>IF(COUNTIF(CAPA3_EXPANSION!$D$56:BS$56,"&gt;="&amp;1)=0,0,SUP_CONTROL!$C$8*IF($B8="V",1,IF($B8="D",(1+SUP_VOLUMEN!$C$26),(1+SUP_VOLUMEN!$C$27)))*INDEX(SUP_C3_EXPANSION!$C$6:$F$6,MIN(4,COUNTIF(CAPA3_EXPANSION!$D$56:BS$56,"&gt;="&amp;1)))*CAPA3_EXPANSION!BS$36)</f>
        <v>2912.4549999999999</v>
      </c>
      <c r="BT8" s="88">
        <f>IF(COUNTIF(CAPA3_EXPANSION!$D$56:BT$56,"&gt;="&amp;1)=0,0,SUP_CONTROL!$C$8*IF($B8="V",1,IF($B8="D",(1+SUP_VOLUMEN!$C$26),(1+SUP_VOLUMEN!$C$27)))*INDEX(SUP_C3_EXPANSION!$C$6:$F$6,MIN(4,COUNTIF(CAPA3_EXPANSION!$D$56:BT$56,"&gt;="&amp;1)))*CAPA3_EXPANSION!BT$36)</f>
        <v>2912.4549999999999</v>
      </c>
      <c r="BU8" s="88">
        <f>IF(COUNTIF(CAPA3_EXPANSION!$D$56:BU$56,"&gt;="&amp;1)=0,0,SUP_CONTROL!$C$8*IF($B8="V",1,IF($B8="D",(1+SUP_VOLUMEN!$C$26),(1+SUP_VOLUMEN!$C$27)))*INDEX(SUP_C3_EXPANSION!$C$6:$F$6,MIN(4,COUNTIF(CAPA3_EXPANSION!$D$56:BU$56,"&gt;="&amp;1)))*CAPA3_EXPANSION!BU$36)</f>
        <v>2861.95</v>
      </c>
      <c r="BV8" s="88">
        <f>IF(COUNTIF(CAPA3_EXPANSION!$D$56:BV$56,"&gt;="&amp;1)=0,0,SUP_CONTROL!$C$8*IF($B8="V",1,IF($B8="D",(1+SUP_VOLUMEN!$C$26),(1+SUP_VOLUMEN!$C$27)))*INDEX(SUP_C3_EXPANSION!$C$6:$F$6,MIN(4,COUNTIF(CAPA3_EXPANSION!$D$56:BV$56,"&gt;="&amp;1)))*CAPA3_EXPANSION!BV$36)</f>
        <v>2861.95</v>
      </c>
      <c r="BW8" s="88">
        <f>IF(COUNTIF(CAPA3_EXPANSION!$D$56:BW$56,"&gt;="&amp;1)=0,0,SUP_CONTROL!$C$8*IF($B8="V",1,IF($B8="D",(1+SUP_VOLUMEN!$C$26),(1+SUP_VOLUMEN!$C$27)))*INDEX(SUP_C3_EXPANSION!$C$6:$F$6,MIN(4,COUNTIF(CAPA3_EXPANSION!$D$56:BW$56,"&gt;="&amp;1)))*CAPA3_EXPANSION!BW$36)</f>
        <v>2861.95</v>
      </c>
      <c r="BX8" s="88">
        <f>IF(COUNTIF(CAPA3_EXPANSION!$D$56:BX$56,"&gt;="&amp;1)=0,0,SUP_CONTROL!$C$8*IF($B8="V",1,IF($B8="D",(1+SUP_VOLUMEN!$C$26),(1+SUP_VOLUMEN!$C$27)))*INDEX(SUP_C3_EXPANSION!$C$6:$F$6,MIN(4,COUNTIF(CAPA3_EXPANSION!$D$56:BX$56,"&gt;="&amp;1)))*CAPA3_EXPANSION!BX$36)</f>
        <v>2861.95</v>
      </c>
      <c r="BY8" s="88">
        <f>IF(COUNTIF(CAPA3_EXPANSION!$D$56:BY$56,"&gt;="&amp;1)=0,0,SUP_CONTROL!$C$8*IF($B8="V",1,IF($B8="D",(1+SUP_VOLUMEN!$C$26),(1+SUP_VOLUMEN!$C$27)))*INDEX(SUP_C3_EXPANSION!$C$6:$F$6,MIN(4,COUNTIF(CAPA3_EXPANSION!$D$56:BY$56,"&gt;="&amp;1)))*CAPA3_EXPANSION!BY$36)</f>
        <v>2861.95</v>
      </c>
      <c r="BZ8" s="88">
        <f>IF(COUNTIF(CAPA3_EXPANSION!$D$56:BZ$56,"&gt;="&amp;1)=0,0,SUP_CONTROL!$C$8*IF($B8="V",1,IF($B8="D",(1+SUP_VOLUMEN!$C$26),(1+SUP_VOLUMEN!$C$27)))*INDEX(SUP_C3_EXPANSION!$C$6:$F$6,MIN(4,COUNTIF(CAPA3_EXPANSION!$D$56:BZ$56,"&gt;="&amp;1)))*CAPA3_EXPANSION!BZ$36)</f>
        <v>2828.2799999999997</v>
      </c>
      <c r="CA8" s="88">
        <f>IF(COUNTIF(CAPA3_EXPANSION!$D$56:CA$56,"&gt;="&amp;1)=0,0,SUP_CONTROL!$C$8*IF($B8="V",1,IF($B8="D",(1+SUP_VOLUMEN!$C$26),(1+SUP_VOLUMEN!$C$27)))*INDEX(SUP_C3_EXPANSION!$C$6:$F$6,MIN(4,COUNTIF(CAPA3_EXPANSION!$D$56:CA$56,"&gt;="&amp;1)))*CAPA3_EXPANSION!CA$36)</f>
        <v>2828.2799999999997</v>
      </c>
      <c r="CB8" s="88">
        <f>IF(COUNTIF(CAPA3_EXPANSION!$D$56:CB$56,"&gt;="&amp;1)=0,0,SUP_CONTROL!$C$8*IF($B8="V",1,IF($B8="D",(1+SUP_VOLUMEN!$C$26),(1+SUP_VOLUMEN!$C$27)))*INDEX(SUP_C3_EXPANSION!$C$6:$F$6,MIN(4,COUNTIF(CAPA3_EXPANSION!$D$56:CB$56,"&gt;="&amp;1)))*CAPA3_EXPANSION!CB$36)</f>
        <v>2828.2799999999997</v>
      </c>
      <c r="CC8" s="88">
        <f>IF(COUNTIF(CAPA3_EXPANSION!$D$56:CC$56,"&gt;="&amp;1)=0,0,SUP_CONTROL!$C$8*IF($B8="V",1,IF($B8="D",(1+SUP_VOLUMEN!$C$26),(1+SUP_VOLUMEN!$C$27)))*INDEX(SUP_C3_EXPANSION!$C$6:$F$6,MIN(4,COUNTIF(CAPA3_EXPANSION!$D$56:CC$56,"&gt;="&amp;1)))*CAPA3_EXPANSION!CC$36)</f>
        <v>2828.2799999999997</v>
      </c>
      <c r="CD8" s="88">
        <f>IF(COUNTIF(CAPA3_EXPANSION!$D$56:CD$56,"&gt;="&amp;1)=0,0,SUP_CONTROL!$C$8*IF($B8="V",1,IF($B8="D",(1+SUP_VOLUMEN!$C$26),(1+SUP_VOLUMEN!$C$27)))*INDEX(SUP_C3_EXPANSION!$C$6:$F$6,MIN(4,COUNTIF(CAPA3_EXPANSION!$D$56:CD$56,"&gt;="&amp;1)))*CAPA3_EXPANSION!CD$36)</f>
        <v>2828.2799999999997</v>
      </c>
      <c r="CE8" s="88">
        <f>IF(COUNTIF(CAPA3_EXPANSION!$D$56:CE$56,"&gt;="&amp;1)=0,0,SUP_CONTROL!$C$8*IF($B8="V",1,IF($B8="D",(1+SUP_VOLUMEN!$C$26),(1+SUP_VOLUMEN!$C$27)))*INDEX(SUP_C3_EXPANSION!$C$6:$F$6,MIN(4,COUNTIF(CAPA3_EXPANSION!$D$56:CE$56,"&gt;="&amp;1)))*CAPA3_EXPANSION!CE$36)</f>
        <v>2828.2799999999997</v>
      </c>
      <c r="CF8" s="88">
        <f>IF(COUNTIF(CAPA3_EXPANSION!$D$56:CF$56,"&gt;="&amp;1)=0,0,SUP_CONTROL!$C$8*IF($B8="V",1,IF($B8="D",(1+SUP_VOLUMEN!$C$26),(1+SUP_VOLUMEN!$C$27)))*INDEX(SUP_C3_EXPANSION!$C$6:$F$6,MIN(4,COUNTIF(CAPA3_EXPANSION!$D$56:CF$56,"&gt;="&amp;1)))*CAPA3_EXPANSION!CF$36)</f>
        <v>2828.2799999999997</v>
      </c>
      <c r="CG8" s="88">
        <f>IF(COUNTIF(CAPA3_EXPANSION!$D$56:CG$56,"&gt;="&amp;1)=0,0,SUP_CONTROL!$C$8*IF($B8="V",1,IF($B8="D",(1+SUP_VOLUMEN!$C$26),(1+SUP_VOLUMEN!$C$27)))*INDEX(SUP_C3_EXPANSION!$C$6:$F$6,MIN(4,COUNTIF(CAPA3_EXPANSION!$D$56:CG$56,"&gt;="&amp;1)))*CAPA3_EXPANSION!CG$36)</f>
        <v>2828.2799999999997</v>
      </c>
      <c r="CH8" s="88">
        <f>IF(COUNTIF(CAPA3_EXPANSION!$D$56:CH$56,"&gt;="&amp;1)=0,0,SUP_CONTROL!$C$8*IF($B8="V",1,IF($B8="D",(1+SUP_VOLUMEN!$C$26),(1+SUP_VOLUMEN!$C$27)))*INDEX(SUP_C3_EXPANSION!$C$6:$F$6,MIN(4,COUNTIF(CAPA3_EXPANSION!$D$56:CH$56,"&gt;="&amp;1)))*CAPA3_EXPANSION!CH$36)</f>
        <v>2828.2799999999997</v>
      </c>
      <c r="CI8" s="88">
        <f>IF(COUNTIF(CAPA3_EXPANSION!$D$56:CI$56,"&gt;="&amp;1)=0,0,SUP_CONTROL!$C$8*IF($B8="V",1,IF($B8="D",(1+SUP_VOLUMEN!$C$26),(1+SUP_VOLUMEN!$C$27)))*INDEX(SUP_C3_EXPANSION!$C$6:$F$6,MIN(4,COUNTIF(CAPA3_EXPANSION!$D$56:CI$56,"&gt;="&amp;1)))*CAPA3_EXPANSION!CI$36)</f>
        <v>2828.2799999999997</v>
      </c>
      <c r="CJ8" s="88">
        <f>IF(COUNTIF(CAPA3_EXPANSION!$D$56:CJ$56,"&gt;="&amp;1)=0,0,SUP_CONTROL!$C$8*IF($B8="V",1,IF($B8="D",(1+SUP_VOLUMEN!$C$26),(1+SUP_VOLUMEN!$C$27)))*INDEX(SUP_C3_EXPANSION!$C$6:$F$6,MIN(4,COUNTIF(CAPA3_EXPANSION!$D$56:CJ$56,"&gt;="&amp;1)))*CAPA3_EXPANSION!CJ$36)</f>
        <v>2828.2799999999997</v>
      </c>
      <c r="CK8" s="88">
        <f>IF(COUNTIF(CAPA3_EXPANSION!$D$56:CK$56,"&gt;="&amp;1)=0,0,SUP_CONTROL!$C$8*IF($B8="V",1,IF($B8="D",(1+SUP_VOLUMEN!$C$26),(1+SUP_VOLUMEN!$C$27)))*INDEX(SUP_C3_EXPANSION!$C$6:$F$6,MIN(4,COUNTIF(CAPA3_EXPANSION!$D$56:CK$56,"&gt;="&amp;1)))*CAPA3_EXPANSION!CK$36)</f>
        <v>2828.2799999999997</v>
      </c>
      <c r="CL8" s="88">
        <f>IF(COUNTIF(CAPA3_EXPANSION!$D$56:CL$56,"&gt;="&amp;1)=0,0,SUP_CONTROL!$C$8*IF($B8="V",1,IF($B8="D",(1+SUP_VOLUMEN!$C$26),(1+SUP_VOLUMEN!$C$27)))*INDEX(SUP_C3_EXPANSION!$C$6:$F$6,MIN(4,COUNTIF(CAPA3_EXPANSION!$D$56:CL$56,"&gt;="&amp;1)))*CAPA3_EXPANSION!CL$36)</f>
        <v>2828.2799999999997</v>
      </c>
      <c r="CM8" s="88">
        <f>IF(COUNTIF(CAPA3_EXPANSION!$D$56:CM$56,"&gt;="&amp;1)=0,0,SUP_CONTROL!$C$8*IF($B8="V",1,IF($B8="D",(1+SUP_VOLUMEN!$C$26),(1+SUP_VOLUMEN!$C$27)))*INDEX(SUP_C3_EXPANSION!$C$6:$F$6,MIN(4,COUNTIF(CAPA3_EXPANSION!$D$56:CM$56,"&gt;="&amp;1)))*CAPA3_EXPANSION!CM$36)</f>
        <v>2828.2799999999997</v>
      </c>
      <c r="CN8" s="88">
        <f>IF(COUNTIF(CAPA3_EXPANSION!$D$56:CN$56,"&gt;="&amp;1)=0,0,SUP_CONTROL!$C$8*IF($B8="V",1,IF($B8="D",(1+SUP_VOLUMEN!$C$26),(1+SUP_VOLUMEN!$C$27)))*INDEX(SUP_C3_EXPANSION!$C$6:$F$6,MIN(4,COUNTIF(CAPA3_EXPANSION!$D$56:CN$56,"&gt;="&amp;1)))*CAPA3_EXPANSION!CN$36)</f>
        <v>2828.2799999999997</v>
      </c>
      <c r="CO8" s="88">
        <f>IF(COUNTIF(CAPA3_EXPANSION!$D$56:CO$56,"&gt;="&amp;1)=0,0,SUP_CONTROL!$C$8*IF($B8="V",1,IF($B8="D",(1+SUP_VOLUMEN!$C$26),(1+SUP_VOLUMEN!$C$27)))*INDEX(SUP_C3_EXPANSION!$C$6:$F$6,MIN(4,COUNTIF(CAPA3_EXPANSION!$D$56:CO$56,"&gt;="&amp;1)))*CAPA3_EXPANSION!CO$36)</f>
        <v>2828.2799999999997</v>
      </c>
      <c r="CP8" s="88">
        <f>IF(COUNTIF(CAPA3_EXPANSION!$D$56:CP$56,"&gt;="&amp;1)=0,0,SUP_CONTROL!$C$8*IF($B8="V",1,IF($B8="D",(1+SUP_VOLUMEN!$C$26),(1+SUP_VOLUMEN!$C$27)))*INDEX(SUP_C3_EXPANSION!$C$6:$F$6,MIN(4,COUNTIF(CAPA3_EXPANSION!$D$56:CP$56,"&gt;="&amp;1)))*CAPA3_EXPANSION!CP$36)</f>
        <v>2828.2799999999997</v>
      </c>
      <c r="CQ8" s="88">
        <f>IF(COUNTIF(CAPA3_EXPANSION!$D$56:CQ$56,"&gt;="&amp;1)=0,0,SUP_CONTROL!$C$8*IF($B8="V",1,IF($B8="D",(1+SUP_VOLUMEN!$C$26),(1+SUP_VOLUMEN!$C$27)))*INDEX(SUP_C3_EXPANSION!$C$6:$F$6,MIN(4,COUNTIF(CAPA3_EXPANSION!$D$56:CQ$56,"&gt;="&amp;1)))*CAPA3_EXPANSION!CQ$36)</f>
        <v>2828.2799999999997</v>
      </c>
      <c r="CR8" s="88">
        <f>IF(COUNTIF(CAPA3_EXPANSION!$D$56:CR$56,"&gt;="&amp;1)=0,0,SUP_CONTROL!$C$8*IF($B8="V",1,IF($B8="D",(1+SUP_VOLUMEN!$C$26),(1+SUP_VOLUMEN!$C$27)))*INDEX(SUP_C3_EXPANSION!$C$6:$F$6,MIN(4,COUNTIF(CAPA3_EXPANSION!$D$56:CR$56,"&gt;="&amp;1)))*CAPA3_EXPANSION!CR$36)</f>
        <v>2828.2799999999997</v>
      </c>
      <c r="CS8" s="88">
        <f>IF(COUNTIF(CAPA3_EXPANSION!$D$56:CS$56,"&gt;="&amp;1)=0,0,SUP_CONTROL!$C$8*IF($B8="V",1,IF($B8="D",(1+SUP_VOLUMEN!$C$26),(1+SUP_VOLUMEN!$C$27)))*INDEX(SUP_C3_EXPANSION!$C$6:$F$6,MIN(4,COUNTIF(CAPA3_EXPANSION!$D$56:CS$56,"&gt;="&amp;1)))*CAPA3_EXPANSION!CS$36)</f>
        <v>2828.2799999999997</v>
      </c>
      <c r="CT8" s="88">
        <f>IF(COUNTIF(CAPA3_EXPANSION!$D$56:CT$56,"&gt;="&amp;1)=0,0,SUP_CONTROL!$C$8*IF($B8="V",1,IF($B8="D",(1+SUP_VOLUMEN!$C$26),(1+SUP_VOLUMEN!$C$27)))*INDEX(SUP_C3_EXPANSION!$C$6:$F$6,MIN(4,COUNTIF(CAPA3_EXPANSION!$D$56:CT$56,"&gt;="&amp;1)))*CAPA3_EXPANSION!CT$36)</f>
        <v>2828.2799999999997</v>
      </c>
      <c r="CU8" s="88">
        <f>IF(COUNTIF(CAPA3_EXPANSION!$D$56:CU$56,"&gt;="&amp;1)=0,0,SUP_CONTROL!$C$8*IF($B8="V",1,IF($B8="D",(1+SUP_VOLUMEN!$C$26),(1+SUP_VOLUMEN!$C$27)))*INDEX(SUP_C3_EXPANSION!$C$6:$F$6,MIN(4,COUNTIF(CAPA3_EXPANSION!$D$56:CU$56,"&gt;="&amp;1)))*CAPA3_EXPANSION!CU$36)</f>
        <v>2828.2799999999997</v>
      </c>
      <c r="CV8" s="88">
        <f>IF(COUNTIF(CAPA3_EXPANSION!$D$56:CV$56,"&gt;="&amp;1)=0,0,SUP_CONTROL!$C$8*IF($B8="V",1,IF($B8="D",(1+SUP_VOLUMEN!$C$26),(1+SUP_VOLUMEN!$C$27)))*INDEX(SUP_C3_EXPANSION!$C$6:$F$6,MIN(4,COUNTIF(CAPA3_EXPANSION!$D$56:CV$56,"&gt;="&amp;1)))*CAPA3_EXPANSION!CV$36)</f>
        <v>2828.2799999999997</v>
      </c>
      <c r="CW8" s="88">
        <f>IF(COUNTIF(CAPA3_EXPANSION!$D$56:CW$56,"&gt;="&amp;1)=0,0,SUP_CONTROL!$C$8*IF($B8="V",1,IF($B8="D",(1+SUP_VOLUMEN!$C$26),(1+SUP_VOLUMEN!$C$27)))*INDEX(SUP_C3_EXPANSION!$C$6:$F$6,MIN(4,COUNTIF(CAPA3_EXPANSION!$D$56:CW$56,"&gt;="&amp;1)))*CAPA3_EXPANSION!CW$36)</f>
        <v>2828.2799999999997</v>
      </c>
      <c r="CX8" s="88">
        <f>IF(COUNTIF(CAPA3_EXPANSION!$D$56:CX$56,"&gt;="&amp;1)=0,0,SUP_CONTROL!$C$8*IF($B8="V",1,IF($B8="D",(1+SUP_VOLUMEN!$C$26),(1+SUP_VOLUMEN!$C$27)))*INDEX(SUP_C3_EXPANSION!$C$6:$F$6,MIN(4,COUNTIF(CAPA3_EXPANSION!$D$56:CX$56,"&gt;="&amp;1)))*CAPA3_EXPANSION!CX$36)</f>
        <v>2828.2799999999997</v>
      </c>
      <c r="CY8" s="88">
        <f>IF(COUNTIF(CAPA3_EXPANSION!$D$56:CY$56,"&gt;="&amp;1)=0,0,SUP_CONTROL!$C$8*IF($B8="V",1,IF($B8="D",(1+SUP_VOLUMEN!$C$26),(1+SUP_VOLUMEN!$C$27)))*INDEX(SUP_C3_EXPANSION!$C$6:$F$6,MIN(4,COUNTIF(CAPA3_EXPANSION!$D$56:CY$56,"&gt;="&amp;1)))*CAPA3_EXPANSION!CY$36)</f>
        <v>2828.2799999999997</v>
      </c>
      <c r="CZ8" s="88">
        <f>IF(COUNTIF(CAPA3_EXPANSION!$D$56:CZ$56,"&gt;="&amp;1)=0,0,SUP_CONTROL!$C$8*IF($B8="V",1,IF($B8="D",(1+SUP_VOLUMEN!$C$26),(1+SUP_VOLUMEN!$C$27)))*INDEX(SUP_C3_EXPANSION!$C$6:$F$6,MIN(4,COUNTIF(CAPA3_EXPANSION!$D$56:CZ$56,"&gt;="&amp;1)))*CAPA3_EXPANSION!CZ$36)</f>
        <v>2828.2799999999997</v>
      </c>
      <c r="DA8" s="88">
        <f>IF(COUNTIF(CAPA3_EXPANSION!$D$56:DA$56,"&gt;="&amp;1)=0,0,SUP_CONTROL!$C$8*IF($B8="V",1,IF($B8="D",(1+SUP_VOLUMEN!$C$26),(1+SUP_VOLUMEN!$C$27)))*INDEX(SUP_C3_EXPANSION!$C$6:$F$6,MIN(4,COUNTIF(CAPA3_EXPANSION!$D$56:DA$56,"&gt;="&amp;1)))*CAPA3_EXPANSION!DA$36)</f>
        <v>2828.2799999999997</v>
      </c>
      <c r="DB8" s="88">
        <f>IF(COUNTIF(CAPA3_EXPANSION!$D$56:DB$56,"&gt;="&amp;1)=0,0,SUP_CONTROL!$C$8*IF($B8="V",1,IF($B8="D",(1+SUP_VOLUMEN!$C$26),(1+SUP_VOLUMEN!$C$27)))*INDEX(SUP_C3_EXPANSION!$C$6:$F$6,MIN(4,COUNTIF(CAPA3_EXPANSION!$D$56:DB$56,"&gt;="&amp;1)))*CAPA3_EXPANSION!DB$36)</f>
        <v>2828.2799999999997</v>
      </c>
      <c r="DC8" s="88">
        <f>IF(COUNTIF(CAPA3_EXPANSION!$D$56:DC$56,"&gt;="&amp;1)=0,0,SUP_CONTROL!$C$8*IF($B8="V",1,IF($B8="D",(1+SUP_VOLUMEN!$C$26),(1+SUP_VOLUMEN!$C$27)))*INDEX(SUP_C3_EXPANSION!$C$6:$F$6,MIN(4,COUNTIF(CAPA3_EXPANSION!$D$56:DC$56,"&gt;="&amp;1)))*CAPA3_EXPANSION!DC$36)</f>
        <v>2828.2799999999997</v>
      </c>
      <c r="DD8" s="88">
        <f>IF(COUNTIF(CAPA3_EXPANSION!$D$56:DD$56,"&gt;="&amp;1)=0,0,SUP_CONTROL!$C$8*IF($B8="V",1,IF($B8="D",(1+SUP_VOLUMEN!$C$26),(1+SUP_VOLUMEN!$C$27)))*INDEX(SUP_C3_EXPANSION!$C$6:$F$6,MIN(4,COUNTIF(CAPA3_EXPANSION!$D$56:DD$56,"&gt;="&amp;1)))*CAPA3_EXPANSION!DD$36)</f>
        <v>2828.2799999999997</v>
      </c>
      <c r="DE8" s="88">
        <f>IF(COUNTIF(CAPA3_EXPANSION!$D$56:DE$56,"&gt;="&amp;1)=0,0,SUP_CONTROL!$C$8*IF($B8="V",1,IF($B8="D",(1+SUP_VOLUMEN!$C$26),(1+SUP_VOLUMEN!$C$27)))*INDEX(SUP_C3_EXPANSION!$C$6:$F$6,MIN(4,COUNTIF(CAPA3_EXPANSION!$D$56:DE$56,"&gt;="&amp;1)))*CAPA3_EXPANSION!DE$36)</f>
        <v>2828.2799999999997</v>
      </c>
      <c r="DF8" s="88">
        <f>IF(COUNTIF(CAPA3_EXPANSION!$D$56:DF$56,"&gt;="&amp;1)=0,0,SUP_CONTROL!$C$8*IF($B8="V",1,IF($B8="D",(1+SUP_VOLUMEN!$C$26),(1+SUP_VOLUMEN!$C$27)))*INDEX(SUP_C3_EXPANSION!$C$6:$F$6,MIN(4,COUNTIF(CAPA3_EXPANSION!$D$56:DF$56,"&gt;="&amp;1)))*CAPA3_EXPANSION!DF$36)</f>
        <v>2828.2799999999997</v>
      </c>
      <c r="DG8" s="88">
        <f>IF(COUNTIF(CAPA3_EXPANSION!$D$56:DG$56,"&gt;="&amp;1)=0,0,SUP_CONTROL!$C$8*IF($B8="V",1,IF($B8="D",(1+SUP_VOLUMEN!$C$26),(1+SUP_VOLUMEN!$C$27)))*INDEX(SUP_C3_EXPANSION!$C$6:$F$6,MIN(4,COUNTIF(CAPA3_EXPANSION!$D$56:DG$56,"&gt;="&amp;1)))*CAPA3_EXPANSION!DG$36)</f>
        <v>2828.2799999999997</v>
      </c>
      <c r="DH8" s="88">
        <f>IF(COUNTIF(CAPA3_EXPANSION!$D$56:DH$56,"&gt;="&amp;1)=0,0,SUP_CONTROL!$C$8*IF($B8="V",1,IF($B8="D",(1+SUP_VOLUMEN!$C$26),(1+SUP_VOLUMEN!$C$27)))*INDEX(SUP_C3_EXPANSION!$C$6:$F$6,MIN(4,COUNTIF(CAPA3_EXPANSION!$D$56:DH$56,"&gt;="&amp;1)))*CAPA3_EXPANSION!DH$36)</f>
        <v>2828.2799999999997</v>
      </c>
      <c r="DI8" s="88">
        <f>IF(COUNTIF(CAPA3_EXPANSION!$D$56:DI$56,"&gt;="&amp;1)=0,0,SUP_CONTROL!$C$8*IF($B8="V",1,IF($B8="D",(1+SUP_VOLUMEN!$C$26),(1+SUP_VOLUMEN!$C$27)))*INDEX(SUP_C3_EXPANSION!$C$6:$F$6,MIN(4,COUNTIF(CAPA3_EXPANSION!$D$56:DI$56,"&gt;="&amp;1)))*CAPA3_EXPANSION!DI$36)</f>
        <v>2828.2799999999997</v>
      </c>
      <c r="DJ8" s="88">
        <f>IF(COUNTIF(CAPA3_EXPANSION!$D$56:DJ$56,"&gt;="&amp;1)=0,0,SUP_CONTROL!$C$8*IF($B8="V",1,IF($B8="D",(1+SUP_VOLUMEN!$C$26),(1+SUP_VOLUMEN!$C$27)))*INDEX(SUP_C3_EXPANSION!$C$6:$F$6,MIN(4,COUNTIF(CAPA3_EXPANSION!$D$56:DJ$56,"&gt;="&amp;1)))*CAPA3_EXPANSION!DJ$36)</f>
        <v>2828.2799999999997</v>
      </c>
      <c r="DK8" s="88">
        <f>IF(COUNTIF(CAPA3_EXPANSION!$D$56:DK$56,"&gt;="&amp;1)=0,0,SUP_CONTROL!$C$8*IF($B8="V",1,IF($B8="D",(1+SUP_VOLUMEN!$C$26),(1+SUP_VOLUMEN!$C$27)))*INDEX(SUP_C3_EXPANSION!$C$6:$F$6,MIN(4,COUNTIF(CAPA3_EXPANSION!$D$56:DK$56,"&gt;="&amp;1)))*CAPA3_EXPANSION!DK$36)</f>
        <v>2828.2799999999997</v>
      </c>
      <c r="DL8" s="88">
        <f>IF(COUNTIF(CAPA3_EXPANSION!$D$56:DL$56,"&gt;="&amp;1)=0,0,SUP_CONTROL!$C$8*IF($B8="V",1,IF($B8="D",(1+SUP_VOLUMEN!$C$26),(1+SUP_VOLUMEN!$C$27)))*INDEX(SUP_C3_EXPANSION!$C$6:$F$6,MIN(4,COUNTIF(CAPA3_EXPANSION!$D$56:DL$56,"&gt;="&amp;1)))*CAPA3_EXPANSION!DL$36)</f>
        <v>2828.2799999999997</v>
      </c>
      <c r="DM8" s="88">
        <f>IF(COUNTIF(CAPA3_EXPANSION!$D$56:DM$56,"&gt;="&amp;1)=0,0,SUP_CONTROL!$C$8*IF($B8="V",1,IF($B8="D",(1+SUP_VOLUMEN!$C$26),(1+SUP_VOLUMEN!$C$27)))*INDEX(SUP_C3_EXPANSION!$C$6:$F$6,MIN(4,COUNTIF(CAPA3_EXPANSION!$D$56:DM$56,"&gt;="&amp;1)))*CAPA3_EXPANSION!DM$36)</f>
        <v>2828.2799999999997</v>
      </c>
      <c r="DN8" s="88">
        <f>IF(COUNTIF(CAPA3_EXPANSION!$D$56:DN$56,"&gt;="&amp;1)=0,0,SUP_CONTROL!$C$8*IF($B8="V",1,IF($B8="D",(1+SUP_VOLUMEN!$C$26),(1+SUP_VOLUMEN!$C$27)))*INDEX(SUP_C3_EXPANSION!$C$6:$F$6,MIN(4,COUNTIF(CAPA3_EXPANSION!$D$56:DN$56,"&gt;="&amp;1)))*CAPA3_EXPANSION!DN$36)</f>
        <v>2828.2799999999997</v>
      </c>
      <c r="DO8" s="88">
        <f>IF(COUNTIF(CAPA3_EXPANSION!$D$56:DO$56,"&gt;="&amp;1)=0,0,SUP_CONTROL!$C$8*IF($B8="V",1,IF($B8="D",(1+SUP_VOLUMEN!$C$26),(1+SUP_VOLUMEN!$C$27)))*INDEX(SUP_C3_EXPANSION!$C$6:$F$6,MIN(4,COUNTIF(CAPA3_EXPANSION!$D$56:DO$56,"&gt;="&amp;1)))*CAPA3_EXPANSION!DO$36)</f>
        <v>2828.2799999999997</v>
      </c>
      <c r="DP8" s="88">
        <f>IF(COUNTIF(CAPA3_EXPANSION!$D$56:DP$56,"&gt;="&amp;1)=0,0,SUP_CONTROL!$C$8*IF($B8="V",1,IF($B8="D",(1+SUP_VOLUMEN!$C$26),(1+SUP_VOLUMEN!$C$27)))*INDEX(SUP_C3_EXPANSION!$C$6:$F$6,MIN(4,COUNTIF(CAPA3_EXPANSION!$D$56:DP$56,"&gt;="&amp;1)))*CAPA3_EXPANSION!DP$36)</f>
        <v>2828.2799999999997</v>
      </c>
      <c r="DQ8" s="88">
        <f>IF(COUNTIF(CAPA3_EXPANSION!$D$56:DQ$56,"&gt;="&amp;1)=0,0,SUP_CONTROL!$C$8*IF($B8="V",1,IF($B8="D",(1+SUP_VOLUMEN!$C$26),(1+SUP_VOLUMEN!$C$27)))*INDEX(SUP_C3_EXPANSION!$C$6:$F$6,MIN(4,COUNTIF(CAPA3_EXPANSION!$D$56:DQ$56,"&gt;="&amp;1)))*CAPA3_EXPANSION!DQ$36)</f>
        <v>2828.2799999999997</v>
      </c>
      <c r="DR8" s="88">
        <f>IF(COUNTIF(CAPA3_EXPANSION!$D$56:DR$56,"&gt;="&amp;1)=0,0,SUP_CONTROL!$C$8*IF($B8="V",1,IF($B8="D",(1+SUP_VOLUMEN!$C$26),(1+SUP_VOLUMEN!$C$27)))*INDEX(SUP_C3_EXPANSION!$C$6:$F$6,MIN(4,COUNTIF(CAPA3_EXPANSION!$D$56:DR$56,"&gt;="&amp;1)))*CAPA3_EXPANSION!DR$36)</f>
        <v>2828.2799999999997</v>
      </c>
      <c r="DS8" s="88">
        <f>IF(COUNTIF(CAPA3_EXPANSION!$D$56:DS$56,"&gt;="&amp;1)=0,0,SUP_CONTROL!$C$8*IF($B8="V",1,IF($B8="D",(1+SUP_VOLUMEN!$C$26),(1+SUP_VOLUMEN!$C$27)))*INDEX(SUP_C3_EXPANSION!$C$6:$F$6,MIN(4,COUNTIF(CAPA3_EXPANSION!$D$56:DS$56,"&gt;="&amp;1)))*CAPA3_EXPANSION!DS$36)</f>
        <v>2828.2799999999997</v>
      </c>
    </row>
    <row r="9" spans="1:123" ht="15" customHeight="1" x14ac:dyDescent="0.2">
      <c r="A9" s="88">
        <v>12</v>
      </c>
      <c r="B9" s="104" t="str">
        <f>SUP_C3_EXPANSION!B21</f>
        <v>V</v>
      </c>
      <c r="C9" s="73">
        <f>SUP_C3_EXPANSION!G21</f>
        <v>16</v>
      </c>
      <c r="D9" s="88">
        <f>IF(COUNTIF(CAPA3_EXPANSION!$D$56:D$56,"&gt;="&amp;2)=0,0,SUP_CONTROL!$C$8*IF($B9="V",1,IF($B9="D",(1+SUP_VOLUMEN!$C$26),(1+SUP_VOLUMEN!$C$27)))*INDEX(SUP_C3_EXPANSION!$C$6:$F$6,MIN(4,COUNTIF(CAPA3_EXPANSION!$D$56:D$56,"&gt;="&amp;2)))*CAPA3_EXPANSION!D$36)</f>
        <v>0</v>
      </c>
      <c r="E9" s="88">
        <f>IF(COUNTIF(CAPA3_EXPANSION!$D$56:E$56,"&gt;="&amp;2)=0,0,SUP_CONTROL!$C$8*IF($B9="V",1,IF($B9="D",(1+SUP_VOLUMEN!$C$26),(1+SUP_VOLUMEN!$C$27)))*INDEX(SUP_C3_EXPANSION!$C$6:$F$6,MIN(4,COUNTIF(CAPA3_EXPANSION!$D$56:E$56,"&gt;="&amp;2)))*CAPA3_EXPANSION!E$36)</f>
        <v>0</v>
      </c>
      <c r="F9" s="88">
        <f>IF(COUNTIF(CAPA3_EXPANSION!$D$56:F$56,"&gt;="&amp;2)=0,0,SUP_CONTROL!$C$8*IF($B9="V",1,IF($B9="D",(1+SUP_VOLUMEN!$C$26),(1+SUP_VOLUMEN!$C$27)))*INDEX(SUP_C3_EXPANSION!$C$6:$F$6,MIN(4,COUNTIF(CAPA3_EXPANSION!$D$56:F$56,"&gt;="&amp;2)))*CAPA3_EXPANSION!F$36)</f>
        <v>0</v>
      </c>
      <c r="G9" s="88">
        <f>IF(COUNTIF(CAPA3_EXPANSION!$D$56:G$56,"&gt;="&amp;2)=0,0,SUP_CONTROL!$C$8*IF($B9="V",1,IF($B9="D",(1+SUP_VOLUMEN!$C$26),(1+SUP_VOLUMEN!$C$27)))*INDEX(SUP_C3_EXPANSION!$C$6:$F$6,MIN(4,COUNTIF(CAPA3_EXPANSION!$D$56:G$56,"&gt;="&amp;2)))*CAPA3_EXPANSION!G$36)</f>
        <v>0</v>
      </c>
      <c r="H9" s="88">
        <f>IF(COUNTIF(CAPA3_EXPANSION!$D$56:H$56,"&gt;="&amp;2)=0,0,SUP_CONTROL!$C$8*IF($B9="V",1,IF($B9="D",(1+SUP_VOLUMEN!$C$26),(1+SUP_VOLUMEN!$C$27)))*INDEX(SUP_C3_EXPANSION!$C$6:$F$6,MIN(4,COUNTIF(CAPA3_EXPANSION!$D$56:H$56,"&gt;="&amp;2)))*CAPA3_EXPANSION!H$36)</f>
        <v>0</v>
      </c>
      <c r="I9" s="88">
        <f>IF(COUNTIF(CAPA3_EXPANSION!$D$56:I$56,"&gt;="&amp;2)=0,0,SUP_CONTROL!$C$8*IF($B9="V",1,IF($B9="D",(1+SUP_VOLUMEN!$C$26),(1+SUP_VOLUMEN!$C$27)))*INDEX(SUP_C3_EXPANSION!$C$6:$F$6,MIN(4,COUNTIF(CAPA3_EXPANSION!$D$56:I$56,"&gt;="&amp;2)))*CAPA3_EXPANSION!I$36)</f>
        <v>0</v>
      </c>
      <c r="J9" s="88">
        <f>IF(COUNTIF(CAPA3_EXPANSION!$D$56:J$56,"&gt;="&amp;2)=0,0,SUP_CONTROL!$C$8*IF($B9="V",1,IF($B9="D",(1+SUP_VOLUMEN!$C$26),(1+SUP_VOLUMEN!$C$27)))*INDEX(SUP_C3_EXPANSION!$C$6:$F$6,MIN(4,COUNTIF(CAPA3_EXPANSION!$D$56:J$56,"&gt;="&amp;2)))*CAPA3_EXPANSION!J$36)</f>
        <v>0</v>
      </c>
      <c r="K9" s="88">
        <f>IF(COUNTIF(CAPA3_EXPANSION!$D$56:K$56,"&gt;="&amp;2)=0,0,SUP_CONTROL!$C$8*IF($B9="V",1,IF($B9="D",(1+SUP_VOLUMEN!$C$26),(1+SUP_VOLUMEN!$C$27)))*INDEX(SUP_C3_EXPANSION!$C$6:$F$6,MIN(4,COUNTIF(CAPA3_EXPANSION!$D$56:K$56,"&gt;="&amp;2)))*CAPA3_EXPANSION!K$36)</f>
        <v>0</v>
      </c>
      <c r="L9" s="88">
        <f>IF(COUNTIF(CAPA3_EXPANSION!$D$56:L$56,"&gt;="&amp;2)=0,0,SUP_CONTROL!$C$8*IF($B9="V",1,IF($B9="D",(1+SUP_VOLUMEN!$C$26),(1+SUP_VOLUMEN!$C$27)))*INDEX(SUP_C3_EXPANSION!$C$6:$F$6,MIN(4,COUNTIF(CAPA3_EXPANSION!$D$56:L$56,"&gt;="&amp;2)))*CAPA3_EXPANSION!L$36)</f>
        <v>0</v>
      </c>
      <c r="M9" s="88">
        <f>IF(COUNTIF(CAPA3_EXPANSION!$D$56:M$56,"&gt;="&amp;2)=0,0,SUP_CONTROL!$C$8*IF($B9="V",1,IF($B9="D",(1+SUP_VOLUMEN!$C$26),(1+SUP_VOLUMEN!$C$27)))*INDEX(SUP_C3_EXPANSION!$C$6:$F$6,MIN(4,COUNTIF(CAPA3_EXPANSION!$D$56:M$56,"&gt;="&amp;2)))*CAPA3_EXPANSION!M$36)</f>
        <v>0</v>
      </c>
      <c r="N9" s="88">
        <f>IF(COUNTIF(CAPA3_EXPANSION!$D$56:N$56,"&gt;="&amp;2)=0,0,SUP_CONTROL!$C$8*IF($B9="V",1,IF($B9="D",(1+SUP_VOLUMEN!$C$26),(1+SUP_VOLUMEN!$C$27)))*INDEX(SUP_C3_EXPANSION!$C$6:$F$6,MIN(4,COUNTIF(CAPA3_EXPANSION!$D$56:N$56,"&gt;="&amp;2)))*CAPA3_EXPANSION!N$36)</f>
        <v>0</v>
      </c>
      <c r="O9" s="88">
        <f>IF(COUNTIF(CAPA3_EXPANSION!$D$56:O$56,"&gt;="&amp;2)=0,0,SUP_CONTROL!$C$8*IF($B9="V",1,IF($B9="D",(1+SUP_VOLUMEN!$C$26),(1+SUP_VOLUMEN!$C$27)))*INDEX(SUP_C3_EXPANSION!$C$6:$F$6,MIN(4,COUNTIF(CAPA3_EXPANSION!$D$56:O$56,"&gt;="&amp;2)))*CAPA3_EXPANSION!O$36)</f>
        <v>0</v>
      </c>
      <c r="P9" s="88">
        <f>IF(COUNTIF(CAPA3_EXPANSION!$D$56:P$56,"&gt;="&amp;2)=0,0,SUP_CONTROL!$C$8*IF($B9="V",1,IF($B9="D",(1+SUP_VOLUMEN!$C$26),(1+SUP_VOLUMEN!$C$27)))*INDEX(SUP_C3_EXPANSION!$C$6:$F$6,MIN(4,COUNTIF(CAPA3_EXPANSION!$D$56:P$56,"&gt;="&amp;2)))*CAPA3_EXPANSION!P$36)</f>
        <v>0</v>
      </c>
      <c r="Q9" s="88">
        <f>IF(COUNTIF(CAPA3_EXPANSION!$D$56:Q$56,"&gt;="&amp;2)=0,0,SUP_CONTROL!$C$8*IF($B9="V",1,IF($B9="D",(1+SUP_VOLUMEN!$C$26),(1+SUP_VOLUMEN!$C$27)))*INDEX(SUP_C3_EXPANSION!$C$6:$F$6,MIN(4,COUNTIF(CAPA3_EXPANSION!$D$56:Q$56,"&gt;="&amp;2)))*CAPA3_EXPANSION!Q$36)</f>
        <v>0</v>
      </c>
      <c r="R9" s="88">
        <f>IF(COUNTIF(CAPA3_EXPANSION!$D$56:R$56,"&gt;="&amp;2)=0,0,SUP_CONTROL!$C$8*IF($B9="V",1,IF($B9="D",(1+SUP_VOLUMEN!$C$26),(1+SUP_VOLUMEN!$C$27)))*INDEX(SUP_C3_EXPANSION!$C$6:$F$6,MIN(4,COUNTIF(CAPA3_EXPANSION!$D$56:R$56,"&gt;="&amp;2)))*CAPA3_EXPANSION!R$36)</f>
        <v>0</v>
      </c>
      <c r="S9" s="88">
        <f>IF(COUNTIF(CAPA3_EXPANSION!$D$56:S$56,"&gt;="&amp;2)=0,0,SUP_CONTROL!$C$8*IF($B9="V",1,IF($B9="D",(1+SUP_VOLUMEN!$C$26),(1+SUP_VOLUMEN!$C$27)))*INDEX(SUP_C3_EXPANSION!$C$6:$F$6,MIN(4,COUNTIF(CAPA3_EXPANSION!$D$56:S$56,"&gt;="&amp;2)))*CAPA3_EXPANSION!S$36)</f>
        <v>0</v>
      </c>
      <c r="T9" s="88">
        <f>IF(COUNTIF(CAPA3_EXPANSION!$D$56:T$56,"&gt;="&amp;2)=0,0,SUP_CONTROL!$C$8*IF($B9="V",1,IF($B9="D",(1+SUP_VOLUMEN!$C$26),(1+SUP_VOLUMEN!$C$27)))*INDEX(SUP_C3_EXPANSION!$C$6:$F$6,MIN(4,COUNTIF(CAPA3_EXPANSION!$D$56:T$56,"&gt;="&amp;2)))*CAPA3_EXPANSION!T$36)</f>
        <v>0</v>
      </c>
      <c r="U9" s="88">
        <f>IF(COUNTIF(CAPA3_EXPANSION!$D$56:U$56,"&gt;="&amp;2)=0,0,SUP_CONTROL!$C$8*IF($B9="V",1,IF($B9="D",(1+SUP_VOLUMEN!$C$26),(1+SUP_VOLUMEN!$C$27)))*INDEX(SUP_C3_EXPANSION!$C$6:$F$6,MIN(4,COUNTIF(CAPA3_EXPANSION!$D$56:U$56,"&gt;="&amp;2)))*CAPA3_EXPANSION!U$36)</f>
        <v>0</v>
      </c>
      <c r="V9" s="88">
        <f>IF(COUNTIF(CAPA3_EXPANSION!$D$56:V$56,"&gt;="&amp;2)=0,0,SUP_CONTROL!$C$8*IF($B9="V",1,IF($B9="D",(1+SUP_VOLUMEN!$C$26),(1+SUP_VOLUMEN!$C$27)))*INDEX(SUP_C3_EXPANSION!$C$6:$F$6,MIN(4,COUNTIF(CAPA3_EXPANSION!$D$56:V$56,"&gt;="&amp;2)))*CAPA3_EXPANSION!V$36)</f>
        <v>2188.5500000000002</v>
      </c>
      <c r="W9" s="88">
        <f>IF(COUNTIF(CAPA3_EXPANSION!$D$56:W$56,"&gt;="&amp;2)=0,0,SUP_CONTROL!$C$8*IF($B9="V",1,IF($B9="D",(1+SUP_VOLUMEN!$C$26),(1+SUP_VOLUMEN!$C$27)))*INDEX(SUP_C3_EXPANSION!$C$6:$F$6,MIN(4,COUNTIF(CAPA3_EXPANSION!$D$56:W$56,"&gt;="&amp;2)))*CAPA3_EXPANSION!W$36)</f>
        <v>2693.6000000000004</v>
      </c>
      <c r="X9" s="88">
        <f>IF(COUNTIF(CAPA3_EXPANSION!$D$56:X$56,"&gt;="&amp;2)=0,0,SUP_CONTROL!$C$8*IF($B9="V",1,IF($B9="D",(1+SUP_VOLUMEN!$C$26),(1+SUP_VOLUMEN!$C$27)))*INDEX(SUP_C3_EXPANSION!$C$6:$F$6,MIN(4,COUNTIF(CAPA3_EXPANSION!$D$56:X$56,"&gt;="&amp;2)))*CAPA3_EXPANSION!X$36)</f>
        <v>3030.3</v>
      </c>
      <c r="Y9" s="88">
        <f>IF(COUNTIF(CAPA3_EXPANSION!$D$56:Y$56,"&gt;="&amp;2)=0,0,SUP_CONTROL!$C$8*IF($B9="V",1,IF($B9="D",(1+SUP_VOLUMEN!$C$26),(1+SUP_VOLUMEN!$C$27)))*INDEX(SUP_C3_EXPANSION!$C$6:$F$6,MIN(4,COUNTIF(CAPA3_EXPANSION!$D$56:Y$56,"&gt;="&amp;2)))*CAPA3_EXPANSION!Y$36)</f>
        <v>3367</v>
      </c>
      <c r="Z9" s="88">
        <f>IF(COUNTIF(CAPA3_EXPANSION!$D$56:Z$56,"&gt;="&amp;2)=0,0,SUP_CONTROL!$C$8*IF($B9="V",1,IF($B9="D",(1+SUP_VOLUMEN!$C$26),(1+SUP_VOLUMEN!$C$27)))*INDEX(SUP_C3_EXPANSION!$C$6:$F$6,MIN(4,COUNTIF(CAPA3_EXPANSION!$D$56:Z$56,"&gt;="&amp;2)))*CAPA3_EXPANSION!Z$36)</f>
        <v>3367</v>
      </c>
      <c r="AA9" s="88">
        <f>IF(COUNTIF(CAPA3_EXPANSION!$D$56:AA$56,"&gt;="&amp;2)=0,0,SUP_CONTROL!$C$8*IF($B9="V",1,IF($B9="D",(1+SUP_VOLUMEN!$C$26),(1+SUP_VOLUMEN!$C$27)))*INDEX(SUP_C3_EXPANSION!$C$6:$F$6,MIN(4,COUNTIF(CAPA3_EXPANSION!$D$56:AA$56,"&gt;="&amp;2)))*CAPA3_EXPANSION!AA$36)</f>
        <v>3367</v>
      </c>
      <c r="AB9" s="88">
        <f>IF(COUNTIF(CAPA3_EXPANSION!$D$56:AB$56,"&gt;="&amp;2)=0,0,SUP_CONTROL!$C$8*IF($B9="V",1,IF($B9="D",(1+SUP_VOLUMEN!$C$26),(1+SUP_VOLUMEN!$C$27)))*INDEX(SUP_C3_EXPANSION!$C$6:$F$6,MIN(4,COUNTIF(CAPA3_EXPANSION!$D$56:AB$56,"&gt;="&amp;2)))*CAPA3_EXPANSION!AB$36)</f>
        <v>3367</v>
      </c>
      <c r="AC9" s="88">
        <f>IF(COUNTIF(CAPA3_EXPANSION!$D$56:AC$56,"&gt;="&amp;2)=0,0,SUP_CONTROL!$C$8*IF($B9="V",1,IF($B9="D",(1+SUP_VOLUMEN!$C$26),(1+SUP_VOLUMEN!$C$27)))*INDEX(SUP_C3_EXPANSION!$C$6:$F$6,MIN(4,COUNTIF(CAPA3_EXPANSION!$D$56:AC$56,"&gt;="&amp;2)))*CAPA3_EXPANSION!AC$36)</f>
        <v>3367</v>
      </c>
      <c r="AD9" s="88">
        <f>IF(COUNTIF(CAPA3_EXPANSION!$D$56:AD$56,"&gt;="&amp;2)=0,0,SUP_CONTROL!$C$8*IF($B9="V",1,IF($B9="D",(1+SUP_VOLUMEN!$C$26),(1+SUP_VOLUMEN!$C$27)))*INDEX(SUP_C3_EXPANSION!$C$6:$F$6,MIN(4,COUNTIF(CAPA3_EXPANSION!$D$56:AD$56,"&gt;="&amp;2)))*CAPA3_EXPANSION!AD$36)</f>
        <v>3265.99</v>
      </c>
      <c r="AE9" s="88">
        <f>IF(COUNTIF(CAPA3_EXPANSION!$D$56:AE$56,"&gt;="&amp;2)=0,0,SUP_CONTROL!$C$8*IF($B9="V",1,IF($B9="D",(1+SUP_VOLUMEN!$C$26),(1+SUP_VOLUMEN!$C$27)))*INDEX(SUP_C3_EXPANSION!$C$6:$F$6,MIN(4,COUNTIF(CAPA3_EXPANSION!$D$56:AE$56,"&gt;="&amp;2)))*CAPA3_EXPANSION!AE$36)</f>
        <v>3265.99</v>
      </c>
      <c r="AF9" s="88">
        <f>IF(COUNTIF(CAPA3_EXPANSION!$D$56:AF$56,"&gt;="&amp;2)=0,0,SUP_CONTROL!$C$8*IF($B9="V",1,IF($B9="D",(1+SUP_VOLUMEN!$C$26),(1+SUP_VOLUMEN!$C$27)))*INDEX(SUP_C3_EXPANSION!$C$6:$F$6,MIN(4,COUNTIF(CAPA3_EXPANSION!$D$56:AF$56,"&gt;="&amp;2)))*CAPA3_EXPANSION!AF$36)</f>
        <v>3265.99</v>
      </c>
      <c r="AG9" s="88">
        <f>IF(COUNTIF(CAPA3_EXPANSION!$D$56:AG$56,"&gt;="&amp;2)=0,0,SUP_CONTROL!$C$8*IF($B9="V",1,IF($B9="D",(1+SUP_VOLUMEN!$C$26),(1+SUP_VOLUMEN!$C$27)))*INDEX(SUP_C3_EXPANSION!$C$6:$F$6,MIN(4,COUNTIF(CAPA3_EXPANSION!$D$56:AG$56,"&gt;="&amp;2)))*CAPA3_EXPANSION!AG$36)</f>
        <v>3265.99</v>
      </c>
      <c r="AH9" s="88">
        <f>IF(COUNTIF(CAPA3_EXPANSION!$D$56:AH$56,"&gt;="&amp;2)=0,0,SUP_CONTROL!$C$8*IF($B9="V",1,IF($B9="D",(1+SUP_VOLUMEN!$C$26),(1+SUP_VOLUMEN!$C$27)))*INDEX(SUP_C3_EXPANSION!$C$6:$F$6,MIN(4,COUNTIF(CAPA3_EXPANSION!$D$56:AH$56,"&gt;="&amp;2)))*CAPA3_EXPANSION!AH$36)</f>
        <v>3265.99</v>
      </c>
      <c r="AI9" s="88">
        <f>IF(COUNTIF(CAPA3_EXPANSION!$D$56:AI$56,"&gt;="&amp;2)=0,0,SUP_CONTROL!$C$8*IF($B9="V",1,IF($B9="D",(1+SUP_VOLUMEN!$C$26),(1+SUP_VOLUMEN!$C$27)))*INDEX(SUP_C3_EXPANSION!$C$6:$F$6,MIN(4,COUNTIF(CAPA3_EXPANSION!$D$56:AI$56,"&gt;="&amp;2)))*CAPA3_EXPANSION!AI$36)</f>
        <v>3265.99</v>
      </c>
      <c r="AJ9" s="88">
        <f>IF(COUNTIF(CAPA3_EXPANSION!$D$56:AJ$56,"&gt;="&amp;2)=0,0,SUP_CONTROL!$C$8*IF($B9="V",1,IF($B9="D",(1+SUP_VOLUMEN!$C$26),(1+SUP_VOLUMEN!$C$27)))*INDEX(SUP_C3_EXPANSION!$C$6:$F$6,MIN(4,COUNTIF(CAPA3_EXPANSION!$D$56:AJ$56,"&gt;="&amp;2)))*CAPA3_EXPANSION!AJ$36)</f>
        <v>3265.99</v>
      </c>
      <c r="AK9" s="88">
        <f>IF(COUNTIF(CAPA3_EXPANSION!$D$56:AK$56,"&gt;="&amp;2)=0,0,SUP_CONTROL!$C$8*IF($B9="V",1,IF($B9="D",(1+SUP_VOLUMEN!$C$26),(1+SUP_VOLUMEN!$C$27)))*INDEX(SUP_C3_EXPANSION!$C$6:$F$6,MIN(4,COUNTIF(CAPA3_EXPANSION!$D$56:AK$56,"&gt;="&amp;2)))*CAPA3_EXPANSION!AK$36)</f>
        <v>3265.99</v>
      </c>
      <c r="AL9" s="88">
        <f>IF(COUNTIF(CAPA3_EXPANSION!$D$56:AL$56,"&gt;="&amp;2)=0,0,SUP_CONTROL!$C$8*IF($B9="V",1,IF($B9="D",(1+SUP_VOLUMEN!$C$26),(1+SUP_VOLUMEN!$C$27)))*INDEX(SUP_C3_EXPANSION!$C$6:$F$6,MIN(4,COUNTIF(CAPA3_EXPANSION!$D$56:AL$56,"&gt;="&amp;2)))*CAPA3_EXPANSION!AL$36)</f>
        <v>3181.8150000000001</v>
      </c>
      <c r="AM9" s="88">
        <f>IF(COUNTIF(CAPA3_EXPANSION!$D$56:AM$56,"&gt;="&amp;2)=0,0,SUP_CONTROL!$C$8*IF($B9="V",1,IF($B9="D",(1+SUP_VOLUMEN!$C$26),(1+SUP_VOLUMEN!$C$27)))*INDEX(SUP_C3_EXPANSION!$C$6:$F$6,MIN(4,COUNTIF(CAPA3_EXPANSION!$D$56:AM$56,"&gt;="&amp;2)))*CAPA3_EXPANSION!AM$36)</f>
        <v>3181.8150000000001</v>
      </c>
      <c r="AN9" s="88">
        <f>IF(COUNTIF(CAPA3_EXPANSION!$D$56:AN$56,"&gt;="&amp;2)=0,0,SUP_CONTROL!$C$8*IF($B9="V",1,IF($B9="D",(1+SUP_VOLUMEN!$C$26),(1+SUP_VOLUMEN!$C$27)))*INDEX(SUP_C3_EXPANSION!$C$6:$F$6,MIN(4,COUNTIF(CAPA3_EXPANSION!$D$56:AN$56,"&gt;="&amp;2)))*CAPA3_EXPANSION!AN$36)</f>
        <v>3181.8150000000001</v>
      </c>
      <c r="AO9" s="88">
        <f>IF(COUNTIF(CAPA3_EXPANSION!$D$56:AO$56,"&gt;="&amp;2)=0,0,SUP_CONTROL!$C$8*IF($B9="V",1,IF($B9="D",(1+SUP_VOLUMEN!$C$26),(1+SUP_VOLUMEN!$C$27)))*INDEX(SUP_C3_EXPANSION!$C$6:$F$6,MIN(4,COUNTIF(CAPA3_EXPANSION!$D$56:AO$56,"&gt;="&amp;2)))*CAPA3_EXPANSION!AO$36)</f>
        <v>3181.8150000000001</v>
      </c>
      <c r="AP9" s="88">
        <f>IF(COUNTIF(CAPA3_EXPANSION!$D$56:AP$56,"&gt;="&amp;2)=0,0,SUP_CONTROL!$C$8*IF($B9="V",1,IF($B9="D",(1+SUP_VOLUMEN!$C$26),(1+SUP_VOLUMEN!$C$27)))*INDEX(SUP_C3_EXPANSION!$C$6:$F$6,MIN(4,COUNTIF(CAPA3_EXPANSION!$D$56:AP$56,"&gt;="&amp;2)))*CAPA3_EXPANSION!AP$36)</f>
        <v>3181.8150000000001</v>
      </c>
      <c r="AQ9" s="88">
        <f>IF(COUNTIF(CAPA3_EXPANSION!$D$56:AQ$56,"&gt;="&amp;2)=0,0,SUP_CONTROL!$C$8*IF($B9="V",1,IF($B9="D",(1+SUP_VOLUMEN!$C$26),(1+SUP_VOLUMEN!$C$27)))*INDEX(SUP_C3_EXPANSION!$C$6:$F$6,MIN(4,COUNTIF(CAPA3_EXPANSION!$D$56:AQ$56,"&gt;="&amp;2)))*CAPA3_EXPANSION!AQ$36)</f>
        <v>3181.8150000000001</v>
      </c>
      <c r="AR9" s="88">
        <f>IF(COUNTIF(CAPA3_EXPANSION!$D$56:AR$56,"&gt;="&amp;2)=0,0,SUP_CONTROL!$C$8*IF($B9="V",1,IF($B9="D",(1+SUP_VOLUMEN!$C$26),(1+SUP_VOLUMEN!$C$27)))*INDEX(SUP_C3_EXPANSION!$C$6:$F$6,MIN(4,COUNTIF(CAPA3_EXPANSION!$D$56:AR$56,"&gt;="&amp;2)))*CAPA3_EXPANSION!AR$36)</f>
        <v>3181.8150000000001</v>
      </c>
      <c r="AS9" s="88">
        <f>IF(COUNTIF(CAPA3_EXPANSION!$D$56:AS$56,"&gt;="&amp;2)=0,0,SUP_CONTROL!$C$8*IF($B9="V",1,IF($B9="D",(1+SUP_VOLUMEN!$C$26),(1+SUP_VOLUMEN!$C$27)))*INDEX(SUP_C3_EXPANSION!$C$6:$F$6,MIN(4,COUNTIF(CAPA3_EXPANSION!$D$56:AS$56,"&gt;="&amp;2)))*CAPA3_EXPANSION!AS$36)</f>
        <v>3181.8150000000001</v>
      </c>
      <c r="AT9" s="88">
        <f>IF(COUNTIF(CAPA3_EXPANSION!$D$56:AT$56,"&gt;="&amp;2)=0,0,SUP_CONTROL!$C$8*IF($B9="V",1,IF($B9="D",(1+SUP_VOLUMEN!$C$26),(1+SUP_VOLUMEN!$C$27)))*INDEX(SUP_C3_EXPANSION!$C$6:$F$6,MIN(4,COUNTIF(CAPA3_EXPANSION!$D$56:AT$56,"&gt;="&amp;2)))*CAPA3_EXPANSION!AT$36)</f>
        <v>3181.8150000000001</v>
      </c>
      <c r="AU9" s="88">
        <f>IF(COUNTIF(CAPA3_EXPANSION!$D$56:AU$56,"&gt;="&amp;2)=0,0,SUP_CONTROL!$C$8*IF($B9="V",1,IF($B9="D",(1+SUP_VOLUMEN!$C$26),(1+SUP_VOLUMEN!$C$27)))*INDEX(SUP_C3_EXPANSION!$C$6:$F$6,MIN(4,COUNTIF(CAPA3_EXPANSION!$D$56:AU$56,"&gt;="&amp;2)))*CAPA3_EXPANSION!AU$36)</f>
        <v>3181.8150000000001</v>
      </c>
      <c r="AV9" s="88">
        <f>IF(COUNTIF(CAPA3_EXPANSION!$D$56:AV$56,"&gt;="&amp;2)=0,0,SUP_CONTROL!$C$8*IF($B9="V",1,IF($B9="D",(1+SUP_VOLUMEN!$C$26),(1+SUP_VOLUMEN!$C$27)))*INDEX(SUP_C3_EXPANSION!$C$6:$F$6,MIN(4,COUNTIF(CAPA3_EXPANSION!$D$56:AV$56,"&gt;="&amp;2)))*CAPA3_EXPANSION!AV$36)</f>
        <v>3181.8150000000001</v>
      </c>
      <c r="AW9" s="88">
        <f>IF(COUNTIF(CAPA3_EXPANSION!$D$56:AW$56,"&gt;="&amp;2)=0,0,SUP_CONTROL!$C$8*IF($B9="V",1,IF($B9="D",(1+SUP_VOLUMEN!$C$26),(1+SUP_VOLUMEN!$C$27)))*INDEX(SUP_C3_EXPANSION!$C$6:$F$6,MIN(4,COUNTIF(CAPA3_EXPANSION!$D$56:AW$56,"&gt;="&amp;2)))*CAPA3_EXPANSION!AW$36)</f>
        <v>3181.8150000000001</v>
      </c>
      <c r="AX9" s="88">
        <f>IF(COUNTIF(CAPA3_EXPANSION!$D$56:AX$56,"&gt;="&amp;2)=0,0,SUP_CONTROL!$C$8*IF($B9="V",1,IF($B9="D",(1+SUP_VOLUMEN!$C$26),(1+SUP_VOLUMEN!$C$27)))*INDEX(SUP_C3_EXPANSION!$C$6:$F$6,MIN(4,COUNTIF(CAPA3_EXPANSION!$D$56:AX$56,"&gt;="&amp;2)))*CAPA3_EXPANSION!AX$36)</f>
        <v>3181.8150000000001</v>
      </c>
      <c r="AY9" s="88">
        <f>IF(COUNTIF(CAPA3_EXPANSION!$D$56:AY$56,"&gt;="&amp;2)=0,0,SUP_CONTROL!$C$8*IF($B9="V",1,IF($B9="D",(1+SUP_VOLUMEN!$C$26),(1+SUP_VOLUMEN!$C$27)))*INDEX(SUP_C3_EXPANSION!$C$6:$F$6,MIN(4,COUNTIF(CAPA3_EXPANSION!$D$56:AY$56,"&gt;="&amp;2)))*CAPA3_EXPANSION!AY$36)</f>
        <v>3181.8150000000001</v>
      </c>
      <c r="AZ9" s="88">
        <f>IF(COUNTIF(CAPA3_EXPANSION!$D$56:AZ$56,"&gt;="&amp;2)=0,0,SUP_CONTROL!$C$8*IF($B9="V",1,IF($B9="D",(1+SUP_VOLUMEN!$C$26),(1+SUP_VOLUMEN!$C$27)))*INDEX(SUP_C3_EXPANSION!$C$6:$F$6,MIN(4,COUNTIF(CAPA3_EXPANSION!$D$56:AZ$56,"&gt;="&amp;2)))*CAPA3_EXPANSION!AZ$36)</f>
        <v>3181.8150000000001</v>
      </c>
      <c r="BA9" s="88">
        <f>IF(COUNTIF(CAPA3_EXPANSION!$D$56:BA$56,"&gt;="&amp;2)=0,0,SUP_CONTROL!$C$8*IF($B9="V",1,IF($B9="D",(1+SUP_VOLUMEN!$C$26),(1+SUP_VOLUMEN!$C$27)))*INDEX(SUP_C3_EXPANSION!$C$6:$F$6,MIN(4,COUNTIF(CAPA3_EXPANSION!$D$56:BA$56,"&gt;="&amp;2)))*CAPA3_EXPANSION!BA$36)</f>
        <v>3097.6400000000003</v>
      </c>
      <c r="BB9" s="88">
        <f>IF(COUNTIF(CAPA3_EXPANSION!$D$56:BB$56,"&gt;="&amp;2)=0,0,SUP_CONTROL!$C$8*IF($B9="V",1,IF($B9="D",(1+SUP_VOLUMEN!$C$26),(1+SUP_VOLUMEN!$C$27)))*INDEX(SUP_C3_EXPANSION!$C$6:$F$6,MIN(4,COUNTIF(CAPA3_EXPANSION!$D$56:BB$56,"&gt;="&amp;2)))*CAPA3_EXPANSION!BB$36)</f>
        <v>3097.6400000000003</v>
      </c>
      <c r="BC9" s="88">
        <f>IF(COUNTIF(CAPA3_EXPANSION!$D$56:BC$56,"&gt;="&amp;2)=0,0,SUP_CONTROL!$C$8*IF($B9="V",1,IF($B9="D",(1+SUP_VOLUMEN!$C$26),(1+SUP_VOLUMEN!$C$27)))*INDEX(SUP_C3_EXPANSION!$C$6:$F$6,MIN(4,COUNTIF(CAPA3_EXPANSION!$D$56:BC$56,"&gt;="&amp;2)))*CAPA3_EXPANSION!BC$36)</f>
        <v>3097.6400000000003</v>
      </c>
      <c r="BD9" s="88">
        <f>IF(COUNTIF(CAPA3_EXPANSION!$D$56:BD$56,"&gt;="&amp;2)=0,0,SUP_CONTROL!$C$8*IF($B9="V",1,IF($B9="D",(1+SUP_VOLUMEN!$C$26),(1+SUP_VOLUMEN!$C$27)))*INDEX(SUP_C3_EXPANSION!$C$6:$F$6,MIN(4,COUNTIF(CAPA3_EXPANSION!$D$56:BD$56,"&gt;="&amp;2)))*CAPA3_EXPANSION!BD$36)</f>
        <v>3097.6400000000003</v>
      </c>
      <c r="BE9" s="88">
        <f>IF(COUNTIF(CAPA3_EXPANSION!$D$56:BE$56,"&gt;="&amp;2)=0,0,SUP_CONTROL!$C$8*IF($B9="V",1,IF($B9="D",(1+SUP_VOLUMEN!$C$26),(1+SUP_VOLUMEN!$C$27)))*INDEX(SUP_C3_EXPANSION!$C$6:$F$6,MIN(4,COUNTIF(CAPA3_EXPANSION!$D$56:BE$56,"&gt;="&amp;2)))*CAPA3_EXPANSION!BE$36)</f>
        <v>3097.6400000000003</v>
      </c>
      <c r="BF9" s="88">
        <f>IF(COUNTIF(CAPA3_EXPANSION!$D$56:BF$56,"&gt;="&amp;2)=0,0,SUP_CONTROL!$C$8*IF($B9="V",1,IF($B9="D",(1+SUP_VOLUMEN!$C$26),(1+SUP_VOLUMEN!$C$27)))*INDEX(SUP_C3_EXPANSION!$C$6:$F$6,MIN(4,COUNTIF(CAPA3_EXPANSION!$D$56:BF$56,"&gt;="&amp;2)))*CAPA3_EXPANSION!BF$36)</f>
        <v>3030.3</v>
      </c>
      <c r="BG9" s="88">
        <f>IF(COUNTIF(CAPA3_EXPANSION!$D$56:BG$56,"&gt;="&amp;2)=0,0,SUP_CONTROL!$C$8*IF($B9="V",1,IF($B9="D",(1+SUP_VOLUMEN!$C$26),(1+SUP_VOLUMEN!$C$27)))*INDEX(SUP_C3_EXPANSION!$C$6:$F$6,MIN(4,COUNTIF(CAPA3_EXPANSION!$D$56:BG$56,"&gt;="&amp;2)))*CAPA3_EXPANSION!BG$36)</f>
        <v>3030.3</v>
      </c>
      <c r="BH9" s="88">
        <f>IF(COUNTIF(CAPA3_EXPANSION!$D$56:BH$56,"&gt;="&amp;2)=0,0,SUP_CONTROL!$C$8*IF($B9="V",1,IF($B9="D",(1+SUP_VOLUMEN!$C$26),(1+SUP_VOLUMEN!$C$27)))*INDEX(SUP_C3_EXPANSION!$C$6:$F$6,MIN(4,COUNTIF(CAPA3_EXPANSION!$D$56:BH$56,"&gt;="&amp;2)))*CAPA3_EXPANSION!BH$36)</f>
        <v>3030.3</v>
      </c>
      <c r="BI9" s="88">
        <f>IF(COUNTIF(CAPA3_EXPANSION!$D$56:BI$56,"&gt;="&amp;2)=0,0,SUP_CONTROL!$C$8*IF($B9="V",1,IF($B9="D",(1+SUP_VOLUMEN!$C$26),(1+SUP_VOLUMEN!$C$27)))*INDEX(SUP_C3_EXPANSION!$C$6:$F$6,MIN(4,COUNTIF(CAPA3_EXPANSION!$D$56:BI$56,"&gt;="&amp;2)))*CAPA3_EXPANSION!BI$36)</f>
        <v>3030.3</v>
      </c>
      <c r="BJ9" s="88">
        <f>IF(COUNTIF(CAPA3_EXPANSION!$D$56:BJ$56,"&gt;="&amp;2)=0,0,SUP_CONTROL!$C$8*IF($B9="V",1,IF($B9="D",(1+SUP_VOLUMEN!$C$26),(1+SUP_VOLUMEN!$C$27)))*INDEX(SUP_C3_EXPANSION!$C$6:$F$6,MIN(4,COUNTIF(CAPA3_EXPANSION!$D$56:BJ$56,"&gt;="&amp;2)))*CAPA3_EXPANSION!BJ$36)</f>
        <v>3030.3</v>
      </c>
      <c r="BK9" s="88">
        <f>IF(COUNTIF(CAPA3_EXPANSION!$D$56:BK$56,"&gt;="&amp;2)=0,0,SUP_CONTROL!$C$8*IF($B9="V",1,IF($B9="D",(1+SUP_VOLUMEN!$C$26),(1+SUP_VOLUMEN!$C$27)))*INDEX(SUP_C3_EXPANSION!$C$6:$F$6,MIN(4,COUNTIF(CAPA3_EXPANSION!$D$56:BK$56,"&gt;="&amp;2)))*CAPA3_EXPANSION!BK$36)</f>
        <v>2962.96</v>
      </c>
      <c r="BL9" s="88">
        <f>IF(COUNTIF(CAPA3_EXPANSION!$D$56:BL$56,"&gt;="&amp;2)=0,0,SUP_CONTROL!$C$8*IF($B9="V",1,IF($B9="D",(1+SUP_VOLUMEN!$C$26),(1+SUP_VOLUMEN!$C$27)))*INDEX(SUP_C3_EXPANSION!$C$6:$F$6,MIN(4,COUNTIF(CAPA3_EXPANSION!$D$56:BL$56,"&gt;="&amp;2)))*CAPA3_EXPANSION!BL$36)</f>
        <v>2962.96</v>
      </c>
      <c r="BM9" s="88">
        <f>IF(COUNTIF(CAPA3_EXPANSION!$D$56:BM$56,"&gt;="&amp;2)=0,0,SUP_CONTROL!$C$8*IF($B9="V",1,IF($B9="D",(1+SUP_VOLUMEN!$C$26),(1+SUP_VOLUMEN!$C$27)))*INDEX(SUP_C3_EXPANSION!$C$6:$F$6,MIN(4,COUNTIF(CAPA3_EXPANSION!$D$56:BM$56,"&gt;="&amp;2)))*CAPA3_EXPANSION!BM$36)</f>
        <v>2962.96</v>
      </c>
      <c r="BN9" s="88">
        <f>IF(COUNTIF(CAPA3_EXPANSION!$D$56:BN$56,"&gt;="&amp;2)=0,0,SUP_CONTROL!$C$8*IF($B9="V",1,IF($B9="D",(1+SUP_VOLUMEN!$C$26),(1+SUP_VOLUMEN!$C$27)))*INDEX(SUP_C3_EXPANSION!$C$6:$F$6,MIN(4,COUNTIF(CAPA3_EXPANSION!$D$56:BN$56,"&gt;="&amp;2)))*CAPA3_EXPANSION!BN$36)</f>
        <v>2962.96</v>
      </c>
      <c r="BO9" s="88">
        <f>IF(COUNTIF(CAPA3_EXPANSION!$D$56:BO$56,"&gt;="&amp;2)=0,0,SUP_CONTROL!$C$8*IF($B9="V",1,IF($B9="D",(1+SUP_VOLUMEN!$C$26),(1+SUP_VOLUMEN!$C$27)))*INDEX(SUP_C3_EXPANSION!$C$6:$F$6,MIN(4,COUNTIF(CAPA3_EXPANSION!$D$56:BO$56,"&gt;="&amp;2)))*CAPA3_EXPANSION!BO$36)</f>
        <v>2962.96</v>
      </c>
      <c r="BP9" s="88">
        <f>IF(COUNTIF(CAPA3_EXPANSION!$D$56:BP$56,"&gt;="&amp;2)=0,0,SUP_CONTROL!$C$8*IF($B9="V",1,IF($B9="D",(1+SUP_VOLUMEN!$C$26),(1+SUP_VOLUMEN!$C$27)))*INDEX(SUP_C3_EXPANSION!$C$6:$F$6,MIN(4,COUNTIF(CAPA3_EXPANSION!$D$56:BP$56,"&gt;="&amp;2)))*CAPA3_EXPANSION!BP$36)</f>
        <v>2912.4549999999999</v>
      </c>
      <c r="BQ9" s="88">
        <f>IF(COUNTIF(CAPA3_EXPANSION!$D$56:BQ$56,"&gt;="&amp;2)=0,0,SUP_CONTROL!$C$8*IF($B9="V",1,IF($B9="D",(1+SUP_VOLUMEN!$C$26),(1+SUP_VOLUMEN!$C$27)))*INDEX(SUP_C3_EXPANSION!$C$6:$F$6,MIN(4,COUNTIF(CAPA3_EXPANSION!$D$56:BQ$56,"&gt;="&amp;2)))*CAPA3_EXPANSION!BQ$36)</f>
        <v>2912.4549999999999</v>
      </c>
      <c r="BR9" s="88">
        <f>IF(COUNTIF(CAPA3_EXPANSION!$D$56:BR$56,"&gt;="&amp;2)=0,0,SUP_CONTROL!$C$8*IF($B9="V",1,IF($B9="D",(1+SUP_VOLUMEN!$C$26),(1+SUP_VOLUMEN!$C$27)))*INDEX(SUP_C3_EXPANSION!$C$6:$F$6,MIN(4,COUNTIF(CAPA3_EXPANSION!$D$56:BR$56,"&gt;="&amp;2)))*CAPA3_EXPANSION!BR$36)</f>
        <v>2912.4549999999999</v>
      </c>
      <c r="BS9" s="88">
        <f>IF(COUNTIF(CAPA3_EXPANSION!$D$56:BS$56,"&gt;="&amp;2)=0,0,SUP_CONTROL!$C$8*IF($B9="V",1,IF($B9="D",(1+SUP_VOLUMEN!$C$26),(1+SUP_VOLUMEN!$C$27)))*INDEX(SUP_C3_EXPANSION!$C$6:$F$6,MIN(4,COUNTIF(CAPA3_EXPANSION!$D$56:BS$56,"&gt;="&amp;2)))*CAPA3_EXPANSION!BS$36)</f>
        <v>2912.4549999999999</v>
      </c>
      <c r="BT9" s="88">
        <f>IF(COUNTIF(CAPA3_EXPANSION!$D$56:BT$56,"&gt;="&amp;2)=0,0,SUP_CONTROL!$C$8*IF($B9="V",1,IF($B9="D",(1+SUP_VOLUMEN!$C$26),(1+SUP_VOLUMEN!$C$27)))*INDEX(SUP_C3_EXPANSION!$C$6:$F$6,MIN(4,COUNTIF(CAPA3_EXPANSION!$D$56:BT$56,"&gt;="&amp;2)))*CAPA3_EXPANSION!BT$36)</f>
        <v>2912.4549999999999</v>
      </c>
      <c r="BU9" s="88">
        <f>IF(COUNTIF(CAPA3_EXPANSION!$D$56:BU$56,"&gt;="&amp;2)=0,0,SUP_CONTROL!$C$8*IF($B9="V",1,IF($B9="D",(1+SUP_VOLUMEN!$C$26),(1+SUP_VOLUMEN!$C$27)))*INDEX(SUP_C3_EXPANSION!$C$6:$F$6,MIN(4,COUNTIF(CAPA3_EXPANSION!$D$56:BU$56,"&gt;="&amp;2)))*CAPA3_EXPANSION!BU$36)</f>
        <v>2861.95</v>
      </c>
      <c r="BV9" s="88">
        <f>IF(COUNTIF(CAPA3_EXPANSION!$D$56:BV$56,"&gt;="&amp;2)=0,0,SUP_CONTROL!$C$8*IF($B9="V",1,IF($B9="D",(1+SUP_VOLUMEN!$C$26),(1+SUP_VOLUMEN!$C$27)))*INDEX(SUP_C3_EXPANSION!$C$6:$F$6,MIN(4,COUNTIF(CAPA3_EXPANSION!$D$56:BV$56,"&gt;="&amp;2)))*CAPA3_EXPANSION!BV$36)</f>
        <v>2861.95</v>
      </c>
      <c r="BW9" s="88">
        <f>IF(COUNTIF(CAPA3_EXPANSION!$D$56:BW$56,"&gt;="&amp;2)=0,0,SUP_CONTROL!$C$8*IF($B9="V",1,IF($B9="D",(1+SUP_VOLUMEN!$C$26),(1+SUP_VOLUMEN!$C$27)))*INDEX(SUP_C3_EXPANSION!$C$6:$F$6,MIN(4,COUNTIF(CAPA3_EXPANSION!$D$56:BW$56,"&gt;="&amp;2)))*CAPA3_EXPANSION!BW$36)</f>
        <v>2861.95</v>
      </c>
      <c r="BX9" s="88">
        <f>IF(COUNTIF(CAPA3_EXPANSION!$D$56:BX$56,"&gt;="&amp;2)=0,0,SUP_CONTROL!$C$8*IF($B9="V",1,IF($B9="D",(1+SUP_VOLUMEN!$C$26),(1+SUP_VOLUMEN!$C$27)))*INDEX(SUP_C3_EXPANSION!$C$6:$F$6,MIN(4,COUNTIF(CAPA3_EXPANSION!$D$56:BX$56,"&gt;="&amp;2)))*CAPA3_EXPANSION!BX$36)</f>
        <v>2861.95</v>
      </c>
      <c r="BY9" s="88">
        <f>IF(COUNTIF(CAPA3_EXPANSION!$D$56:BY$56,"&gt;="&amp;2)=0,0,SUP_CONTROL!$C$8*IF($B9="V",1,IF($B9="D",(1+SUP_VOLUMEN!$C$26),(1+SUP_VOLUMEN!$C$27)))*INDEX(SUP_C3_EXPANSION!$C$6:$F$6,MIN(4,COUNTIF(CAPA3_EXPANSION!$D$56:BY$56,"&gt;="&amp;2)))*CAPA3_EXPANSION!BY$36)</f>
        <v>2861.95</v>
      </c>
      <c r="BZ9" s="88">
        <f>IF(COUNTIF(CAPA3_EXPANSION!$D$56:BZ$56,"&gt;="&amp;2)=0,0,SUP_CONTROL!$C$8*IF($B9="V",1,IF($B9="D",(1+SUP_VOLUMEN!$C$26),(1+SUP_VOLUMEN!$C$27)))*INDEX(SUP_C3_EXPANSION!$C$6:$F$6,MIN(4,COUNTIF(CAPA3_EXPANSION!$D$56:BZ$56,"&gt;="&amp;2)))*CAPA3_EXPANSION!BZ$36)</f>
        <v>2828.2799999999997</v>
      </c>
      <c r="CA9" s="88">
        <f>IF(COUNTIF(CAPA3_EXPANSION!$D$56:CA$56,"&gt;="&amp;2)=0,0,SUP_CONTROL!$C$8*IF($B9="V",1,IF($B9="D",(1+SUP_VOLUMEN!$C$26),(1+SUP_VOLUMEN!$C$27)))*INDEX(SUP_C3_EXPANSION!$C$6:$F$6,MIN(4,COUNTIF(CAPA3_EXPANSION!$D$56:CA$56,"&gt;="&amp;2)))*CAPA3_EXPANSION!CA$36)</f>
        <v>2828.2799999999997</v>
      </c>
      <c r="CB9" s="88">
        <f>IF(COUNTIF(CAPA3_EXPANSION!$D$56:CB$56,"&gt;="&amp;2)=0,0,SUP_CONTROL!$C$8*IF($B9="V",1,IF($B9="D",(1+SUP_VOLUMEN!$C$26),(1+SUP_VOLUMEN!$C$27)))*INDEX(SUP_C3_EXPANSION!$C$6:$F$6,MIN(4,COUNTIF(CAPA3_EXPANSION!$D$56:CB$56,"&gt;="&amp;2)))*CAPA3_EXPANSION!CB$36)</f>
        <v>2828.2799999999997</v>
      </c>
      <c r="CC9" s="88">
        <f>IF(COUNTIF(CAPA3_EXPANSION!$D$56:CC$56,"&gt;="&amp;2)=0,0,SUP_CONTROL!$C$8*IF($B9="V",1,IF($B9="D",(1+SUP_VOLUMEN!$C$26),(1+SUP_VOLUMEN!$C$27)))*INDEX(SUP_C3_EXPANSION!$C$6:$F$6,MIN(4,COUNTIF(CAPA3_EXPANSION!$D$56:CC$56,"&gt;="&amp;2)))*CAPA3_EXPANSION!CC$36)</f>
        <v>2828.2799999999997</v>
      </c>
      <c r="CD9" s="88">
        <f>IF(COUNTIF(CAPA3_EXPANSION!$D$56:CD$56,"&gt;="&amp;2)=0,0,SUP_CONTROL!$C$8*IF($B9="V",1,IF($B9="D",(1+SUP_VOLUMEN!$C$26),(1+SUP_VOLUMEN!$C$27)))*INDEX(SUP_C3_EXPANSION!$C$6:$F$6,MIN(4,COUNTIF(CAPA3_EXPANSION!$D$56:CD$56,"&gt;="&amp;2)))*CAPA3_EXPANSION!CD$36)</f>
        <v>2828.2799999999997</v>
      </c>
      <c r="CE9" s="88">
        <f>IF(COUNTIF(CAPA3_EXPANSION!$D$56:CE$56,"&gt;="&amp;2)=0,0,SUP_CONTROL!$C$8*IF($B9="V",1,IF($B9="D",(1+SUP_VOLUMEN!$C$26),(1+SUP_VOLUMEN!$C$27)))*INDEX(SUP_C3_EXPANSION!$C$6:$F$6,MIN(4,COUNTIF(CAPA3_EXPANSION!$D$56:CE$56,"&gt;="&amp;2)))*CAPA3_EXPANSION!CE$36)</f>
        <v>2828.2799999999997</v>
      </c>
      <c r="CF9" s="88">
        <f>IF(COUNTIF(CAPA3_EXPANSION!$D$56:CF$56,"&gt;="&amp;2)=0,0,SUP_CONTROL!$C$8*IF($B9="V",1,IF($B9="D",(1+SUP_VOLUMEN!$C$26),(1+SUP_VOLUMEN!$C$27)))*INDEX(SUP_C3_EXPANSION!$C$6:$F$6,MIN(4,COUNTIF(CAPA3_EXPANSION!$D$56:CF$56,"&gt;="&amp;2)))*CAPA3_EXPANSION!CF$36)</f>
        <v>2828.2799999999997</v>
      </c>
      <c r="CG9" s="88">
        <f>IF(COUNTIF(CAPA3_EXPANSION!$D$56:CG$56,"&gt;="&amp;2)=0,0,SUP_CONTROL!$C$8*IF($B9="V",1,IF($B9="D",(1+SUP_VOLUMEN!$C$26),(1+SUP_VOLUMEN!$C$27)))*INDEX(SUP_C3_EXPANSION!$C$6:$F$6,MIN(4,COUNTIF(CAPA3_EXPANSION!$D$56:CG$56,"&gt;="&amp;2)))*CAPA3_EXPANSION!CG$36)</f>
        <v>2828.2799999999997</v>
      </c>
      <c r="CH9" s="88">
        <f>IF(COUNTIF(CAPA3_EXPANSION!$D$56:CH$56,"&gt;="&amp;2)=0,0,SUP_CONTROL!$C$8*IF($B9="V",1,IF($B9="D",(1+SUP_VOLUMEN!$C$26),(1+SUP_VOLUMEN!$C$27)))*INDEX(SUP_C3_EXPANSION!$C$6:$F$6,MIN(4,COUNTIF(CAPA3_EXPANSION!$D$56:CH$56,"&gt;="&amp;2)))*CAPA3_EXPANSION!CH$36)</f>
        <v>2828.2799999999997</v>
      </c>
      <c r="CI9" s="88">
        <f>IF(COUNTIF(CAPA3_EXPANSION!$D$56:CI$56,"&gt;="&amp;2)=0,0,SUP_CONTROL!$C$8*IF($B9="V",1,IF($B9="D",(1+SUP_VOLUMEN!$C$26),(1+SUP_VOLUMEN!$C$27)))*INDEX(SUP_C3_EXPANSION!$C$6:$F$6,MIN(4,COUNTIF(CAPA3_EXPANSION!$D$56:CI$56,"&gt;="&amp;2)))*CAPA3_EXPANSION!CI$36)</f>
        <v>2828.2799999999997</v>
      </c>
      <c r="CJ9" s="88">
        <f>IF(COUNTIF(CAPA3_EXPANSION!$D$56:CJ$56,"&gt;="&amp;2)=0,0,SUP_CONTROL!$C$8*IF($B9="V",1,IF($B9="D",(1+SUP_VOLUMEN!$C$26),(1+SUP_VOLUMEN!$C$27)))*INDEX(SUP_C3_EXPANSION!$C$6:$F$6,MIN(4,COUNTIF(CAPA3_EXPANSION!$D$56:CJ$56,"&gt;="&amp;2)))*CAPA3_EXPANSION!CJ$36)</f>
        <v>2828.2799999999997</v>
      </c>
      <c r="CK9" s="88">
        <f>IF(COUNTIF(CAPA3_EXPANSION!$D$56:CK$56,"&gt;="&amp;2)=0,0,SUP_CONTROL!$C$8*IF($B9="V",1,IF($B9="D",(1+SUP_VOLUMEN!$C$26),(1+SUP_VOLUMEN!$C$27)))*INDEX(SUP_C3_EXPANSION!$C$6:$F$6,MIN(4,COUNTIF(CAPA3_EXPANSION!$D$56:CK$56,"&gt;="&amp;2)))*CAPA3_EXPANSION!CK$36)</f>
        <v>2828.2799999999997</v>
      </c>
      <c r="CL9" s="88">
        <f>IF(COUNTIF(CAPA3_EXPANSION!$D$56:CL$56,"&gt;="&amp;2)=0,0,SUP_CONTROL!$C$8*IF($B9="V",1,IF($B9="D",(1+SUP_VOLUMEN!$C$26),(1+SUP_VOLUMEN!$C$27)))*INDEX(SUP_C3_EXPANSION!$C$6:$F$6,MIN(4,COUNTIF(CAPA3_EXPANSION!$D$56:CL$56,"&gt;="&amp;2)))*CAPA3_EXPANSION!CL$36)</f>
        <v>2828.2799999999997</v>
      </c>
      <c r="CM9" s="88">
        <f>IF(COUNTIF(CAPA3_EXPANSION!$D$56:CM$56,"&gt;="&amp;2)=0,0,SUP_CONTROL!$C$8*IF($B9="V",1,IF($B9="D",(1+SUP_VOLUMEN!$C$26),(1+SUP_VOLUMEN!$C$27)))*INDEX(SUP_C3_EXPANSION!$C$6:$F$6,MIN(4,COUNTIF(CAPA3_EXPANSION!$D$56:CM$56,"&gt;="&amp;2)))*CAPA3_EXPANSION!CM$36)</f>
        <v>2828.2799999999997</v>
      </c>
      <c r="CN9" s="88">
        <f>IF(COUNTIF(CAPA3_EXPANSION!$D$56:CN$56,"&gt;="&amp;2)=0,0,SUP_CONTROL!$C$8*IF($B9="V",1,IF($B9="D",(1+SUP_VOLUMEN!$C$26),(1+SUP_VOLUMEN!$C$27)))*INDEX(SUP_C3_EXPANSION!$C$6:$F$6,MIN(4,COUNTIF(CAPA3_EXPANSION!$D$56:CN$56,"&gt;="&amp;2)))*CAPA3_EXPANSION!CN$36)</f>
        <v>2828.2799999999997</v>
      </c>
      <c r="CO9" s="88">
        <f>IF(COUNTIF(CAPA3_EXPANSION!$D$56:CO$56,"&gt;="&amp;2)=0,0,SUP_CONTROL!$C$8*IF($B9="V",1,IF($B9="D",(1+SUP_VOLUMEN!$C$26),(1+SUP_VOLUMEN!$C$27)))*INDEX(SUP_C3_EXPANSION!$C$6:$F$6,MIN(4,COUNTIF(CAPA3_EXPANSION!$D$56:CO$56,"&gt;="&amp;2)))*CAPA3_EXPANSION!CO$36)</f>
        <v>2828.2799999999997</v>
      </c>
      <c r="CP9" s="88">
        <f>IF(COUNTIF(CAPA3_EXPANSION!$D$56:CP$56,"&gt;="&amp;2)=0,0,SUP_CONTROL!$C$8*IF($B9="V",1,IF($B9="D",(1+SUP_VOLUMEN!$C$26),(1+SUP_VOLUMEN!$C$27)))*INDEX(SUP_C3_EXPANSION!$C$6:$F$6,MIN(4,COUNTIF(CAPA3_EXPANSION!$D$56:CP$56,"&gt;="&amp;2)))*CAPA3_EXPANSION!CP$36)</f>
        <v>2828.2799999999997</v>
      </c>
      <c r="CQ9" s="88">
        <f>IF(COUNTIF(CAPA3_EXPANSION!$D$56:CQ$56,"&gt;="&amp;2)=0,0,SUP_CONTROL!$C$8*IF($B9="V",1,IF($B9="D",(1+SUP_VOLUMEN!$C$26),(1+SUP_VOLUMEN!$C$27)))*INDEX(SUP_C3_EXPANSION!$C$6:$F$6,MIN(4,COUNTIF(CAPA3_EXPANSION!$D$56:CQ$56,"&gt;="&amp;2)))*CAPA3_EXPANSION!CQ$36)</f>
        <v>2828.2799999999997</v>
      </c>
      <c r="CR9" s="88">
        <f>IF(COUNTIF(CAPA3_EXPANSION!$D$56:CR$56,"&gt;="&amp;2)=0,0,SUP_CONTROL!$C$8*IF($B9="V",1,IF($B9="D",(1+SUP_VOLUMEN!$C$26),(1+SUP_VOLUMEN!$C$27)))*INDEX(SUP_C3_EXPANSION!$C$6:$F$6,MIN(4,COUNTIF(CAPA3_EXPANSION!$D$56:CR$56,"&gt;="&amp;2)))*CAPA3_EXPANSION!CR$36)</f>
        <v>2828.2799999999997</v>
      </c>
      <c r="CS9" s="88">
        <f>IF(COUNTIF(CAPA3_EXPANSION!$D$56:CS$56,"&gt;="&amp;2)=0,0,SUP_CONTROL!$C$8*IF($B9="V",1,IF($B9="D",(1+SUP_VOLUMEN!$C$26),(1+SUP_VOLUMEN!$C$27)))*INDEX(SUP_C3_EXPANSION!$C$6:$F$6,MIN(4,COUNTIF(CAPA3_EXPANSION!$D$56:CS$56,"&gt;="&amp;2)))*CAPA3_EXPANSION!CS$36)</f>
        <v>2828.2799999999997</v>
      </c>
      <c r="CT9" s="88">
        <f>IF(COUNTIF(CAPA3_EXPANSION!$D$56:CT$56,"&gt;="&amp;2)=0,0,SUP_CONTROL!$C$8*IF($B9="V",1,IF($B9="D",(1+SUP_VOLUMEN!$C$26),(1+SUP_VOLUMEN!$C$27)))*INDEX(SUP_C3_EXPANSION!$C$6:$F$6,MIN(4,COUNTIF(CAPA3_EXPANSION!$D$56:CT$56,"&gt;="&amp;2)))*CAPA3_EXPANSION!CT$36)</f>
        <v>2828.2799999999997</v>
      </c>
      <c r="CU9" s="88">
        <f>IF(COUNTIF(CAPA3_EXPANSION!$D$56:CU$56,"&gt;="&amp;2)=0,0,SUP_CONTROL!$C$8*IF($B9="V",1,IF($B9="D",(1+SUP_VOLUMEN!$C$26),(1+SUP_VOLUMEN!$C$27)))*INDEX(SUP_C3_EXPANSION!$C$6:$F$6,MIN(4,COUNTIF(CAPA3_EXPANSION!$D$56:CU$56,"&gt;="&amp;2)))*CAPA3_EXPANSION!CU$36)</f>
        <v>2828.2799999999997</v>
      </c>
      <c r="CV9" s="88">
        <f>IF(COUNTIF(CAPA3_EXPANSION!$D$56:CV$56,"&gt;="&amp;2)=0,0,SUP_CONTROL!$C$8*IF($B9="V",1,IF($B9="D",(1+SUP_VOLUMEN!$C$26),(1+SUP_VOLUMEN!$C$27)))*INDEX(SUP_C3_EXPANSION!$C$6:$F$6,MIN(4,COUNTIF(CAPA3_EXPANSION!$D$56:CV$56,"&gt;="&amp;2)))*CAPA3_EXPANSION!CV$36)</f>
        <v>2828.2799999999997</v>
      </c>
      <c r="CW9" s="88">
        <f>IF(COUNTIF(CAPA3_EXPANSION!$D$56:CW$56,"&gt;="&amp;2)=0,0,SUP_CONTROL!$C$8*IF($B9="V",1,IF($B9="D",(1+SUP_VOLUMEN!$C$26),(1+SUP_VOLUMEN!$C$27)))*INDEX(SUP_C3_EXPANSION!$C$6:$F$6,MIN(4,COUNTIF(CAPA3_EXPANSION!$D$56:CW$56,"&gt;="&amp;2)))*CAPA3_EXPANSION!CW$36)</f>
        <v>2828.2799999999997</v>
      </c>
      <c r="CX9" s="88">
        <f>IF(COUNTIF(CAPA3_EXPANSION!$D$56:CX$56,"&gt;="&amp;2)=0,0,SUP_CONTROL!$C$8*IF($B9="V",1,IF($B9="D",(1+SUP_VOLUMEN!$C$26),(1+SUP_VOLUMEN!$C$27)))*INDEX(SUP_C3_EXPANSION!$C$6:$F$6,MIN(4,COUNTIF(CAPA3_EXPANSION!$D$56:CX$56,"&gt;="&amp;2)))*CAPA3_EXPANSION!CX$36)</f>
        <v>2828.2799999999997</v>
      </c>
      <c r="CY9" s="88">
        <f>IF(COUNTIF(CAPA3_EXPANSION!$D$56:CY$56,"&gt;="&amp;2)=0,0,SUP_CONTROL!$C$8*IF($B9="V",1,IF($B9="D",(1+SUP_VOLUMEN!$C$26),(1+SUP_VOLUMEN!$C$27)))*INDEX(SUP_C3_EXPANSION!$C$6:$F$6,MIN(4,COUNTIF(CAPA3_EXPANSION!$D$56:CY$56,"&gt;="&amp;2)))*CAPA3_EXPANSION!CY$36)</f>
        <v>2828.2799999999997</v>
      </c>
      <c r="CZ9" s="88">
        <f>IF(COUNTIF(CAPA3_EXPANSION!$D$56:CZ$56,"&gt;="&amp;2)=0,0,SUP_CONTROL!$C$8*IF($B9="V",1,IF($B9="D",(1+SUP_VOLUMEN!$C$26),(1+SUP_VOLUMEN!$C$27)))*INDEX(SUP_C3_EXPANSION!$C$6:$F$6,MIN(4,COUNTIF(CAPA3_EXPANSION!$D$56:CZ$56,"&gt;="&amp;2)))*CAPA3_EXPANSION!CZ$36)</f>
        <v>2828.2799999999997</v>
      </c>
      <c r="DA9" s="88">
        <f>IF(COUNTIF(CAPA3_EXPANSION!$D$56:DA$56,"&gt;="&amp;2)=0,0,SUP_CONTROL!$C$8*IF($B9="V",1,IF($B9="D",(1+SUP_VOLUMEN!$C$26),(1+SUP_VOLUMEN!$C$27)))*INDEX(SUP_C3_EXPANSION!$C$6:$F$6,MIN(4,COUNTIF(CAPA3_EXPANSION!$D$56:DA$56,"&gt;="&amp;2)))*CAPA3_EXPANSION!DA$36)</f>
        <v>2828.2799999999997</v>
      </c>
      <c r="DB9" s="88">
        <f>IF(COUNTIF(CAPA3_EXPANSION!$D$56:DB$56,"&gt;="&amp;2)=0,0,SUP_CONTROL!$C$8*IF($B9="V",1,IF($B9="D",(1+SUP_VOLUMEN!$C$26),(1+SUP_VOLUMEN!$C$27)))*INDEX(SUP_C3_EXPANSION!$C$6:$F$6,MIN(4,COUNTIF(CAPA3_EXPANSION!$D$56:DB$56,"&gt;="&amp;2)))*CAPA3_EXPANSION!DB$36)</f>
        <v>2828.2799999999997</v>
      </c>
      <c r="DC9" s="88">
        <f>IF(COUNTIF(CAPA3_EXPANSION!$D$56:DC$56,"&gt;="&amp;2)=0,0,SUP_CONTROL!$C$8*IF($B9="V",1,IF($B9="D",(1+SUP_VOLUMEN!$C$26),(1+SUP_VOLUMEN!$C$27)))*INDEX(SUP_C3_EXPANSION!$C$6:$F$6,MIN(4,COUNTIF(CAPA3_EXPANSION!$D$56:DC$56,"&gt;="&amp;2)))*CAPA3_EXPANSION!DC$36)</f>
        <v>2828.2799999999997</v>
      </c>
      <c r="DD9" s="88">
        <f>IF(COUNTIF(CAPA3_EXPANSION!$D$56:DD$56,"&gt;="&amp;2)=0,0,SUP_CONTROL!$C$8*IF($B9="V",1,IF($B9="D",(1+SUP_VOLUMEN!$C$26),(1+SUP_VOLUMEN!$C$27)))*INDEX(SUP_C3_EXPANSION!$C$6:$F$6,MIN(4,COUNTIF(CAPA3_EXPANSION!$D$56:DD$56,"&gt;="&amp;2)))*CAPA3_EXPANSION!DD$36)</f>
        <v>2828.2799999999997</v>
      </c>
      <c r="DE9" s="88">
        <f>IF(COUNTIF(CAPA3_EXPANSION!$D$56:DE$56,"&gt;="&amp;2)=0,0,SUP_CONTROL!$C$8*IF($B9="V",1,IF($B9="D",(1+SUP_VOLUMEN!$C$26),(1+SUP_VOLUMEN!$C$27)))*INDEX(SUP_C3_EXPANSION!$C$6:$F$6,MIN(4,COUNTIF(CAPA3_EXPANSION!$D$56:DE$56,"&gt;="&amp;2)))*CAPA3_EXPANSION!DE$36)</f>
        <v>2828.2799999999997</v>
      </c>
      <c r="DF9" s="88">
        <f>IF(COUNTIF(CAPA3_EXPANSION!$D$56:DF$56,"&gt;="&amp;2)=0,0,SUP_CONTROL!$C$8*IF($B9="V",1,IF($B9="D",(1+SUP_VOLUMEN!$C$26),(1+SUP_VOLUMEN!$C$27)))*INDEX(SUP_C3_EXPANSION!$C$6:$F$6,MIN(4,COUNTIF(CAPA3_EXPANSION!$D$56:DF$56,"&gt;="&amp;2)))*CAPA3_EXPANSION!DF$36)</f>
        <v>2828.2799999999997</v>
      </c>
      <c r="DG9" s="88">
        <f>IF(COUNTIF(CAPA3_EXPANSION!$D$56:DG$56,"&gt;="&amp;2)=0,0,SUP_CONTROL!$C$8*IF($B9="V",1,IF($B9="D",(1+SUP_VOLUMEN!$C$26),(1+SUP_VOLUMEN!$C$27)))*INDEX(SUP_C3_EXPANSION!$C$6:$F$6,MIN(4,COUNTIF(CAPA3_EXPANSION!$D$56:DG$56,"&gt;="&amp;2)))*CAPA3_EXPANSION!DG$36)</f>
        <v>2828.2799999999997</v>
      </c>
      <c r="DH9" s="88">
        <f>IF(COUNTIF(CAPA3_EXPANSION!$D$56:DH$56,"&gt;="&amp;2)=0,0,SUP_CONTROL!$C$8*IF($B9="V",1,IF($B9="D",(1+SUP_VOLUMEN!$C$26),(1+SUP_VOLUMEN!$C$27)))*INDEX(SUP_C3_EXPANSION!$C$6:$F$6,MIN(4,COUNTIF(CAPA3_EXPANSION!$D$56:DH$56,"&gt;="&amp;2)))*CAPA3_EXPANSION!DH$36)</f>
        <v>2828.2799999999997</v>
      </c>
      <c r="DI9" s="88">
        <f>IF(COUNTIF(CAPA3_EXPANSION!$D$56:DI$56,"&gt;="&amp;2)=0,0,SUP_CONTROL!$C$8*IF($B9="V",1,IF($B9="D",(1+SUP_VOLUMEN!$C$26),(1+SUP_VOLUMEN!$C$27)))*INDEX(SUP_C3_EXPANSION!$C$6:$F$6,MIN(4,COUNTIF(CAPA3_EXPANSION!$D$56:DI$56,"&gt;="&amp;2)))*CAPA3_EXPANSION!DI$36)</f>
        <v>2828.2799999999997</v>
      </c>
      <c r="DJ9" s="88">
        <f>IF(COUNTIF(CAPA3_EXPANSION!$D$56:DJ$56,"&gt;="&amp;2)=0,0,SUP_CONTROL!$C$8*IF($B9="V",1,IF($B9="D",(1+SUP_VOLUMEN!$C$26),(1+SUP_VOLUMEN!$C$27)))*INDEX(SUP_C3_EXPANSION!$C$6:$F$6,MIN(4,COUNTIF(CAPA3_EXPANSION!$D$56:DJ$56,"&gt;="&amp;2)))*CAPA3_EXPANSION!DJ$36)</f>
        <v>2828.2799999999997</v>
      </c>
      <c r="DK9" s="88">
        <f>IF(COUNTIF(CAPA3_EXPANSION!$D$56:DK$56,"&gt;="&amp;2)=0,0,SUP_CONTROL!$C$8*IF($B9="V",1,IF($B9="D",(1+SUP_VOLUMEN!$C$26),(1+SUP_VOLUMEN!$C$27)))*INDEX(SUP_C3_EXPANSION!$C$6:$F$6,MIN(4,COUNTIF(CAPA3_EXPANSION!$D$56:DK$56,"&gt;="&amp;2)))*CAPA3_EXPANSION!DK$36)</f>
        <v>2828.2799999999997</v>
      </c>
      <c r="DL9" s="88">
        <f>IF(COUNTIF(CAPA3_EXPANSION!$D$56:DL$56,"&gt;="&amp;2)=0,0,SUP_CONTROL!$C$8*IF($B9="V",1,IF($B9="D",(1+SUP_VOLUMEN!$C$26),(1+SUP_VOLUMEN!$C$27)))*INDEX(SUP_C3_EXPANSION!$C$6:$F$6,MIN(4,COUNTIF(CAPA3_EXPANSION!$D$56:DL$56,"&gt;="&amp;2)))*CAPA3_EXPANSION!DL$36)</f>
        <v>2828.2799999999997</v>
      </c>
      <c r="DM9" s="88">
        <f>IF(COUNTIF(CAPA3_EXPANSION!$D$56:DM$56,"&gt;="&amp;2)=0,0,SUP_CONTROL!$C$8*IF($B9="V",1,IF($B9="D",(1+SUP_VOLUMEN!$C$26),(1+SUP_VOLUMEN!$C$27)))*INDEX(SUP_C3_EXPANSION!$C$6:$F$6,MIN(4,COUNTIF(CAPA3_EXPANSION!$D$56:DM$56,"&gt;="&amp;2)))*CAPA3_EXPANSION!DM$36)</f>
        <v>2828.2799999999997</v>
      </c>
      <c r="DN9" s="88">
        <f>IF(COUNTIF(CAPA3_EXPANSION!$D$56:DN$56,"&gt;="&amp;2)=0,0,SUP_CONTROL!$C$8*IF($B9="V",1,IF($B9="D",(1+SUP_VOLUMEN!$C$26),(1+SUP_VOLUMEN!$C$27)))*INDEX(SUP_C3_EXPANSION!$C$6:$F$6,MIN(4,COUNTIF(CAPA3_EXPANSION!$D$56:DN$56,"&gt;="&amp;2)))*CAPA3_EXPANSION!DN$36)</f>
        <v>2828.2799999999997</v>
      </c>
      <c r="DO9" s="88">
        <f>IF(COUNTIF(CAPA3_EXPANSION!$D$56:DO$56,"&gt;="&amp;2)=0,0,SUP_CONTROL!$C$8*IF($B9="V",1,IF($B9="D",(1+SUP_VOLUMEN!$C$26),(1+SUP_VOLUMEN!$C$27)))*INDEX(SUP_C3_EXPANSION!$C$6:$F$6,MIN(4,COUNTIF(CAPA3_EXPANSION!$D$56:DO$56,"&gt;="&amp;2)))*CAPA3_EXPANSION!DO$36)</f>
        <v>2828.2799999999997</v>
      </c>
      <c r="DP9" s="88">
        <f>IF(COUNTIF(CAPA3_EXPANSION!$D$56:DP$56,"&gt;="&amp;2)=0,0,SUP_CONTROL!$C$8*IF($B9="V",1,IF($B9="D",(1+SUP_VOLUMEN!$C$26),(1+SUP_VOLUMEN!$C$27)))*INDEX(SUP_C3_EXPANSION!$C$6:$F$6,MIN(4,COUNTIF(CAPA3_EXPANSION!$D$56:DP$56,"&gt;="&amp;2)))*CAPA3_EXPANSION!DP$36)</f>
        <v>2828.2799999999997</v>
      </c>
      <c r="DQ9" s="88">
        <f>IF(COUNTIF(CAPA3_EXPANSION!$D$56:DQ$56,"&gt;="&amp;2)=0,0,SUP_CONTROL!$C$8*IF($B9="V",1,IF($B9="D",(1+SUP_VOLUMEN!$C$26),(1+SUP_VOLUMEN!$C$27)))*INDEX(SUP_C3_EXPANSION!$C$6:$F$6,MIN(4,COUNTIF(CAPA3_EXPANSION!$D$56:DQ$56,"&gt;="&amp;2)))*CAPA3_EXPANSION!DQ$36)</f>
        <v>2828.2799999999997</v>
      </c>
      <c r="DR9" s="88">
        <f>IF(COUNTIF(CAPA3_EXPANSION!$D$56:DR$56,"&gt;="&amp;2)=0,0,SUP_CONTROL!$C$8*IF($B9="V",1,IF($B9="D",(1+SUP_VOLUMEN!$C$26),(1+SUP_VOLUMEN!$C$27)))*INDEX(SUP_C3_EXPANSION!$C$6:$F$6,MIN(4,COUNTIF(CAPA3_EXPANSION!$D$56:DR$56,"&gt;="&amp;2)))*CAPA3_EXPANSION!DR$36)</f>
        <v>2828.2799999999997</v>
      </c>
      <c r="DS9" s="88">
        <f>IF(COUNTIF(CAPA3_EXPANSION!$D$56:DS$56,"&gt;="&amp;2)=0,0,SUP_CONTROL!$C$8*IF($B9="V",1,IF($B9="D",(1+SUP_VOLUMEN!$C$26),(1+SUP_VOLUMEN!$C$27)))*INDEX(SUP_C3_EXPANSION!$C$6:$F$6,MIN(4,COUNTIF(CAPA3_EXPANSION!$D$56:DS$56,"&gt;="&amp;2)))*CAPA3_EXPANSION!DS$36)</f>
        <v>2828.2799999999997</v>
      </c>
    </row>
    <row r="10" spans="1:123" ht="15" customHeight="1" x14ac:dyDescent="0.2">
      <c r="A10" s="88">
        <v>13</v>
      </c>
      <c r="B10" s="104" t="str">
        <f>SUP_C3_EXPANSION!B22</f>
        <v>V</v>
      </c>
      <c r="C10" s="73">
        <f>SUP_C3_EXPANSION!G22</f>
        <v>17</v>
      </c>
      <c r="D10" s="88">
        <f>IF(COUNTIF(CAPA3_EXPANSION!$D$56:D$56,"&gt;="&amp;3)=0,0,SUP_CONTROL!$C$8*IF($B10="V",1,IF($B10="D",(1+SUP_VOLUMEN!$C$26),(1+SUP_VOLUMEN!$C$27)))*INDEX(SUP_C3_EXPANSION!$C$6:$F$6,MIN(4,COUNTIF(CAPA3_EXPANSION!$D$56:D$56,"&gt;="&amp;3)))*CAPA3_EXPANSION!D$36)</f>
        <v>0</v>
      </c>
      <c r="E10" s="88">
        <f>IF(COUNTIF(CAPA3_EXPANSION!$D$56:E$56,"&gt;="&amp;3)=0,0,SUP_CONTROL!$C$8*IF($B10="V",1,IF($B10="D",(1+SUP_VOLUMEN!$C$26),(1+SUP_VOLUMEN!$C$27)))*INDEX(SUP_C3_EXPANSION!$C$6:$F$6,MIN(4,COUNTIF(CAPA3_EXPANSION!$D$56:E$56,"&gt;="&amp;3)))*CAPA3_EXPANSION!E$36)</f>
        <v>0</v>
      </c>
      <c r="F10" s="88">
        <f>IF(COUNTIF(CAPA3_EXPANSION!$D$56:F$56,"&gt;="&amp;3)=0,0,SUP_CONTROL!$C$8*IF($B10="V",1,IF($B10="D",(1+SUP_VOLUMEN!$C$26),(1+SUP_VOLUMEN!$C$27)))*INDEX(SUP_C3_EXPANSION!$C$6:$F$6,MIN(4,COUNTIF(CAPA3_EXPANSION!$D$56:F$56,"&gt;="&amp;3)))*CAPA3_EXPANSION!F$36)</f>
        <v>0</v>
      </c>
      <c r="G10" s="88">
        <f>IF(COUNTIF(CAPA3_EXPANSION!$D$56:G$56,"&gt;="&amp;3)=0,0,SUP_CONTROL!$C$8*IF($B10="V",1,IF($B10="D",(1+SUP_VOLUMEN!$C$26),(1+SUP_VOLUMEN!$C$27)))*INDEX(SUP_C3_EXPANSION!$C$6:$F$6,MIN(4,COUNTIF(CAPA3_EXPANSION!$D$56:G$56,"&gt;="&amp;3)))*CAPA3_EXPANSION!G$36)</f>
        <v>0</v>
      </c>
      <c r="H10" s="88">
        <f>IF(COUNTIF(CAPA3_EXPANSION!$D$56:H$56,"&gt;="&amp;3)=0,0,SUP_CONTROL!$C$8*IF($B10="V",1,IF($B10="D",(1+SUP_VOLUMEN!$C$26),(1+SUP_VOLUMEN!$C$27)))*INDEX(SUP_C3_EXPANSION!$C$6:$F$6,MIN(4,COUNTIF(CAPA3_EXPANSION!$D$56:H$56,"&gt;="&amp;3)))*CAPA3_EXPANSION!H$36)</f>
        <v>0</v>
      </c>
      <c r="I10" s="88">
        <f>IF(COUNTIF(CAPA3_EXPANSION!$D$56:I$56,"&gt;="&amp;3)=0,0,SUP_CONTROL!$C$8*IF($B10="V",1,IF($B10="D",(1+SUP_VOLUMEN!$C$26),(1+SUP_VOLUMEN!$C$27)))*INDEX(SUP_C3_EXPANSION!$C$6:$F$6,MIN(4,COUNTIF(CAPA3_EXPANSION!$D$56:I$56,"&gt;="&amp;3)))*CAPA3_EXPANSION!I$36)</f>
        <v>0</v>
      </c>
      <c r="J10" s="88">
        <f>IF(COUNTIF(CAPA3_EXPANSION!$D$56:J$56,"&gt;="&amp;3)=0,0,SUP_CONTROL!$C$8*IF($B10="V",1,IF($B10="D",(1+SUP_VOLUMEN!$C$26),(1+SUP_VOLUMEN!$C$27)))*INDEX(SUP_C3_EXPANSION!$C$6:$F$6,MIN(4,COUNTIF(CAPA3_EXPANSION!$D$56:J$56,"&gt;="&amp;3)))*CAPA3_EXPANSION!J$36)</f>
        <v>0</v>
      </c>
      <c r="K10" s="88">
        <f>IF(COUNTIF(CAPA3_EXPANSION!$D$56:K$56,"&gt;="&amp;3)=0,0,SUP_CONTROL!$C$8*IF($B10="V",1,IF($B10="D",(1+SUP_VOLUMEN!$C$26),(1+SUP_VOLUMEN!$C$27)))*INDEX(SUP_C3_EXPANSION!$C$6:$F$6,MIN(4,COUNTIF(CAPA3_EXPANSION!$D$56:K$56,"&gt;="&amp;3)))*CAPA3_EXPANSION!K$36)</f>
        <v>0</v>
      </c>
      <c r="L10" s="88">
        <f>IF(COUNTIF(CAPA3_EXPANSION!$D$56:L$56,"&gt;="&amp;3)=0,0,SUP_CONTROL!$C$8*IF($B10="V",1,IF($B10="D",(1+SUP_VOLUMEN!$C$26),(1+SUP_VOLUMEN!$C$27)))*INDEX(SUP_C3_EXPANSION!$C$6:$F$6,MIN(4,COUNTIF(CAPA3_EXPANSION!$D$56:L$56,"&gt;="&amp;3)))*CAPA3_EXPANSION!L$36)</f>
        <v>0</v>
      </c>
      <c r="M10" s="88">
        <f>IF(COUNTIF(CAPA3_EXPANSION!$D$56:M$56,"&gt;="&amp;3)=0,0,SUP_CONTROL!$C$8*IF($B10="V",1,IF($B10="D",(1+SUP_VOLUMEN!$C$26),(1+SUP_VOLUMEN!$C$27)))*INDEX(SUP_C3_EXPANSION!$C$6:$F$6,MIN(4,COUNTIF(CAPA3_EXPANSION!$D$56:M$56,"&gt;="&amp;3)))*CAPA3_EXPANSION!M$36)</f>
        <v>0</v>
      </c>
      <c r="N10" s="88">
        <f>IF(COUNTIF(CAPA3_EXPANSION!$D$56:N$56,"&gt;="&amp;3)=0,0,SUP_CONTROL!$C$8*IF($B10="V",1,IF($B10="D",(1+SUP_VOLUMEN!$C$26),(1+SUP_VOLUMEN!$C$27)))*INDEX(SUP_C3_EXPANSION!$C$6:$F$6,MIN(4,COUNTIF(CAPA3_EXPANSION!$D$56:N$56,"&gt;="&amp;3)))*CAPA3_EXPANSION!N$36)</f>
        <v>0</v>
      </c>
      <c r="O10" s="88">
        <f>IF(COUNTIF(CAPA3_EXPANSION!$D$56:O$56,"&gt;="&amp;3)=0,0,SUP_CONTROL!$C$8*IF($B10="V",1,IF($B10="D",(1+SUP_VOLUMEN!$C$26),(1+SUP_VOLUMEN!$C$27)))*INDEX(SUP_C3_EXPANSION!$C$6:$F$6,MIN(4,COUNTIF(CAPA3_EXPANSION!$D$56:O$56,"&gt;="&amp;3)))*CAPA3_EXPANSION!O$36)</f>
        <v>0</v>
      </c>
      <c r="P10" s="88">
        <f>IF(COUNTIF(CAPA3_EXPANSION!$D$56:P$56,"&gt;="&amp;3)=0,0,SUP_CONTROL!$C$8*IF($B10="V",1,IF($B10="D",(1+SUP_VOLUMEN!$C$26),(1+SUP_VOLUMEN!$C$27)))*INDEX(SUP_C3_EXPANSION!$C$6:$F$6,MIN(4,COUNTIF(CAPA3_EXPANSION!$D$56:P$56,"&gt;="&amp;3)))*CAPA3_EXPANSION!P$36)</f>
        <v>0</v>
      </c>
      <c r="Q10" s="88">
        <f>IF(COUNTIF(CAPA3_EXPANSION!$D$56:Q$56,"&gt;="&amp;3)=0,0,SUP_CONTROL!$C$8*IF($B10="V",1,IF($B10="D",(1+SUP_VOLUMEN!$C$26),(1+SUP_VOLUMEN!$C$27)))*INDEX(SUP_C3_EXPANSION!$C$6:$F$6,MIN(4,COUNTIF(CAPA3_EXPANSION!$D$56:Q$56,"&gt;="&amp;3)))*CAPA3_EXPANSION!Q$36)</f>
        <v>0</v>
      </c>
      <c r="R10" s="88">
        <f>IF(COUNTIF(CAPA3_EXPANSION!$D$56:R$56,"&gt;="&amp;3)=0,0,SUP_CONTROL!$C$8*IF($B10="V",1,IF($B10="D",(1+SUP_VOLUMEN!$C$26),(1+SUP_VOLUMEN!$C$27)))*INDEX(SUP_C3_EXPANSION!$C$6:$F$6,MIN(4,COUNTIF(CAPA3_EXPANSION!$D$56:R$56,"&gt;="&amp;3)))*CAPA3_EXPANSION!R$36)</f>
        <v>0</v>
      </c>
      <c r="S10" s="88">
        <f>IF(COUNTIF(CAPA3_EXPANSION!$D$56:S$56,"&gt;="&amp;3)=0,0,SUP_CONTROL!$C$8*IF($B10="V",1,IF($B10="D",(1+SUP_VOLUMEN!$C$26),(1+SUP_VOLUMEN!$C$27)))*INDEX(SUP_C3_EXPANSION!$C$6:$F$6,MIN(4,COUNTIF(CAPA3_EXPANSION!$D$56:S$56,"&gt;="&amp;3)))*CAPA3_EXPANSION!S$36)</f>
        <v>0</v>
      </c>
      <c r="T10" s="88">
        <f>IF(COUNTIF(CAPA3_EXPANSION!$D$56:T$56,"&gt;="&amp;3)=0,0,SUP_CONTROL!$C$8*IF($B10="V",1,IF($B10="D",(1+SUP_VOLUMEN!$C$26),(1+SUP_VOLUMEN!$C$27)))*INDEX(SUP_C3_EXPANSION!$C$6:$F$6,MIN(4,COUNTIF(CAPA3_EXPANSION!$D$56:T$56,"&gt;="&amp;3)))*CAPA3_EXPANSION!T$36)</f>
        <v>0</v>
      </c>
      <c r="U10" s="88">
        <f>IF(COUNTIF(CAPA3_EXPANSION!$D$56:U$56,"&gt;="&amp;3)=0,0,SUP_CONTROL!$C$8*IF($B10="V",1,IF($B10="D",(1+SUP_VOLUMEN!$C$26),(1+SUP_VOLUMEN!$C$27)))*INDEX(SUP_C3_EXPANSION!$C$6:$F$6,MIN(4,COUNTIF(CAPA3_EXPANSION!$D$56:U$56,"&gt;="&amp;3)))*CAPA3_EXPANSION!U$36)</f>
        <v>0</v>
      </c>
      <c r="V10" s="88">
        <f>IF(COUNTIF(CAPA3_EXPANSION!$D$56:V$56,"&gt;="&amp;3)=0,0,SUP_CONTROL!$C$8*IF($B10="V",1,IF($B10="D",(1+SUP_VOLUMEN!$C$26),(1+SUP_VOLUMEN!$C$27)))*INDEX(SUP_C3_EXPANSION!$C$6:$F$6,MIN(4,COUNTIF(CAPA3_EXPANSION!$D$56:V$56,"&gt;="&amp;3)))*CAPA3_EXPANSION!V$36)</f>
        <v>0</v>
      </c>
      <c r="W10" s="88">
        <f>IF(COUNTIF(CAPA3_EXPANSION!$D$56:W$56,"&gt;="&amp;3)=0,0,SUP_CONTROL!$C$8*IF($B10="V",1,IF($B10="D",(1+SUP_VOLUMEN!$C$26),(1+SUP_VOLUMEN!$C$27)))*INDEX(SUP_C3_EXPANSION!$C$6:$F$6,MIN(4,COUNTIF(CAPA3_EXPANSION!$D$56:W$56,"&gt;="&amp;3)))*CAPA3_EXPANSION!W$36)</f>
        <v>2188.5500000000002</v>
      </c>
      <c r="X10" s="88">
        <f>IF(COUNTIF(CAPA3_EXPANSION!$D$56:X$56,"&gt;="&amp;3)=0,0,SUP_CONTROL!$C$8*IF($B10="V",1,IF($B10="D",(1+SUP_VOLUMEN!$C$26),(1+SUP_VOLUMEN!$C$27)))*INDEX(SUP_C3_EXPANSION!$C$6:$F$6,MIN(4,COUNTIF(CAPA3_EXPANSION!$D$56:X$56,"&gt;="&amp;3)))*CAPA3_EXPANSION!X$36)</f>
        <v>2693.6000000000004</v>
      </c>
      <c r="Y10" s="88">
        <f>IF(COUNTIF(CAPA3_EXPANSION!$D$56:Y$56,"&gt;="&amp;3)=0,0,SUP_CONTROL!$C$8*IF($B10="V",1,IF($B10="D",(1+SUP_VOLUMEN!$C$26),(1+SUP_VOLUMEN!$C$27)))*INDEX(SUP_C3_EXPANSION!$C$6:$F$6,MIN(4,COUNTIF(CAPA3_EXPANSION!$D$56:Y$56,"&gt;="&amp;3)))*CAPA3_EXPANSION!Y$36)</f>
        <v>3030.3</v>
      </c>
      <c r="Z10" s="88">
        <f>IF(COUNTIF(CAPA3_EXPANSION!$D$56:Z$56,"&gt;="&amp;3)=0,0,SUP_CONTROL!$C$8*IF($B10="V",1,IF($B10="D",(1+SUP_VOLUMEN!$C$26),(1+SUP_VOLUMEN!$C$27)))*INDEX(SUP_C3_EXPANSION!$C$6:$F$6,MIN(4,COUNTIF(CAPA3_EXPANSION!$D$56:Z$56,"&gt;="&amp;3)))*CAPA3_EXPANSION!Z$36)</f>
        <v>3367</v>
      </c>
      <c r="AA10" s="88">
        <f>IF(COUNTIF(CAPA3_EXPANSION!$D$56:AA$56,"&gt;="&amp;3)=0,0,SUP_CONTROL!$C$8*IF($B10="V",1,IF($B10="D",(1+SUP_VOLUMEN!$C$26),(1+SUP_VOLUMEN!$C$27)))*INDEX(SUP_C3_EXPANSION!$C$6:$F$6,MIN(4,COUNTIF(CAPA3_EXPANSION!$D$56:AA$56,"&gt;="&amp;3)))*CAPA3_EXPANSION!AA$36)</f>
        <v>3367</v>
      </c>
      <c r="AB10" s="88">
        <f>IF(COUNTIF(CAPA3_EXPANSION!$D$56:AB$56,"&gt;="&amp;3)=0,0,SUP_CONTROL!$C$8*IF($B10="V",1,IF($B10="D",(1+SUP_VOLUMEN!$C$26),(1+SUP_VOLUMEN!$C$27)))*INDEX(SUP_C3_EXPANSION!$C$6:$F$6,MIN(4,COUNTIF(CAPA3_EXPANSION!$D$56:AB$56,"&gt;="&amp;3)))*CAPA3_EXPANSION!AB$36)</f>
        <v>3367</v>
      </c>
      <c r="AC10" s="88">
        <f>IF(COUNTIF(CAPA3_EXPANSION!$D$56:AC$56,"&gt;="&amp;3)=0,0,SUP_CONTROL!$C$8*IF($B10="V",1,IF($B10="D",(1+SUP_VOLUMEN!$C$26),(1+SUP_VOLUMEN!$C$27)))*INDEX(SUP_C3_EXPANSION!$C$6:$F$6,MIN(4,COUNTIF(CAPA3_EXPANSION!$D$56:AC$56,"&gt;="&amp;3)))*CAPA3_EXPANSION!AC$36)</f>
        <v>3367</v>
      </c>
      <c r="AD10" s="88">
        <f>IF(COUNTIF(CAPA3_EXPANSION!$D$56:AD$56,"&gt;="&amp;3)=0,0,SUP_CONTROL!$C$8*IF($B10="V",1,IF($B10="D",(1+SUP_VOLUMEN!$C$26),(1+SUP_VOLUMEN!$C$27)))*INDEX(SUP_C3_EXPANSION!$C$6:$F$6,MIN(4,COUNTIF(CAPA3_EXPANSION!$D$56:AD$56,"&gt;="&amp;3)))*CAPA3_EXPANSION!AD$36)</f>
        <v>3265.99</v>
      </c>
      <c r="AE10" s="88">
        <f>IF(COUNTIF(CAPA3_EXPANSION!$D$56:AE$56,"&gt;="&amp;3)=0,0,SUP_CONTROL!$C$8*IF($B10="V",1,IF($B10="D",(1+SUP_VOLUMEN!$C$26),(1+SUP_VOLUMEN!$C$27)))*INDEX(SUP_C3_EXPANSION!$C$6:$F$6,MIN(4,COUNTIF(CAPA3_EXPANSION!$D$56:AE$56,"&gt;="&amp;3)))*CAPA3_EXPANSION!AE$36)</f>
        <v>3265.99</v>
      </c>
      <c r="AF10" s="88">
        <f>IF(COUNTIF(CAPA3_EXPANSION!$D$56:AF$56,"&gt;="&amp;3)=0,0,SUP_CONTROL!$C$8*IF($B10="V",1,IF($B10="D",(1+SUP_VOLUMEN!$C$26),(1+SUP_VOLUMEN!$C$27)))*INDEX(SUP_C3_EXPANSION!$C$6:$F$6,MIN(4,COUNTIF(CAPA3_EXPANSION!$D$56:AF$56,"&gt;="&amp;3)))*CAPA3_EXPANSION!AF$36)</f>
        <v>3265.99</v>
      </c>
      <c r="AG10" s="88">
        <f>IF(COUNTIF(CAPA3_EXPANSION!$D$56:AG$56,"&gt;="&amp;3)=0,0,SUP_CONTROL!$C$8*IF($B10="V",1,IF($B10="D",(1+SUP_VOLUMEN!$C$26),(1+SUP_VOLUMEN!$C$27)))*INDEX(SUP_C3_EXPANSION!$C$6:$F$6,MIN(4,COUNTIF(CAPA3_EXPANSION!$D$56:AG$56,"&gt;="&amp;3)))*CAPA3_EXPANSION!AG$36)</f>
        <v>3265.99</v>
      </c>
      <c r="AH10" s="88">
        <f>IF(COUNTIF(CAPA3_EXPANSION!$D$56:AH$56,"&gt;="&amp;3)=0,0,SUP_CONTROL!$C$8*IF($B10="V",1,IF($B10="D",(1+SUP_VOLUMEN!$C$26),(1+SUP_VOLUMEN!$C$27)))*INDEX(SUP_C3_EXPANSION!$C$6:$F$6,MIN(4,COUNTIF(CAPA3_EXPANSION!$D$56:AH$56,"&gt;="&amp;3)))*CAPA3_EXPANSION!AH$36)</f>
        <v>3265.99</v>
      </c>
      <c r="AI10" s="88">
        <f>IF(COUNTIF(CAPA3_EXPANSION!$D$56:AI$56,"&gt;="&amp;3)=0,0,SUP_CONTROL!$C$8*IF($B10="V",1,IF($B10="D",(1+SUP_VOLUMEN!$C$26),(1+SUP_VOLUMEN!$C$27)))*INDEX(SUP_C3_EXPANSION!$C$6:$F$6,MIN(4,COUNTIF(CAPA3_EXPANSION!$D$56:AI$56,"&gt;="&amp;3)))*CAPA3_EXPANSION!AI$36)</f>
        <v>3265.99</v>
      </c>
      <c r="AJ10" s="88">
        <f>IF(COUNTIF(CAPA3_EXPANSION!$D$56:AJ$56,"&gt;="&amp;3)=0,0,SUP_CONTROL!$C$8*IF($B10="V",1,IF($B10="D",(1+SUP_VOLUMEN!$C$26),(1+SUP_VOLUMEN!$C$27)))*INDEX(SUP_C3_EXPANSION!$C$6:$F$6,MIN(4,COUNTIF(CAPA3_EXPANSION!$D$56:AJ$56,"&gt;="&amp;3)))*CAPA3_EXPANSION!AJ$36)</f>
        <v>3265.99</v>
      </c>
      <c r="AK10" s="88">
        <f>IF(COUNTIF(CAPA3_EXPANSION!$D$56:AK$56,"&gt;="&amp;3)=0,0,SUP_CONTROL!$C$8*IF($B10="V",1,IF($B10="D",(1+SUP_VOLUMEN!$C$26),(1+SUP_VOLUMEN!$C$27)))*INDEX(SUP_C3_EXPANSION!$C$6:$F$6,MIN(4,COUNTIF(CAPA3_EXPANSION!$D$56:AK$56,"&gt;="&amp;3)))*CAPA3_EXPANSION!AK$36)</f>
        <v>3265.99</v>
      </c>
      <c r="AL10" s="88">
        <f>IF(COUNTIF(CAPA3_EXPANSION!$D$56:AL$56,"&gt;="&amp;3)=0,0,SUP_CONTROL!$C$8*IF($B10="V",1,IF($B10="D",(1+SUP_VOLUMEN!$C$26),(1+SUP_VOLUMEN!$C$27)))*INDEX(SUP_C3_EXPANSION!$C$6:$F$6,MIN(4,COUNTIF(CAPA3_EXPANSION!$D$56:AL$56,"&gt;="&amp;3)))*CAPA3_EXPANSION!AL$36)</f>
        <v>3181.8150000000001</v>
      </c>
      <c r="AM10" s="88">
        <f>IF(COUNTIF(CAPA3_EXPANSION!$D$56:AM$56,"&gt;="&amp;3)=0,0,SUP_CONTROL!$C$8*IF($B10="V",1,IF($B10="D",(1+SUP_VOLUMEN!$C$26),(1+SUP_VOLUMEN!$C$27)))*INDEX(SUP_C3_EXPANSION!$C$6:$F$6,MIN(4,COUNTIF(CAPA3_EXPANSION!$D$56:AM$56,"&gt;="&amp;3)))*CAPA3_EXPANSION!AM$36)</f>
        <v>3181.8150000000001</v>
      </c>
      <c r="AN10" s="88">
        <f>IF(COUNTIF(CAPA3_EXPANSION!$D$56:AN$56,"&gt;="&amp;3)=0,0,SUP_CONTROL!$C$8*IF($B10="V",1,IF($B10="D",(1+SUP_VOLUMEN!$C$26),(1+SUP_VOLUMEN!$C$27)))*INDEX(SUP_C3_EXPANSION!$C$6:$F$6,MIN(4,COUNTIF(CAPA3_EXPANSION!$D$56:AN$56,"&gt;="&amp;3)))*CAPA3_EXPANSION!AN$36)</f>
        <v>3181.8150000000001</v>
      </c>
      <c r="AO10" s="88">
        <f>IF(COUNTIF(CAPA3_EXPANSION!$D$56:AO$56,"&gt;="&amp;3)=0,0,SUP_CONTROL!$C$8*IF($B10="V",1,IF($B10="D",(1+SUP_VOLUMEN!$C$26),(1+SUP_VOLUMEN!$C$27)))*INDEX(SUP_C3_EXPANSION!$C$6:$F$6,MIN(4,COUNTIF(CAPA3_EXPANSION!$D$56:AO$56,"&gt;="&amp;3)))*CAPA3_EXPANSION!AO$36)</f>
        <v>3181.8150000000001</v>
      </c>
      <c r="AP10" s="88">
        <f>IF(COUNTIF(CAPA3_EXPANSION!$D$56:AP$56,"&gt;="&amp;3)=0,0,SUP_CONTROL!$C$8*IF($B10="V",1,IF($B10="D",(1+SUP_VOLUMEN!$C$26),(1+SUP_VOLUMEN!$C$27)))*INDEX(SUP_C3_EXPANSION!$C$6:$F$6,MIN(4,COUNTIF(CAPA3_EXPANSION!$D$56:AP$56,"&gt;="&amp;3)))*CAPA3_EXPANSION!AP$36)</f>
        <v>3181.8150000000001</v>
      </c>
      <c r="AQ10" s="88">
        <f>IF(COUNTIF(CAPA3_EXPANSION!$D$56:AQ$56,"&gt;="&amp;3)=0,0,SUP_CONTROL!$C$8*IF($B10="V",1,IF($B10="D",(1+SUP_VOLUMEN!$C$26),(1+SUP_VOLUMEN!$C$27)))*INDEX(SUP_C3_EXPANSION!$C$6:$F$6,MIN(4,COUNTIF(CAPA3_EXPANSION!$D$56:AQ$56,"&gt;="&amp;3)))*CAPA3_EXPANSION!AQ$36)</f>
        <v>3181.8150000000001</v>
      </c>
      <c r="AR10" s="88">
        <f>IF(COUNTIF(CAPA3_EXPANSION!$D$56:AR$56,"&gt;="&amp;3)=0,0,SUP_CONTROL!$C$8*IF($B10="V",1,IF($B10="D",(1+SUP_VOLUMEN!$C$26),(1+SUP_VOLUMEN!$C$27)))*INDEX(SUP_C3_EXPANSION!$C$6:$F$6,MIN(4,COUNTIF(CAPA3_EXPANSION!$D$56:AR$56,"&gt;="&amp;3)))*CAPA3_EXPANSION!AR$36)</f>
        <v>3181.8150000000001</v>
      </c>
      <c r="AS10" s="88">
        <f>IF(COUNTIF(CAPA3_EXPANSION!$D$56:AS$56,"&gt;="&amp;3)=0,0,SUP_CONTROL!$C$8*IF($B10="V",1,IF($B10="D",(1+SUP_VOLUMEN!$C$26),(1+SUP_VOLUMEN!$C$27)))*INDEX(SUP_C3_EXPANSION!$C$6:$F$6,MIN(4,COUNTIF(CAPA3_EXPANSION!$D$56:AS$56,"&gt;="&amp;3)))*CAPA3_EXPANSION!AS$36)</f>
        <v>3181.8150000000001</v>
      </c>
      <c r="AT10" s="88">
        <f>IF(COUNTIF(CAPA3_EXPANSION!$D$56:AT$56,"&gt;="&amp;3)=0,0,SUP_CONTROL!$C$8*IF($B10="V",1,IF($B10="D",(1+SUP_VOLUMEN!$C$26),(1+SUP_VOLUMEN!$C$27)))*INDEX(SUP_C3_EXPANSION!$C$6:$F$6,MIN(4,COUNTIF(CAPA3_EXPANSION!$D$56:AT$56,"&gt;="&amp;3)))*CAPA3_EXPANSION!AT$36)</f>
        <v>3181.8150000000001</v>
      </c>
      <c r="AU10" s="88">
        <f>IF(COUNTIF(CAPA3_EXPANSION!$D$56:AU$56,"&gt;="&amp;3)=0,0,SUP_CONTROL!$C$8*IF($B10="V",1,IF($B10="D",(1+SUP_VOLUMEN!$C$26),(1+SUP_VOLUMEN!$C$27)))*INDEX(SUP_C3_EXPANSION!$C$6:$F$6,MIN(4,COUNTIF(CAPA3_EXPANSION!$D$56:AU$56,"&gt;="&amp;3)))*CAPA3_EXPANSION!AU$36)</f>
        <v>3181.8150000000001</v>
      </c>
      <c r="AV10" s="88">
        <f>IF(COUNTIF(CAPA3_EXPANSION!$D$56:AV$56,"&gt;="&amp;3)=0,0,SUP_CONTROL!$C$8*IF($B10="V",1,IF($B10="D",(1+SUP_VOLUMEN!$C$26),(1+SUP_VOLUMEN!$C$27)))*INDEX(SUP_C3_EXPANSION!$C$6:$F$6,MIN(4,COUNTIF(CAPA3_EXPANSION!$D$56:AV$56,"&gt;="&amp;3)))*CAPA3_EXPANSION!AV$36)</f>
        <v>3181.8150000000001</v>
      </c>
      <c r="AW10" s="88">
        <f>IF(COUNTIF(CAPA3_EXPANSION!$D$56:AW$56,"&gt;="&amp;3)=0,0,SUP_CONTROL!$C$8*IF($B10="V",1,IF($B10="D",(1+SUP_VOLUMEN!$C$26),(1+SUP_VOLUMEN!$C$27)))*INDEX(SUP_C3_EXPANSION!$C$6:$F$6,MIN(4,COUNTIF(CAPA3_EXPANSION!$D$56:AW$56,"&gt;="&amp;3)))*CAPA3_EXPANSION!AW$36)</f>
        <v>3181.8150000000001</v>
      </c>
      <c r="AX10" s="88">
        <f>IF(COUNTIF(CAPA3_EXPANSION!$D$56:AX$56,"&gt;="&amp;3)=0,0,SUP_CONTROL!$C$8*IF($B10="V",1,IF($B10="D",(1+SUP_VOLUMEN!$C$26),(1+SUP_VOLUMEN!$C$27)))*INDEX(SUP_C3_EXPANSION!$C$6:$F$6,MIN(4,COUNTIF(CAPA3_EXPANSION!$D$56:AX$56,"&gt;="&amp;3)))*CAPA3_EXPANSION!AX$36)</f>
        <v>3181.8150000000001</v>
      </c>
      <c r="AY10" s="88">
        <f>IF(COUNTIF(CAPA3_EXPANSION!$D$56:AY$56,"&gt;="&amp;3)=0,0,SUP_CONTROL!$C$8*IF($B10="V",1,IF($B10="D",(1+SUP_VOLUMEN!$C$26),(1+SUP_VOLUMEN!$C$27)))*INDEX(SUP_C3_EXPANSION!$C$6:$F$6,MIN(4,COUNTIF(CAPA3_EXPANSION!$D$56:AY$56,"&gt;="&amp;3)))*CAPA3_EXPANSION!AY$36)</f>
        <v>3181.8150000000001</v>
      </c>
      <c r="AZ10" s="88">
        <f>IF(COUNTIF(CAPA3_EXPANSION!$D$56:AZ$56,"&gt;="&amp;3)=0,0,SUP_CONTROL!$C$8*IF($B10="V",1,IF($B10="D",(1+SUP_VOLUMEN!$C$26),(1+SUP_VOLUMEN!$C$27)))*INDEX(SUP_C3_EXPANSION!$C$6:$F$6,MIN(4,COUNTIF(CAPA3_EXPANSION!$D$56:AZ$56,"&gt;="&amp;3)))*CAPA3_EXPANSION!AZ$36)</f>
        <v>3181.8150000000001</v>
      </c>
      <c r="BA10" s="88">
        <f>IF(COUNTIF(CAPA3_EXPANSION!$D$56:BA$56,"&gt;="&amp;3)=0,0,SUP_CONTROL!$C$8*IF($B10="V",1,IF($B10="D",(1+SUP_VOLUMEN!$C$26),(1+SUP_VOLUMEN!$C$27)))*INDEX(SUP_C3_EXPANSION!$C$6:$F$6,MIN(4,COUNTIF(CAPA3_EXPANSION!$D$56:BA$56,"&gt;="&amp;3)))*CAPA3_EXPANSION!BA$36)</f>
        <v>3097.6400000000003</v>
      </c>
      <c r="BB10" s="88">
        <f>IF(COUNTIF(CAPA3_EXPANSION!$D$56:BB$56,"&gt;="&amp;3)=0,0,SUP_CONTROL!$C$8*IF($B10="V",1,IF($B10="D",(1+SUP_VOLUMEN!$C$26),(1+SUP_VOLUMEN!$C$27)))*INDEX(SUP_C3_EXPANSION!$C$6:$F$6,MIN(4,COUNTIF(CAPA3_EXPANSION!$D$56:BB$56,"&gt;="&amp;3)))*CAPA3_EXPANSION!BB$36)</f>
        <v>3097.6400000000003</v>
      </c>
      <c r="BC10" s="88">
        <f>IF(COUNTIF(CAPA3_EXPANSION!$D$56:BC$56,"&gt;="&amp;3)=0,0,SUP_CONTROL!$C$8*IF($B10="V",1,IF($B10="D",(1+SUP_VOLUMEN!$C$26),(1+SUP_VOLUMEN!$C$27)))*INDEX(SUP_C3_EXPANSION!$C$6:$F$6,MIN(4,COUNTIF(CAPA3_EXPANSION!$D$56:BC$56,"&gt;="&amp;3)))*CAPA3_EXPANSION!BC$36)</f>
        <v>3097.6400000000003</v>
      </c>
      <c r="BD10" s="88">
        <f>IF(COUNTIF(CAPA3_EXPANSION!$D$56:BD$56,"&gt;="&amp;3)=0,0,SUP_CONTROL!$C$8*IF($B10="V",1,IF($B10="D",(1+SUP_VOLUMEN!$C$26),(1+SUP_VOLUMEN!$C$27)))*INDEX(SUP_C3_EXPANSION!$C$6:$F$6,MIN(4,COUNTIF(CAPA3_EXPANSION!$D$56:BD$56,"&gt;="&amp;3)))*CAPA3_EXPANSION!BD$36)</f>
        <v>3097.6400000000003</v>
      </c>
      <c r="BE10" s="88">
        <f>IF(COUNTIF(CAPA3_EXPANSION!$D$56:BE$56,"&gt;="&amp;3)=0,0,SUP_CONTROL!$C$8*IF($B10="V",1,IF($B10="D",(1+SUP_VOLUMEN!$C$26),(1+SUP_VOLUMEN!$C$27)))*INDEX(SUP_C3_EXPANSION!$C$6:$F$6,MIN(4,COUNTIF(CAPA3_EXPANSION!$D$56:BE$56,"&gt;="&amp;3)))*CAPA3_EXPANSION!BE$36)</f>
        <v>3097.6400000000003</v>
      </c>
      <c r="BF10" s="88">
        <f>IF(COUNTIF(CAPA3_EXPANSION!$D$56:BF$56,"&gt;="&amp;3)=0,0,SUP_CONTROL!$C$8*IF($B10="V",1,IF($B10="D",(1+SUP_VOLUMEN!$C$26),(1+SUP_VOLUMEN!$C$27)))*INDEX(SUP_C3_EXPANSION!$C$6:$F$6,MIN(4,COUNTIF(CAPA3_EXPANSION!$D$56:BF$56,"&gt;="&amp;3)))*CAPA3_EXPANSION!BF$36)</f>
        <v>3030.3</v>
      </c>
      <c r="BG10" s="88">
        <f>IF(COUNTIF(CAPA3_EXPANSION!$D$56:BG$56,"&gt;="&amp;3)=0,0,SUP_CONTROL!$C$8*IF($B10="V",1,IF($B10="D",(1+SUP_VOLUMEN!$C$26),(1+SUP_VOLUMEN!$C$27)))*INDEX(SUP_C3_EXPANSION!$C$6:$F$6,MIN(4,COUNTIF(CAPA3_EXPANSION!$D$56:BG$56,"&gt;="&amp;3)))*CAPA3_EXPANSION!BG$36)</f>
        <v>3030.3</v>
      </c>
      <c r="BH10" s="88">
        <f>IF(COUNTIF(CAPA3_EXPANSION!$D$56:BH$56,"&gt;="&amp;3)=0,0,SUP_CONTROL!$C$8*IF($B10="V",1,IF($B10="D",(1+SUP_VOLUMEN!$C$26),(1+SUP_VOLUMEN!$C$27)))*INDEX(SUP_C3_EXPANSION!$C$6:$F$6,MIN(4,COUNTIF(CAPA3_EXPANSION!$D$56:BH$56,"&gt;="&amp;3)))*CAPA3_EXPANSION!BH$36)</f>
        <v>3030.3</v>
      </c>
      <c r="BI10" s="88">
        <f>IF(COUNTIF(CAPA3_EXPANSION!$D$56:BI$56,"&gt;="&amp;3)=0,0,SUP_CONTROL!$C$8*IF($B10="V",1,IF($B10="D",(1+SUP_VOLUMEN!$C$26),(1+SUP_VOLUMEN!$C$27)))*INDEX(SUP_C3_EXPANSION!$C$6:$F$6,MIN(4,COUNTIF(CAPA3_EXPANSION!$D$56:BI$56,"&gt;="&amp;3)))*CAPA3_EXPANSION!BI$36)</f>
        <v>3030.3</v>
      </c>
      <c r="BJ10" s="88">
        <f>IF(COUNTIF(CAPA3_EXPANSION!$D$56:BJ$56,"&gt;="&amp;3)=0,0,SUP_CONTROL!$C$8*IF($B10="V",1,IF($B10="D",(1+SUP_VOLUMEN!$C$26),(1+SUP_VOLUMEN!$C$27)))*INDEX(SUP_C3_EXPANSION!$C$6:$F$6,MIN(4,COUNTIF(CAPA3_EXPANSION!$D$56:BJ$56,"&gt;="&amp;3)))*CAPA3_EXPANSION!BJ$36)</f>
        <v>3030.3</v>
      </c>
      <c r="BK10" s="88">
        <f>IF(COUNTIF(CAPA3_EXPANSION!$D$56:BK$56,"&gt;="&amp;3)=0,0,SUP_CONTROL!$C$8*IF($B10="V",1,IF($B10="D",(1+SUP_VOLUMEN!$C$26),(1+SUP_VOLUMEN!$C$27)))*INDEX(SUP_C3_EXPANSION!$C$6:$F$6,MIN(4,COUNTIF(CAPA3_EXPANSION!$D$56:BK$56,"&gt;="&amp;3)))*CAPA3_EXPANSION!BK$36)</f>
        <v>2962.96</v>
      </c>
      <c r="BL10" s="88">
        <f>IF(COUNTIF(CAPA3_EXPANSION!$D$56:BL$56,"&gt;="&amp;3)=0,0,SUP_CONTROL!$C$8*IF($B10="V",1,IF($B10="D",(1+SUP_VOLUMEN!$C$26),(1+SUP_VOLUMEN!$C$27)))*INDEX(SUP_C3_EXPANSION!$C$6:$F$6,MIN(4,COUNTIF(CAPA3_EXPANSION!$D$56:BL$56,"&gt;="&amp;3)))*CAPA3_EXPANSION!BL$36)</f>
        <v>2962.96</v>
      </c>
      <c r="BM10" s="88">
        <f>IF(COUNTIF(CAPA3_EXPANSION!$D$56:BM$56,"&gt;="&amp;3)=0,0,SUP_CONTROL!$C$8*IF($B10="V",1,IF($B10="D",(1+SUP_VOLUMEN!$C$26),(1+SUP_VOLUMEN!$C$27)))*INDEX(SUP_C3_EXPANSION!$C$6:$F$6,MIN(4,COUNTIF(CAPA3_EXPANSION!$D$56:BM$56,"&gt;="&amp;3)))*CAPA3_EXPANSION!BM$36)</f>
        <v>2962.96</v>
      </c>
      <c r="BN10" s="88">
        <f>IF(COUNTIF(CAPA3_EXPANSION!$D$56:BN$56,"&gt;="&amp;3)=0,0,SUP_CONTROL!$C$8*IF($B10="V",1,IF($B10="D",(1+SUP_VOLUMEN!$C$26),(1+SUP_VOLUMEN!$C$27)))*INDEX(SUP_C3_EXPANSION!$C$6:$F$6,MIN(4,COUNTIF(CAPA3_EXPANSION!$D$56:BN$56,"&gt;="&amp;3)))*CAPA3_EXPANSION!BN$36)</f>
        <v>2962.96</v>
      </c>
      <c r="BO10" s="88">
        <f>IF(COUNTIF(CAPA3_EXPANSION!$D$56:BO$56,"&gt;="&amp;3)=0,0,SUP_CONTROL!$C$8*IF($B10="V",1,IF($B10="D",(1+SUP_VOLUMEN!$C$26),(1+SUP_VOLUMEN!$C$27)))*INDEX(SUP_C3_EXPANSION!$C$6:$F$6,MIN(4,COUNTIF(CAPA3_EXPANSION!$D$56:BO$56,"&gt;="&amp;3)))*CAPA3_EXPANSION!BO$36)</f>
        <v>2962.96</v>
      </c>
      <c r="BP10" s="88">
        <f>IF(COUNTIF(CAPA3_EXPANSION!$D$56:BP$56,"&gt;="&amp;3)=0,0,SUP_CONTROL!$C$8*IF($B10="V",1,IF($B10="D",(1+SUP_VOLUMEN!$C$26),(1+SUP_VOLUMEN!$C$27)))*INDEX(SUP_C3_EXPANSION!$C$6:$F$6,MIN(4,COUNTIF(CAPA3_EXPANSION!$D$56:BP$56,"&gt;="&amp;3)))*CAPA3_EXPANSION!BP$36)</f>
        <v>2912.4549999999999</v>
      </c>
      <c r="BQ10" s="88">
        <f>IF(COUNTIF(CAPA3_EXPANSION!$D$56:BQ$56,"&gt;="&amp;3)=0,0,SUP_CONTROL!$C$8*IF($B10="V",1,IF($B10="D",(1+SUP_VOLUMEN!$C$26),(1+SUP_VOLUMEN!$C$27)))*INDEX(SUP_C3_EXPANSION!$C$6:$F$6,MIN(4,COUNTIF(CAPA3_EXPANSION!$D$56:BQ$56,"&gt;="&amp;3)))*CAPA3_EXPANSION!BQ$36)</f>
        <v>2912.4549999999999</v>
      </c>
      <c r="BR10" s="88">
        <f>IF(COUNTIF(CAPA3_EXPANSION!$D$56:BR$56,"&gt;="&amp;3)=0,0,SUP_CONTROL!$C$8*IF($B10="V",1,IF($B10="D",(1+SUP_VOLUMEN!$C$26),(1+SUP_VOLUMEN!$C$27)))*INDEX(SUP_C3_EXPANSION!$C$6:$F$6,MIN(4,COUNTIF(CAPA3_EXPANSION!$D$56:BR$56,"&gt;="&amp;3)))*CAPA3_EXPANSION!BR$36)</f>
        <v>2912.4549999999999</v>
      </c>
      <c r="BS10" s="88">
        <f>IF(COUNTIF(CAPA3_EXPANSION!$D$56:BS$56,"&gt;="&amp;3)=0,0,SUP_CONTROL!$C$8*IF($B10="V",1,IF($B10="D",(1+SUP_VOLUMEN!$C$26),(1+SUP_VOLUMEN!$C$27)))*INDEX(SUP_C3_EXPANSION!$C$6:$F$6,MIN(4,COUNTIF(CAPA3_EXPANSION!$D$56:BS$56,"&gt;="&amp;3)))*CAPA3_EXPANSION!BS$36)</f>
        <v>2912.4549999999999</v>
      </c>
      <c r="BT10" s="88">
        <f>IF(COUNTIF(CAPA3_EXPANSION!$D$56:BT$56,"&gt;="&amp;3)=0,0,SUP_CONTROL!$C$8*IF($B10="V",1,IF($B10="D",(1+SUP_VOLUMEN!$C$26),(1+SUP_VOLUMEN!$C$27)))*INDEX(SUP_C3_EXPANSION!$C$6:$F$6,MIN(4,COUNTIF(CAPA3_EXPANSION!$D$56:BT$56,"&gt;="&amp;3)))*CAPA3_EXPANSION!BT$36)</f>
        <v>2912.4549999999999</v>
      </c>
      <c r="BU10" s="88">
        <f>IF(COUNTIF(CAPA3_EXPANSION!$D$56:BU$56,"&gt;="&amp;3)=0,0,SUP_CONTROL!$C$8*IF($B10="V",1,IF($B10="D",(1+SUP_VOLUMEN!$C$26),(1+SUP_VOLUMEN!$C$27)))*INDEX(SUP_C3_EXPANSION!$C$6:$F$6,MIN(4,COUNTIF(CAPA3_EXPANSION!$D$56:BU$56,"&gt;="&amp;3)))*CAPA3_EXPANSION!BU$36)</f>
        <v>2861.95</v>
      </c>
      <c r="BV10" s="88">
        <f>IF(COUNTIF(CAPA3_EXPANSION!$D$56:BV$56,"&gt;="&amp;3)=0,0,SUP_CONTROL!$C$8*IF($B10="V",1,IF($B10="D",(1+SUP_VOLUMEN!$C$26),(1+SUP_VOLUMEN!$C$27)))*INDEX(SUP_C3_EXPANSION!$C$6:$F$6,MIN(4,COUNTIF(CAPA3_EXPANSION!$D$56:BV$56,"&gt;="&amp;3)))*CAPA3_EXPANSION!BV$36)</f>
        <v>2861.95</v>
      </c>
      <c r="BW10" s="88">
        <f>IF(COUNTIF(CAPA3_EXPANSION!$D$56:BW$56,"&gt;="&amp;3)=0,0,SUP_CONTROL!$C$8*IF($B10="V",1,IF($B10="D",(1+SUP_VOLUMEN!$C$26),(1+SUP_VOLUMEN!$C$27)))*INDEX(SUP_C3_EXPANSION!$C$6:$F$6,MIN(4,COUNTIF(CAPA3_EXPANSION!$D$56:BW$56,"&gt;="&amp;3)))*CAPA3_EXPANSION!BW$36)</f>
        <v>2861.95</v>
      </c>
      <c r="BX10" s="88">
        <f>IF(COUNTIF(CAPA3_EXPANSION!$D$56:BX$56,"&gt;="&amp;3)=0,0,SUP_CONTROL!$C$8*IF($B10="V",1,IF($B10="D",(1+SUP_VOLUMEN!$C$26),(1+SUP_VOLUMEN!$C$27)))*INDEX(SUP_C3_EXPANSION!$C$6:$F$6,MIN(4,COUNTIF(CAPA3_EXPANSION!$D$56:BX$56,"&gt;="&amp;3)))*CAPA3_EXPANSION!BX$36)</f>
        <v>2861.95</v>
      </c>
      <c r="BY10" s="88">
        <f>IF(COUNTIF(CAPA3_EXPANSION!$D$56:BY$56,"&gt;="&amp;3)=0,0,SUP_CONTROL!$C$8*IF($B10="V",1,IF($B10="D",(1+SUP_VOLUMEN!$C$26),(1+SUP_VOLUMEN!$C$27)))*INDEX(SUP_C3_EXPANSION!$C$6:$F$6,MIN(4,COUNTIF(CAPA3_EXPANSION!$D$56:BY$56,"&gt;="&amp;3)))*CAPA3_EXPANSION!BY$36)</f>
        <v>2861.95</v>
      </c>
      <c r="BZ10" s="88">
        <f>IF(COUNTIF(CAPA3_EXPANSION!$D$56:BZ$56,"&gt;="&amp;3)=0,0,SUP_CONTROL!$C$8*IF($B10="V",1,IF($B10="D",(1+SUP_VOLUMEN!$C$26),(1+SUP_VOLUMEN!$C$27)))*INDEX(SUP_C3_EXPANSION!$C$6:$F$6,MIN(4,COUNTIF(CAPA3_EXPANSION!$D$56:BZ$56,"&gt;="&amp;3)))*CAPA3_EXPANSION!BZ$36)</f>
        <v>2828.2799999999997</v>
      </c>
      <c r="CA10" s="88">
        <f>IF(COUNTIF(CAPA3_EXPANSION!$D$56:CA$56,"&gt;="&amp;3)=0,0,SUP_CONTROL!$C$8*IF($B10="V",1,IF($B10="D",(1+SUP_VOLUMEN!$C$26),(1+SUP_VOLUMEN!$C$27)))*INDEX(SUP_C3_EXPANSION!$C$6:$F$6,MIN(4,COUNTIF(CAPA3_EXPANSION!$D$56:CA$56,"&gt;="&amp;3)))*CAPA3_EXPANSION!CA$36)</f>
        <v>2828.2799999999997</v>
      </c>
      <c r="CB10" s="88">
        <f>IF(COUNTIF(CAPA3_EXPANSION!$D$56:CB$56,"&gt;="&amp;3)=0,0,SUP_CONTROL!$C$8*IF($B10="V",1,IF($B10="D",(1+SUP_VOLUMEN!$C$26),(1+SUP_VOLUMEN!$C$27)))*INDEX(SUP_C3_EXPANSION!$C$6:$F$6,MIN(4,COUNTIF(CAPA3_EXPANSION!$D$56:CB$56,"&gt;="&amp;3)))*CAPA3_EXPANSION!CB$36)</f>
        <v>2828.2799999999997</v>
      </c>
      <c r="CC10" s="88">
        <f>IF(COUNTIF(CAPA3_EXPANSION!$D$56:CC$56,"&gt;="&amp;3)=0,0,SUP_CONTROL!$C$8*IF($B10="V",1,IF($B10="D",(1+SUP_VOLUMEN!$C$26),(1+SUP_VOLUMEN!$C$27)))*INDEX(SUP_C3_EXPANSION!$C$6:$F$6,MIN(4,COUNTIF(CAPA3_EXPANSION!$D$56:CC$56,"&gt;="&amp;3)))*CAPA3_EXPANSION!CC$36)</f>
        <v>2828.2799999999997</v>
      </c>
      <c r="CD10" s="88">
        <f>IF(COUNTIF(CAPA3_EXPANSION!$D$56:CD$56,"&gt;="&amp;3)=0,0,SUP_CONTROL!$C$8*IF($B10="V",1,IF($B10="D",(1+SUP_VOLUMEN!$C$26),(1+SUP_VOLUMEN!$C$27)))*INDEX(SUP_C3_EXPANSION!$C$6:$F$6,MIN(4,COUNTIF(CAPA3_EXPANSION!$D$56:CD$56,"&gt;="&amp;3)))*CAPA3_EXPANSION!CD$36)</f>
        <v>2828.2799999999997</v>
      </c>
      <c r="CE10" s="88">
        <f>IF(COUNTIF(CAPA3_EXPANSION!$D$56:CE$56,"&gt;="&amp;3)=0,0,SUP_CONTROL!$C$8*IF($B10="V",1,IF($B10="D",(1+SUP_VOLUMEN!$C$26),(1+SUP_VOLUMEN!$C$27)))*INDEX(SUP_C3_EXPANSION!$C$6:$F$6,MIN(4,COUNTIF(CAPA3_EXPANSION!$D$56:CE$56,"&gt;="&amp;3)))*CAPA3_EXPANSION!CE$36)</f>
        <v>2828.2799999999997</v>
      </c>
      <c r="CF10" s="88">
        <f>IF(COUNTIF(CAPA3_EXPANSION!$D$56:CF$56,"&gt;="&amp;3)=0,0,SUP_CONTROL!$C$8*IF($B10="V",1,IF($B10="D",(1+SUP_VOLUMEN!$C$26),(1+SUP_VOLUMEN!$C$27)))*INDEX(SUP_C3_EXPANSION!$C$6:$F$6,MIN(4,COUNTIF(CAPA3_EXPANSION!$D$56:CF$56,"&gt;="&amp;3)))*CAPA3_EXPANSION!CF$36)</f>
        <v>2828.2799999999997</v>
      </c>
      <c r="CG10" s="88">
        <f>IF(COUNTIF(CAPA3_EXPANSION!$D$56:CG$56,"&gt;="&amp;3)=0,0,SUP_CONTROL!$C$8*IF($B10="V",1,IF($B10="D",(1+SUP_VOLUMEN!$C$26),(1+SUP_VOLUMEN!$C$27)))*INDEX(SUP_C3_EXPANSION!$C$6:$F$6,MIN(4,COUNTIF(CAPA3_EXPANSION!$D$56:CG$56,"&gt;="&amp;3)))*CAPA3_EXPANSION!CG$36)</f>
        <v>2828.2799999999997</v>
      </c>
      <c r="CH10" s="88">
        <f>IF(COUNTIF(CAPA3_EXPANSION!$D$56:CH$56,"&gt;="&amp;3)=0,0,SUP_CONTROL!$C$8*IF($B10="V",1,IF($B10="D",(1+SUP_VOLUMEN!$C$26),(1+SUP_VOLUMEN!$C$27)))*INDEX(SUP_C3_EXPANSION!$C$6:$F$6,MIN(4,COUNTIF(CAPA3_EXPANSION!$D$56:CH$56,"&gt;="&amp;3)))*CAPA3_EXPANSION!CH$36)</f>
        <v>2828.2799999999997</v>
      </c>
      <c r="CI10" s="88">
        <f>IF(COUNTIF(CAPA3_EXPANSION!$D$56:CI$56,"&gt;="&amp;3)=0,0,SUP_CONTROL!$C$8*IF($B10="V",1,IF($B10="D",(1+SUP_VOLUMEN!$C$26),(1+SUP_VOLUMEN!$C$27)))*INDEX(SUP_C3_EXPANSION!$C$6:$F$6,MIN(4,COUNTIF(CAPA3_EXPANSION!$D$56:CI$56,"&gt;="&amp;3)))*CAPA3_EXPANSION!CI$36)</f>
        <v>2828.2799999999997</v>
      </c>
      <c r="CJ10" s="88">
        <f>IF(COUNTIF(CAPA3_EXPANSION!$D$56:CJ$56,"&gt;="&amp;3)=0,0,SUP_CONTROL!$C$8*IF($B10="V",1,IF($B10="D",(1+SUP_VOLUMEN!$C$26),(1+SUP_VOLUMEN!$C$27)))*INDEX(SUP_C3_EXPANSION!$C$6:$F$6,MIN(4,COUNTIF(CAPA3_EXPANSION!$D$56:CJ$56,"&gt;="&amp;3)))*CAPA3_EXPANSION!CJ$36)</f>
        <v>2828.2799999999997</v>
      </c>
      <c r="CK10" s="88">
        <f>IF(COUNTIF(CAPA3_EXPANSION!$D$56:CK$56,"&gt;="&amp;3)=0,0,SUP_CONTROL!$C$8*IF($B10="V",1,IF($B10="D",(1+SUP_VOLUMEN!$C$26),(1+SUP_VOLUMEN!$C$27)))*INDEX(SUP_C3_EXPANSION!$C$6:$F$6,MIN(4,COUNTIF(CAPA3_EXPANSION!$D$56:CK$56,"&gt;="&amp;3)))*CAPA3_EXPANSION!CK$36)</f>
        <v>2828.2799999999997</v>
      </c>
      <c r="CL10" s="88">
        <f>IF(COUNTIF(CAPA3_EXPANSION!$D$56:CL$56,"&gt;="&amp;3)=0,0,SUP_CONTROL!$C$8*IF($B10="V",1,IF($B10="D",(1+SUP_VOLUMEN!$C$26),(1+SUP_VOLUMEN!$C$27)))*INDEX(SUP_C3_EXPANSION!$C$6:$F$6,MIN(4,COUNTIF(CAPA3_EXPANSION!$D$56:CL$56,"&gt;="&amp;3)))*CAPA3_EXPANSION!CL$36)</f>
        <v>2828.2799999999997</v>
      </c>
      <c r="CM10" s="88">
        <f>IF(COUNTIF(CAPA3_EXPANSION!$D$56:CM$56,"&gt;="&amp;3)=0,0,SUP_CONTROL!$C$8*IF($B10="V",1,IF($B10="D",(1+SUP_VOLUMEN!$C$26),(1+SUP_VOLUMEN!$C$27)))*INDEX(SUP_C3_EXPANSION!$C$6:$F$6,MIN(4,COUNTIF(CAPA3_EXPANSION!$D$56:CM$56,"&gt;="&amp;3)))*CAPA3_EXPANSION!CM$36)</f>
        <v>2828.2799999999997</v>
      </c>
      <c r="CN10" s="88">
        <f>IF(COUNTIF(CAPA3_EXPANSION!$D$56:CN$56,"&gt;="&amp;3)=0,0,SUP_CONTROL!$C$8*IF($B10="V",1,IF($B10="D",(1+SUP_VOLUMEN!$C$26),(1+SUP_VOLUMEN!$C$27)))*INDEX(SUP_C3_EXPANSION!$C$6:$F$6,MIN(4,COUNTIF(CAPA3_EXPANSION!$D$56:CN$56,"&gt;="&amp;3)))*CAPA3_EXPANSION!CN$36)</f>
        <v>2828.2799999999997</v>
      </c>
      <c r="CO10" s="88">
        <f>IF(COUNTIF(CAPA3_EXPANSION!$D$56:CO$56,"&gt;="&amp;3)=0,0,SUP_CONTROL!$C$8*IF($B10="V",1,IF($B10="D",(1+SUP_VOLUMEN!$C$26),(1+SUP_VOLUMEN!$C$27)))*INDEX(SUP_C3_EXPANSION!$C$6:$F$6,MIN(4,COUNTIF(CAPA3_EXPANSION!$D$56:CO$56,"&gt;="&amp;3)))*CAPA3_EXPANSION!CO$36)</f>
        <v>2828.2799999999997</v>
      </c>
      <c r="CP10" s="88">
        <f>IF(COUNTIF(CAPA3_EXPANSION!$D$56:CP$56,"&gt;="&amp;3)=0,0,SUP_CONTROL!$C$8*IF($B10="V",1,IF($B10="D",(1+SUP_VOLUMEN!$C$26),(1+SUP_VOLUMEN!$C$27)))*INDEX(SUP_C3_EXPANSION!$C$6:$F$6,MIN(4,COUNTIF(CAPA3_EXPANSION!$D$56:CP$56,"&gt;="&amp;3)))*CAPA3_EXPANSION!CP$36)</f>
        <v>2828.2799999999997</v>
      </c>
      <c r="CQ10" s="88">
        <f>IF(COUNTIF(CAPA3_EXPANSION!$D$56:CQ$56,"&gt;="&amp;3)=0,0,SUP_CONTROL!$C$8*IF($B10="V",1,IF($B10="D",(1+SUP_VOLUMEN!$C$26),(1+SUP_VOLUMEN!$C$27)))*INDEX(SUP_C3_EXPANSION!$C$6:$F$6,MIN(4,COUNTIF(CAPA3_EXPANSION!$D$56:CQ$56,"&gt;="&amp;3)))*CAPA3_EXPANSION!CQ$36)</f>
        <v>2828.2799999999997</v>
      </c>
      <c r="CR10" s="88">
        <f>IF(COUNTIF(CAPA3_EXPANSION!$D$56:CR$56,"&gt;="&amp;3)=0,0,SUP_CONTROL!$C$8*IF($B10="V",1,IF($B10="D",(1+SUP_VOLUMEN!$C$26),(1+SUP_VOLUMEN!$C$27)))*INDEX(SUP_C3_EXPANSION!$C$6:$F$6,MIN(4,COUNTIF(CAPA3_EXPANSION!$D$56:CR$56,"&gt;="&amp;3)))*CAPA3_EXPANSION!CR$36)</f>
        <v>2828.2799999999997</v>
      </c>
      <c r="CS10" s="88">
        <f>IF(COUNTIF(CAPA3_EXPANSION!$D$56:CS$56,"&gt;="&amp;3)=0,0,SUP_CONTROL!$C$8*IF($B10="V",1,IF($B10="D",(1+SUP_VOLUMEN!$C$26),(1+SUP_VOLUMEN!$C$27)))*INDEX(SUP_C3_EXPANSION!$C$6:$F$6,MIN(4,COUNTIF(CAPA3_EXPANSION!$D$56:CS$56,"&gt;="&amp;3)))*CAPA3_EXPANSION!CS$36)</f>
        <v>2828.2799999999997</v>
      </c>
      <c r="CT10" s="88">
        <f>IF(COUNTIF(CAPA3_EXPANSION!$D$56:CT$56,"&gt;="&amp;3)=0,0,SUP_CONTROL!$C$8*IF($B10="V",1,IF($B10="D",(1+SUP_VOLUMEN!$C$26),(1+SUP_VOLUMEN!$C$27)))*INDEX(SUP_C3_EXPANSION!$C$6:$F$6,MIN(4,COUNTIF(CAPA3_EXPANSION!$D$56:CT$56,"&gt;="&amp;3)))*CAPA3_EXPANSION!CT$36)</f>
        <v>2828.2799999999997</v>
      </c>
      <c r="CU10" s="88">
        <f>IF(COUNTIF(CAPA3_EXPANSION!$D$56:CU$56,"&gt;="&amp;3)=0,0,SUP_CONTROL!$C$8*IF($B10="V",1,IF($B10="D",(1+SUP_VOLUMEN!$C$26),(1+SUP_VOLUMEN!$C$27)))*INDEX(SUP_C3_EXPANSION!$C$6:$F$6,MIN(4,COUNTIF(CAPA3_EXPANSION!$D$56:CU$56,"&gt;="&amp;3)))*CAPA3_EXPANSION!CU$36)</f>
        <v>2828.2799999999997</v>
      </c>
      <c r="CV10" s="88">
        <f>IF(COUNTIF(CAPA3_EXPANSION!$D$56:CV$56,"&gt;="&amp;3)=0,0,SUP_CONTROL!$C$8*IF($B10="V",1,IF($B10="D",(1+SUP_VOLUMEN!$C$26),(1+SUP_VOLUMEN!$C$27)))*INDEX(SUP_C3_EXPANSION!$C$6:$F$6,MIN(4,COUNTIF(CAPA3_EXPANSION!$D$56:CV$56,"&gt;="&amp;3)))*CAPA3_EXPANSION!CV$36)</f>
        <v>2828.2799999999997</v>
      </c>
      <c r="CW10" s="88">
        <f>IF(COUNTIF(CAPA3_EXPANSION!$D$56:CW$56,"&gt;="&amp;3)=0,0,SUP_CONTROL!$C$8*IF($B10="V",1,IF($B10="D",(1+SUP_VOLUMEN!$C$26),(1+SUP_VOLUMEN!$C$27)))*INDEX(SUP_C3_EXPANSION!$C$6:$F$6,MIN(4,COUNTIF(CAPA3_EXPANSION!$D$56:CW$56,"&gt;="&amp;3)))*CAPA3_EXPANSION!CW$36)</f>
        <v>2828.2799999999997</v>
      </c>
      <c r="CX10" s="88">
        <f>IF(COUNTIF(CAPA3_EXPANSION!$D$56:CX$56,"&gt;="&amp;3)=0,0,SUP_CONTROL!$C$8*IF($B10="V",1,IF($B10="D",(1+SUP_VOLUMEN!$C$26),(1+SUP_VOLUMEN!$C$27)))*INDEX(SUP_C3_EXPANSION!$C$6:$F$6,MIN(4,COUNTIF(CAPA3_EXPANSION!$D$56:CX$56,"&gt;="&amp;3)))*CAPA3_EXPANSION!CX$36)</f>
        <v>2828.2799999999997</v>
      </c>
      <c r="CY10" s="88">
        <f>IF(COUNTIF(CAPA3_EXPANSION!$D$56:CY$56,"&gt;="&amp;3)=0,0,SUP_CONTROL!$C$8*IF($B10="V",1,IF($B10="D",(1+SUP_VOLUMEN!$C$26),(1+SUP_VOLUMEN!$C$27)))*INDEX(SUP_C3_EXPANSION!$C$6:$F$6,MIN(4,COUNTIF(CAPA3_EXPANSION!$D$56:CY$56,"&gt;="&amp;3)))*CAPA3_EXPANSION!CY$36)</f>
        <v>2828.2799999999997</v>
      </c>
      <c r="CZ10" s="88">
        <f>IF(COUNTIF(CAPA3_EXPANSION!$D$56:CZ$56,"&gt;="&amp;3)=0,0,SUP_CONTROL!$C$8*IF($B10="V",1,IF($B10="D",(1+SUP_VOLUMEN!$C$26),(1+SUP_VOLUMEN!$C$27)))*INDEX(SUP_C3_EXPANSION!$C$6:$F$6,MIN(4,COUNTIF(CAPA3_EXPANSION!$D$56:CZ$56,"&gt;="&amp;3)))*CAPA3_EXPANSION!CZ$36)</f>
        <v>2828.2799999999997</v>
      </c>
      <c r="DA10" s="88">
        <f>IF(COUNTIF(CAPA3_EXPANSION!$D$56:DA$56,"&gt;="&amp;3)=0,0,SUP_CONTROL!$C$8*IF($B10="V",1,IF($B10="D",(1+SUP_VOLUMEN!$C$26),(1+SUP_VOLUMEN!$C$27)))*INDEX(SUP_C3_EXPANSION!$C$6:$F$6,MIN(4,COUNTIF(CAPA3_EXPANSION!$D$56:DA$56,"&gt;="&amp;3)))*CAPA3_EXPANSION!DA$36)</f>
        <v>2828.2799999999997</v>
      </c>
      <c r="DB10" s="88">
        <f>IF(COUNTIF(CAPA3_EXPANSION!$D$56:DB$56,"&gt;="&amp;3)=0,0,SUP_CONTROL!$C$8*IF($B10="V",1,IF($B10="D",(1+SUP_VOLUMEN!$C$26),(1+SUP_VOLUMEN!$C$27)))*INDEX(SUP_C3_EXPANSION!$C$6:$F$6,MIN(4,COUNTIF(CAPA3_EXPANSION!$D$56:DB$56,"&gt;="&amp;3)))*CAPA3_EXPANSION!DB$36)</f>
        <v>2828.2799999999997</v>
      </c>
      <c r="DC10" s="88">
        <f>IF(COUNTIF(CAPA3_EXPANSION!$D$56:DC$56,"&gt;="&amp;3)=0,0,SUP_CONTROL!$C$8*IF($B10="V",1,IF($B10="D",(1+SUP_VOLUMEN!$C$26),(1+SUP_VOLUMEN!$C$27)))*INDEX(SUP_C3_EXPANSION!$C$6:$F$6,MIN(4,COUNTIF(CAPA3_EXPANSION!$D$56:DC$56,"&gt;="&amp;3)))*CAPA3_EXPANSION!DC$36)</f>
        <v>2828.2799999999997</v>
      </c>
      <c r="DD10" s="88">
        <f>IF(COUNTIF(CAPA3_EXPANSION!$D$56:DD$56,"&gt;="&amp;3)=0,0,SUP_CONTROL!$C$8*IF($B10="V",1,IF($B10="D",(1+SUP_VOLUMEN!$C$26),(1+SUP_VOLUMEN!$C$27)))*INDEX(SUP_C3_EXPANSION!$C$6:$F$6,MIN(4,COUNTIF(CAPA3_EXPANSION!$D$56:DD$56,"&gt;="&amp;3)))*CAPA3_EXPANSION!DD$36)</f>
        <v>2828.2799999999997</v>
      </c>
      <c r="DE10" s="88">
        <f>IF(COUNTIF(CAPA3_EXPANSION!$D$56:DE$56,"&gt;="&amp;3)=0,0,SUP_CONTROL!$C$8*IF($B10="V",1,IF($B10="D",(1+SUP_VOLUMEN!$C$26),(1+SUP_VOLUMEN!$C$27)))*INDEX(SUP_C3_EXPANSION!$C$6:$F$6,MIN(4,COUNTIF(CAPA3_EXPANSION!$D$56:DE$56,"&gt;="&amp;3)))*CAPA3_EXPANSION!DE$36)</f>
        <v>2828.2799999999997</v>
      </c>
      <c r="DF10" s="88">
        <f>IF(COUNTIF(CAPA3_EXPANSION!$D$56:DF$56,"&gt;="&amp;3)=0,0,SUP_CONTROL!$C$8*IF($B10="V",1,IF($B10="D",(1+SUP_VOLUMEN!$C$26),(1+SUP_VOLUMEN!$C$27)))*INDEX(SUP_C3_EXPANSION!$C$6:$F$6,MIN(4,COUNTIF(CAPA3_EXPANSION!$D$56:DF$56,"&gt;="&amp;3)))*CAPA3_EXPANSION!DF$36)</f>
        <v>2828.2799999999997</v>
      </c>
      <c r="DG10" s="88">
        <f>IF(COUNTIF(CAPA3_EXPANSION!$D$56:DG$56,"&gt;="&amp;3)=0,0,SUP_CONTROL!$C$8*IF($B10="V",1,IF($B10="D",(1+SUP_VOLUMEN!$C$26),(1+SUP_VOLUMEN!$C$27)))*INDEX(SUP_C3_EXPANSION!$C$6:$F$6,MIN(4,COUNTIF(CAPA3_EXPANSION!$D$56:DG$56,"&gt;="&amp;3)))*CAPA3_EXPANSION!DG$36)</f>
        <v>2828.2799999999997</v>
      </c>
      <c r="DH10" s="88">
        <f>IF(COUNTIF(CAPA3_EXPANSION!$D$56:DH$56,"&gt;="&amp;3)=0,0,SUP_CONTROL!$C$8*IF($B10="V",1,IF($B10="D",(1+SUP_VOLUMEN!$C$26),(1+SUP_VOLUMEN!$C$27)))*INDEX(SUP_C3_EXPANSION!$C$6:$F$6,MIN(4,COUNTIF(CAPA3_EXPANSION!$D$56:DH$56,"&gt;="&amp;3)))*CAPA3_EXPANSION!DH$36)</f>
        <v>2828.2799999999997</v>
      </c>
      <c r="DI10" s="88">
        <f>IF(COUNTIF(CAPA3_EXPANSION!$D$56:DI$56,"&gt;="&amp;3)=0,0,SUP_CONTROL!$C$8*IF($B10="V",1,IF($B10="D",(1+SUP_VOLUMEN!$C$26),(1+SUP_VOLUMEN!$C$27)))*INDEX(SUP_C3_EXPANSION!$C$6:$F$6,MIN(4,COUNTIF(CAPA3_EXPANSION!$D$56:DI$56,"&gt;="&amp;3)))*CAPA3_EXPANSION!DI$36)</f>
        <v>2828.2799999999997</v>
      </c>
      <c r="DJ10" s="88">
        <f>IF(COUNTIF(CAPA3_EXPANSION!$D$56:DJ$56,"&gt;="&amp;3)=0,0,SUP_CONTROL!$C$8*IF($B10="V",1,IF($B10="D",(1+SUP_VOLUMEN!$C$26),(1+SUP_VOLUMEN!$C$27)))*INDEX(SUP_C3_EXPANSION!$C$6:$F$6,MIN(4,COUNTIF(CAPA3_EXPANSION!$D$56:DJ$56,"&gt;="&amp;3)))*CAPA3_EXPANSION!DJ$36)</f>
        <v>2828.2799999999997</v>
      </c>
      <c r="DK10" s="88">
        <f>IF(COUNTIF(CAPA3_EXPANSION!$D$56:DK$56,"&gt;="&amp;3)=0,0,SUP_CONTROL!$C$8*IF($B10="V",1,IF($B10="D",(1+SUP_VOLUMEN!$C$26),(1+SUP_VOLUMEN!$C$27)))*INDEX(SUP_C3_EXPANSION!$C$6:$F$6,MIN(4,COUNTIF(CAPA3_EXPANSION!$D$56:DK$56,"&gt;="&amp;3)))*CAPA3_EXPANSION!DK$36)</f>
        <v>2828.2799999999997</v>
      </c>
      <c r="DL10" s="88">
        <f>IF(COUNTIF(CAPA3_EXPANSION!$D$56:DL$56,"&gt;="&amp;3)=0,0,SUP_CONTROL!$C$8*IF($B10="V",1,IF($B10="D",(1+SUP_VOLUMEN!$C$26),(1+SUP_VOLUMEN!$C$27)))*INDEX(SUP_C3_EXPANSION!$C$6:$F$6,MIN(4,COUNTIF(CAPA3_EXPANSION!$D$56:DL$56,"&gt;="&amp;3)))*CAPA3_EXPANSION!DL$36)</f>
        <v>2828.2799999999997</v>
      </c>
      <c r="DM10" s="88">
        <f>IF(COUNTIF(CAPA3_EXPANSION!$D$56:DM$56,"&gt;="&amp;3)=0,0,SUP_CONTROL!$C$8*IF($B10="V",1,IF($B10="D",(1+SUP_VOLUMEN!$C$26),(1+SUP_VOLUMEN!$C$27)))*INDEX(SUP_C3_EXPANSION!$C$6:$F$6,MIN(4,COUNTIF(CAPA3_EXPANSION!$D$56:DM$56,"&gt;="&amp;3)))*CAPA3_EXPANSION!DM$36)</f>
        <v>2828.2799999999997</v>
      </c>
      <c r="DN10" s="88">
        <f>IF(COUNTIF(CAPA3_EXPANSION!$D$56:DN$56,"&gt;="&amp;3)=0,0,SUP_CONTROL!$C$8*IF($B10="V",1,IF($B10="D",(1+SUP_VOLUMEN!$C$26),(1+SUP_VOLUMEN!$C$27)))*INDEX(SUP_C3_EXPANSION!$C$6:$F$6,MIN(4,COUNTIF(CAPA3_EXPANSION!$D$56:DN$56,"&gt;="&amp;3)))*CAPA3_EXPANSION!DN$36)</f>
        <v>2828.2799999999997</v>
      </c>
      <c r="DO10" s="88">
        <f>IF(COUNTIF(CAPA3_EXPANSION!$D$56:DO$56,"&gt;="&amp;3)=0,0,SUP_CONTROL!$C$8*IF($B10="V",1,IF($B10="D",(1+SUP_VOLUMEN!$C$26),(1+SUP_VOLUMEN!$C$27)))*INDEX(SUP_C3_EXPANSION!$C$6:$F$6,MIN(4,COUNTIF(CAPA3_EXPANSION!$D$56:DO$56,"&gt;="&amp;3)))*CAPA3_EXPANSION!DO$36)</f>
        <v>2828.2799999999997</v>
      </c>
      <c r="DP10" s="88">
        <f>IF(COUNTIF(CAPA3_EXPANSION!$D$56:DP$56,"&gt;="&amp;3)=0,0,SUP_CONTROL!$C$8*IF($B10="V",1,IF($B10="D",(1+SUP_VOLUMEN!$C$26),(1+SUP_VOLUMEN!$C$27)))*INDEX(SUP_C3_EXPANSION!$C$6:$F$6,MIN(4,COUNTIF(CAPA3_EXPANSION!$D$56:DP$56,"&gt;="&amp;3)))*CAPA3_EXPANSION!DP$36)</f>
        <v>2828.2799999999997</v>
      </c>
      <c r="DQ10" s="88">
        <f>IF(COUNTIF(CAPA3_EXPANSION!$D$56:DQ$56,"&gt;="&amp;3)=0,0,SUP_CONTROL!$C$8*IF($B10="V",1,IF($B10="D",(1+SUP_VOLUMEN!$C$26),(1+SUP_VOLUMEN!$C$27)))*INDEX(SUP_C3_EXPANSION!$C$6:$F$6,MIN(4,COUNTIF(CAPA3_EXPANSION!$D$56:DQ$56,"&gt;="&amp;3)))*CAPA3_EXPANSION!DQ$36)</f>
        <v>2828.2799999999997</v>
      </c>
      <c r="DR10" s="88">
        <f>IF(COUNTIF(CAPA3_EXPANSION!$D$56:DR$56,"&gt;="&amp;3)=0,0,SUP_CONTROL!$C$8*IF($B10="V",1,IF($B10="D",(1+SUP_VOLUMEN!$C$26),(1+SUP_VOLUMEN!$C$27)))*INDEX(SUP_C3_EXPANSION!$C$6:$F$6,MIN(4,COUNTIF(CAPA3_EXPANSION!$D$56:DR$56,"&gt;="&amp;3)))*CAPA3_EXPANSION!DR$36)</f>
        <v>2828.2799999999997</v>
      </c>
      <c r="DS10" s="88">
        <f>IF(COUNTIF(CAPA3_EXPANSION!$D$56:DS$56,"&gt;="&amp;3)=0,0,SUP_CONTROL!$C$8*IF($B10="V",1,IF($B10="D",(1+SUP_VOLUMEN!$C$26),(1+SUP_VOLUMEN!$C$27)))*INDEX(SUP_C3_EXPANSION!$C$6:$F$6,MIN(4,COUNTIF(CAPA3_EXPANSION!$D$56:DS$56,"&gt;="&amp;3)))*CAPA3_EXPANSION!DS$36)</f>
        <v>2828.2799999999997</v>
      </c>
    </row>
    <row r="11" spans="1:123" ht="15" customHeight="1" x14ac:dyDescent="0.2">
      <c r="A11" s="88">
        <v>14</v>
      </c>
      <c r="B11" s="104" t="str">
        <f>SUP_C3_EXPANSION!B23</f>
        <v>D</v>
      </c>
      <c r="C11" s="73">
        <f>SUP_C3_EXPANSION!G23</f>
        <v>26</v>
      </c>
      <c r="D11" s="88">
        <f>IF(COUNTIF(CAPA3_EXPANSION!$D$56:D$56,"&gt;="&amp;4)=0,0,SUP_CONTROL!$C$8*IF($B11="V",1,IF($B11="D",(1+SUP_VOLUMEN!$C$26),(1+SUP_VOLUMEN!$C$27)))*INDEX(SUP_C3_EXPANSION!$C$6:$F$6,MIN(4,COUNTIF(CAPA3_EXPANSION!$D$56:D$56,"&gt;="&amp;4)))*CAPA3_EXPANSION!D$36)</f>
        <v>0</v>
      </c>
      <c r="E11" s="88">
        <f>IF(COUNTIF(CAPA3_EXPANSION!$D$56:E$56,"&gt;="&amp;4)=0,0,SUP_CONTROL!$C$8*IF($B11="V",1,IF($B11="D",(1+SUP_VOLUMEN!$C$26),(1+SUP_VOLUMEN!$C$27)))*INDEX(SUP_C3_EXPANSION!$C$6:$F$6,MIN(4,COUNTIF(CAPA3_EXPANSION!$D$56:E$56,"&gt;="&amp;4)))*CAPA3_EXPANSION!E$36)</f>
        <v>0</v>
      </c>
      <c r="F11" s="88">
        <f>IF(COUNTIF(CAPA3_EXPANSION!$D$56:F$56,"&gt;="&amp;4)=0,0,SUP_CONTROL!$C$8*IF($B11="V",1,IF($B11="D",(1+SUP_VOLUMEN!$C$26),(1+SUP_VOLUMEN!$C$27)))*INDEX(SUP_C3_EXPANSION!$C$6:$F$6,MIN(4,COUNTIF(CAPA3_EXPANSION!$D$56:F$56,"&gt;="&amp;4)))*CAPA3_EXPANSION!F$36)</f>
        <v>0</v>
      </c>
      <c r="G11" s="88">
        <f>IF(COUNTIF(CAPA3_EXPANSION!$D$56:G$56,"&gt;="&amp;4)=0,0,SUP_CONTROL!$C$8*IF($B11="V",1,IF($B11="D",(1+SUP_VOLUMEN!$C$26),(1+SUP_VOLUMEN!$C$27)))*INDEX(SUP_C3_EXPANSION!$C$6:$F$6,MIN(4,COUNTIF(CAPA3_EXPANSION!$D$56:G$56,"&gt;="&amp;4)))*CAPA3_EXPANSION!G$36)</f>
        <v>0</v>
      </c>
      <c r="H11" s="88">
        <f>IF(COUNTIF(CAPA3_EXPANSION!$D$56:H$56,"&gt;="&amp;4)=0,0,SUP_CONTROL!$C$8*IF($B11="V",1,IF($B11="D",(1+SUP_VOLUMEN!$C$26),(1+SUP_VOLUMEN!$C$27)))*INDEX(SUP_C3_EXPANSION!$C$6:$F$6,MIN(4,COUNTIF(CAPA3_EXPANSION!$D$56:H$56,"&gt;="&amp;4)))*CAPA3_EXPANSION!H$36)</f>
        <v>0</v>
      </c>
      <c r="I11" s="88">
        <f>IF(COUNTIF(CAPA3_EXPANSION!$D$56:I$56,"&gt;="&amp;4)=0,0,SUP_CONTROL!$C$8*IF($B11="V",1,IF($B11="D",(1+SUP_VOLUMEN!$C$26),(1+SUP_VOLUMEN!$C$27)))*INDEX(SUP_C3_EXPANSION!$C$6:$F$6,MIN(4,COUNTIF(CAPA3_EXPANSION!$D$56:I$56,"&gt;="&amp;4)))*CAPA3_EXPANSION!I$36)</f>
        <v>0</v>
      </c>
      <c r="J11" s="88">
        <f>IF(COUNTIF(CAPA3_EXPANSION!$D$56:J$56,"&gt;="&amp;4)=0,0,SUP_CONTROL!$C$8*IF($B11="V",1,IF($B11="D",(1+SUP_VOLUMEN!$C$26),(1+SUP_VOLUMEN!$C$27)))*INDEX(SUP_C3_EXPANSION!$C$6:$F$6,MIN(4,COUNTIF(CAPA3_EXPANSION!$D$56:J$56,"&gt;="&amp;4)))*CAPA3_EXPANSION!J$36)</f>
        <v>0</v>
      </c>
      <c r="K11" s="88">
        <f>IF(COUNTIF(CAPA3_EXPANSION!$D$56:K$56,"&gt;="&amp;4)=0,0,SUP_CONTROL!$C$8*IF($B11="V",1,IF($B11="D",(1+SUP_VOLUMEN!$C$26),(1+SUP_VOLUMEN!$C$27)))*INDEX(SUP_C3_EXPANSION!$C$6:$F$6,MIN(4,COUNTIF(CAPA3_EXPANSION!$D$56:K$56,"&gt;="&amp;4)))*CAPA3_EXPANSION!K$36)</f>
        <v>0</v>
      </c>
      <c r="L11" s="88">
        <f>IF(COUNTIF(CAPA3_EXPANSION!$D$56:L$56,"&gt;="&amp;4)=0,0,SUP_CONTROL!$C$8*IF($B11="V",1,IF($B11="D",(1+SUP_VOLUMEN!$C$26),(1+SUP_VOLUMEN!$C$27)))*INDEX(SUP_C3_EXPANSION!$C$6:$F$6,MIN(4,COUNTIF(CAPA3_EXPANSION!$D$56:L$56,"&gt;="&amp;4)))*CAPA3_EXPANSION!L$36)</f>
        <v>0</v>
      </c>
      <c r="M11" s="88">
        <f>IF(COUNTIF(CAPA3_EXPANSION!$D$56:M$56,"&gt;="&amp;4)=0,0,SUP_CONTROL!$C$8*IF($B11="V",1,IF($B11="D",(1+SUP_VOLUMEN!$C$26),(1+SUP_VOLUMEN!$C$27)))*INDEX(SUP_C3_EXPANSION!$C$6:$F$6,MIN(4,COUNTIF(CAPA3_EXPANSION!$D$56:M$56,"&gt;="&amp;4)))*CAPA3_EXPANSION!M$36)</f>
        <v>0</v>
      </c>
      <c r="N11" s="88">
        <f>IF(COUNTIF(CAPA3_EXPANSION!$D$56:N$56,"&gt;="&amp;4)=0,0,SUP_CONTROL!$C$8*IF($B11="V",1,IF($B11="D",(1+SUP_VOLUMEN!$C$26),(1+SUP_VOLUMEN!$C$27)))*INDEX(SUP_C3_EXPANSION!$C$6:$F$6,MIN(4,COUNTIF(CAPA3_EXPANSION!$D$56:N$56,"&gt;="&amp;4)))*CAPA3_EXPANSION!N$36)</f>
        <v>0</v>
      </c>
      <c r="O11" s="88">
        <f>IF(COUNTIF(CAPA3_EXPANSION!$D$56:O$56,"&gt;="&amp;4)=0,0,SUP_CONTROL!$C$8*IF($B11="V",1,IF($B11="D",(1+SUP_VOLUMEN!$C$26),(1+SUP_VOLUMEN!$C$27)))*INDEX(SUP_C3_EXPANSION!$C$6:$F$6,MIN(4,COUNTIF(CAPA3_EXPANSION!$D$56:O$56,"&gt;="&amp;4)))*CAPA3_EXPANSION!O$36)</f>
        <v>0</v>
      </c>
      <c r="P11" s="88">
        <f>IF(COUNTIF(CAPA3_EXPANSION!$D$56:P$56,"&gt;="&amp;4)=0,0,SUP_CONTROL!$C$8*IF($B11="V",1,IF($B11="D",(1+SUP_VOLUMEN!$C$26),(1+SUP_VOLUMEN!$C$27)))*INDEX(SUP_C3_EXPANSION!$C$6:$F$6,MIN(4,COUNTIF(CAPA3_EXPANSION!$D$56:P$56,"&gt;="&amp;4)))*CAPA3_EXPANSION!P$36)</f>
        <v>0</v>
      </c>
      <c r="Q11" s="88">
        <f>IF(COUNTIF(CAPA3_EXPANSION!$D$56:Q$56,"&gt;="&amp;4)=0,0,SUP_CONTROL!$C$8*IF($B11="V",1,IF($B11="D",(1+SUP_VOLUMEN!$C$26),(1+SUP_VOLUMEN!$C$27)))*INDEX(SUP_C3_EXPANSION!$C$6:$F$6,MIN(4,COUNTIF(CAPA3_EXPANSION!$D$56:Q$56,"&gt;="&amp;4)))*CAPA3_EXPANSION!Q$36)</f>
        <v>0</v>
      </c>
      <c r="R11" s="88">
        <f>IF(COUNTIF(CAPA3_EXPANSION!$D$56:R$56,"&gt;="&amp;4)=0,0,SUP_CONTROL!$C$8*IF($B11="V",1,IF($B11="D",(1+SUP_VOLUMEN!$C$26),(1+SUP_VOLUMEN!$C$27)))*INDEX(SUP_C3_EXPANSION!$C$6:$F$6,MIN(4,COUNTIF(CAPA3_EXPANSION!$D$56:R$56,"&gt;="&amp;4)))*CAPA3_EXPANSION!R$36)</f>
        <v>0</v>
      </c>
      <c r="S11" s="88">
        <f>IF(COUNTIF(CAPA3_EXPANSION!$D$56:S$56,"&gt;="&amp;4)=0,0,SUP_CONTROL!$C$8*IF($B11="V",1,IF($B11="D",(1+SUP_VOLUMEN!$C$26),(1+SUP_VOLUMEN!$C$27)))*INDEX(SUP_C3_EXPANSION!$C$6:$F$6,MIN(4,COUNTIF(CAPA3_EXPANSION!$D$56:S$56,"&gt;="&amp;4)))*CAPA3_EXPANSION!S$36)</f>
        <v>0</v>
      </c>
      <c r="T11" s="88">
        <f>IF(COUNTIF(CAPA3_EXPANSION!$D$56:T$56,"&gt;="&amp;4)=0,0,SUP_CONTROL!$C$8*IF($B11="V",1,IF($B11="D",(1+SUP_VOLUMEN!$C$26),(1+SUP_VOLUMEN!$C$27)))*INDEX(SUP_C3_EXPANSION!$C$6:$F$6,MIN(4,COUNTIF(CAPA3_EXPANSION!$D$56:T$56,"&gt;="&amp;4)))*CAPA3_EXPANSION!T$36)</f>
        <v>0</v>
      </c>
      <c r="U11" s="88">
        <f>IF(COUNTIF(CAPA3_EXPANSION!$D$56:U$56,"&gt;="&amp;4)=0,0,SUP_CONTROL!$C$8*IF($B11="V",1,IF($B11="D",(1+SUP_VOLUMEN!$C$26),(1+SUP_VOLUMEN!$C$27)))*INDEX(SUP_C3_EXPANSION!$C$6:$F$6,MIN(4,COUNTIF(CAPA3_EXPANSION!$D$56:U$56,"&gt;="&amp;4)))*CAPA3_EXPANSION!U$36)</f>
        <v>0</v>
      </c>
      <c r="V11" s="88">
        <f>IF(COUNTIF(CAPA3_EXPANSION!$D$56:V$56,"&gt;="&amp;4)=0,0,SUP_CONTROL!$C$8*IF($B11="V",1,IF($B11="D",(1+SUP_VOLUMEN!$C$26),(1+SUP_VOLUMEN!$C$27)))*INDEX(SUP_C3_EXPANSION!$C$6:$F$6,MIN(4,COUNTIF(CAPA3_EXPANSION!$D$56:V$56,"&gt;="&amp;4)))*CAPA3_EXPANSION!V$36)</f>
        <v>0</v>
      </c>
      <c r="W11" s="88">
        <f>IF(COUNTIF(CAPA3_EXPANSION!$D$56:W$56,"&gt;="&amp;4)=0,0,SUP_CONTROL!$C$8*IF($B11="V",1,IF($B11="D",(1+SUP_VOLUMEN!$C$26),(1+SUP_VOLUMEN!$C$27)))*INDEX(SUP_C3_EXPANSION!$C$6:$F$6,MIN(4,COUNTIF(CAPA3_EXPANSION!$D$56:W$56,"&gt;="&amp;4)))*CAPA3_EXPANSION!W$36)</f>
        <v>0</v>
      </c>
      <c r="X11" s="88">
        <f>IF(COUNTIF(CAPA3_EXPANSION!$D$56:X$56,"&gt;="&amp;4)=0,0,SUP_CONTROL!$C$8*IF($B11="V",1,IF($B11="D",(1+SUP_VOLUMEN!$C$26),(1+SUP_VOLUMEN!$C$27)))*INDEX(SUP_C3_EXPANSION!$C$6:$F$6,MIN(4,COUNTIF(CAPA3_EXPANSION!$D$56:X$56,"&gt;="&amp;4)))*CAPA3_EXPANSION!X$36)</f>
        <v>0</v>
      </c>
      <c r="Y11" s="88">
        <f>IF(COUNTIF(CAPA3_EXPANSION!$D$56:Y$56,"&gt;="&amp;4)=0,0,SUP_CONTROL!$C$8*IF($B11="V",1,IF($B11="D",(1+SUP_VOLUMEN!$C$26),(1+SUP_VOLUMEN!$C$27)))*INDEX(SUP_C3_EXPANSION!$C$6:$F$6,MIN(4,COUNTIF(CAPA3_EXPANSION!$D$56:Y$56,"&gt;="&amp;4)))*CAPA3_EXPANSION!Y$36)</f>
        <v>0</v>
      </c>
      <c r="Z11" s="88">
        <f>IF(COUNTIF(CAPA3_EXPANSION!$D$56:Z$56,"&gt;="&amp;4)=0,0,SUP_CONTROL!$C$8*IF($B11="V",1,IF($B11="D",(1+SUP_VOLUMEN!$C$26),(1+SUP_VOLUMEN!$C$27)))*INDEX(SUP_C3_EXPANSION!$C$6:$F$6,MIN(4,COUNTIF(CAPA3_EXPANSION!$D$56:Z$56,"&gt;="&amp;4)))*CAPA3_EXPANSION!Z$36)</f>
        <v>0</v>
      </c>
      <c r="AA11" s="88">
        <f>IF(COUNTIF(CAPA3_EXPANSION!$D$56:AA$56,"&gt;="&amp;4)=0,0,SUP_CONTROL!$C$8*IF($B11="V",1,IF($B11="D",(1+SUP_VOLUMEN!$C$26),(1+SUP_VOLUMEN!$C$27)))*INDEX(SUP_C3_EXPANSION!$C$6:$F$6,MIN(4,COUNTIF(CAPA3_EXPANSION!$D$56:AA$56,"&gt;="&amp;4)))*CAPA3_EXPANSION!AA$36)</f>
        <v>0</v>
      </c>
      <c r="AB11" s="88">
        <f>IF(COUNTIF(CAPA3_EXPANSION!$D$56:AB$56,"&gt;="&amp;4)=0,0,SUP_CONTROL!$C$8*IF($B11="V",1,IF($B11="D",(1+SUP_VOLUMEN!$C$26),(1+SUP_VOLUMEN!$C$27)))*INDEX(SUP_C3_EXPANSION!$C$6:$F$6,MIN(4,COUNTIF(CAPA3_EXPANSION!$D$56:AB$56,"&gt;="&amp;4)))*CAPA3_EXPANSION!AB$36)</f>
        <v>0</v>
      </c>
      <c r="AC11" s="88">
        <f>IF(COUNTIF(CAPA3_EXPANSION!$D$56:AC$56,"&gt;="&amp;4)=0,0,SUP_CONTROL!$C$8*IF($B11="V",1,IF($B11="D",(1+SUP_VOLUMEN!$C$26),(1+SUP_VOLUMEN!$C$27)))*INDEX(SUP_C3_EXPANSION!$C$6:$F$6,MIN(4,COUNTIF(CAPA3_EXPANSION!$D$56:AC$56,"&gt;="&amp;4)))*CAPA3_EXPANSION!AC$36)</f>
        <v>0</v>
      </c>
      <c r="AD11" s="88">
        <f>IF(COUNTIF(CAPA3_EXPANSION!$D$56:AD$56,"&gt;="&amp;4)=0,0,SUP_CONTROL!$C$8*IF($B11="V",1,IF($B11="D",(1+SUP_VOLUMEN!$C$26),(1+SUP_VOLUMEN!$C$27)))*INDEX(SUP_C3_EXPANSION!$C$6:$F$6,MIN(4,COUNTIF(CAPA3_EXPANSION!$D$56:AD$56,"&gt;="&amp;4)))*CAPA3_EXPANSION!AD$36)</f>
        <v>0</v>
      </c>
      <c r="AE11" s="88">
        <f>IF(COUNTIF(CAPA3_EXPANSION!$D$56:AE$56,"&gt;="&amp;4)=0,0,SUP_CONTROL!$C$8*IF($B11="V",1,IF($B11="D",(1+SUP_VOLUMEN!$C$26),(1+SUP_VOLUMEN!$C$27)))*INDEX(SUP_C3_EXPANSION!$C$6:$F$6,MIN(4,COUNTIF(CAPA3_EXPANSION!$D$56:AE$56,"&gt;="&amp;4)))*CAPA3_EXPANSION!AE$36)</f>
        <v>0</v>
      </c>
      <c r="AF11" s="88">
        <f>IF(COUNTIF(CAPA3_EXPANSION!$D$56:AF$56,"&gt;="&amp;4)=0,0,SUP_CONTROL!$C$8*IF($B11="V",1,IF($B11="D",(1+SUP_VOLUMEN!$C$26),(1+SUP_VOLUMEN!$C$27)))*INDEX(SUP_C3_EXPANSION!$C$6:$F$6,MIN(4,COUNTIF(CAPA3_EXPANSION!$D$56:AF$56,"&gt;="&amp;4)))*CAPA3_EXPANSION!AF$36)</f>
        <v>2759.7615500000002</v>
      </c>
      <c r="AG11" s="88">
        <f>IF(COUNTIF(CAPA3_EXPANSION!$D$56:AG$56,"&gt;="&amp;4)=0,0,SUP_CONTROL!$C$8*IF($B11="V",1,IF($B11="D",(1+SUP_VOLUMEN!$C$26),(1+SUP_VOLUMEN!$C$27)))*INDEX(SUP_C3_EXPANSION!$C$6:$F$6,MIN(4,COUNTIF(CAPA3_EXPANSION!$D$56:AG$56,"&gt;="&amp;4)))*CAPA3_EXPANSION!AG$36)</f>
        <v>3396.6296000000002</v>
      </c>
      <c r="AH11" s="88">
        <f>IF(COUNTIF(CAPA3_EXPANSION!$D$56:AH$56,"&gt;="&amp;4)=0,0,SUP_CONTROL!$C$8*IF($B11="V",1,IF($B11="D",(1+SUP_VOLUMEN!$C$26),(1+SUP_VOLUMEN!$C$27)))*INDEX(SUP_C3_EXPANSION!$C$6:$F$6,MIN(4,COUNTIF(CAPA3_EXPANSION!$D$56:AH$56,"&gt;="&amp;4)))*CAPA3_EXPANSION!AH$36)</f>
        <v>3821.2083000000002</v>
      </c>
      <c r="AI11" s="88">
        <f>IF(COUNTIF(CAPA3_EXPANSION!$D$56:AI$56,"&gt;="&amp;4)=0,0,SUP_CONTROL!$C$8*IF($B11="V",1,IF($B11="D",(1+SUP_VOLUMEN!$C$26),(1+SUP_VOLUMEN!$C$27)))*INDEX(SUP_C3_EXPANSION!$C$6:$F$6,MIN(4,COUNTIF(CAPA3_EXPANSION!$D$56:AI$56,"&gt;="&amp;4)))*CAPA3_EXPANSION!AI$36)</f>
        <v>4245.7870000000003</v>
      </c>
      <c r="AJ11" s="88">
        <f>IF(COUNTIF(CAPA3_EXPANSION!$D$56:AJ$56,"&gt;="&amp;4)=0,0,SUP_CONTROL!$C$8*IF($B11="V",1,IF($B11="D",(1+SUP_VOLUMEN!$C$26),(1+SUP_VOLUMEN!$C$27)))*INDEX(SUP_C3_EXPANSION!$C$6:$F$6,MIN(4,COUNTIF(CAPA3_EXPANSION!$D$56:AJ$56,"&gt;="&amp;4)))*CAPA3_EXPANSION!AJ$36)</f>
        <v>4245.7870000000003</v>
      </c>
      <c r="AK11" s="88">
        <f>IF(COUNTIF(CAPA3_EXPANSION!$D$56:AK$56,"&gt;="&amp;4)=0,0,SUP_CONTROL!$C$8*IF($B11="V",1,IF($B11="D",(1+SUP_VOLUMEN!$C$26),(1+SUP_VOLUMEN!$C$27)))*INDEX(SUP_C3_EXPANSION!$C$6:$F$6,MIN(4,COUNTIF(CAPA3_EXPANSION!$D$56:AK$56,"&gt;="&amp;4)))*CAPA3_EXPANSION!AK$36)</f>
        <v>4245.7870000000003</v>
      </c>
      <c r="AL11" s="88">
        <f>IF(COUNTIF(CAPA3_EXPANSION!$D$56:AL$56,"&gt;="&amp;4)=0,0,SUP_CONTROL!$C$8*IF($B11="V",1,IF($B11="D",(1+SUP_VOLUMEN!$C$26),(1+SUP_VOLUMEN!$C$27)))*INDEX(SUP_C3_EXPANSION!$C$6:$F$6,MIN(4,COUNTIF(CAPA3_EXPANSION!$D$56:AL$56,"&gt;="&amp;4)))*CAPA3_EXPANSION!AL$36)</f>
        <v>4136.3595000000005</v>
      </c>
      <c r="AM11" s="88">
        <f>IF(COUNTIF(CAPA3_EXPANSION!$D$56:AM$56,"&gt;="&amp;4)=0,0,SUP_CONTROL!$C$8*IF($B11="V",1,IF($B11="D",(1+SUP_VOLUMEN!$C$26),(1+SUP_VOLUMEN!$C$27)))*INDEX(SUP_C3_EXPANSION!$C$6:$F$6,MIN(4,COUNTIF(CAPA3_EXPANSION!$D$56:AM$56,"&gt;="&amp;4)))*CAPA3_EXPANSION!AM$36)</f>
        <v>4136.3595000000005</v>
      </c>
      <c r="AN11" s="88">
        <f>IF(COUNTIF(CAPA3_EXPANSION!$D$56:AN$56,"&gt;="&amp;4)=0,0,SUP_CONTROL!$C$8*IF($B11="V",1,IF($B11="D",(1+SUP_VOLUMEN!$C$26),(1+SUP_VOLUMEN!$C$27)))*INDEX(SUP_C3_EXPANSION!$C$6:$F$6,MIN(4,COUNTIF(CAPA3_EXPANSION!$D$56:AN$56,"&gt;="&amp;4)))*CAPA3_EXPANSION!AN$36)</f>
        <v>4136.3595000000005</v>
      </c>
      <c r="AO11" s="88">
        <f>IF(COUNTIF(CAPA3_EXPANSION!$D$56:AO$56,"&gt;="&amp;4)=0,0,SUP_CONTROL!$C$8*IF($B11="V",1,IF($B11="D",(1+SUP_VOLUMEN!$C$26),(1+SUP_VOLUMEN!$C$27)))*INDEX(SUP_C3_EXPANSION!$C$6:$F$6,MIN(4,COUNTIF(CAPA3_EXPANSION!$D$56:AO$56,"&gt;="&amp;4)))*CAPA3_EXPANSION!AO$36)</f>
        <v>4136.3595000000005</v>
      </c>
      <c r="AP11" s="88">
        <f>IF(COUNTIF(CAPA3_EXPANSION!$D$56:AP$56,"&gt;="&amp;4)=0,0,SUP_CONTROL!$C$8*IF($B11="V",1,IF($B11="D",(1+SUP_VOLUMEN!$C$26),(1+SUP_VOLUMEN!$C$27)))*INDEX(SUP_C3_EXPANSION!$C$6:$F$6,MIN(4,COUNTIF(CAPA3_EXPANSION!$D$56:AP$56,"&gt;="&amp;4)))*CAPA3_EXPANSION!AP$36)</f>
        <v>4136.3595000000005</v>
      </c>
      <c r="AQ11" s="88">
        <f>IF(COUNTIF(CAPA3_EXPANSION!$D$56:AQ$56,"&gt;="&amp;4)=0,0,SUP_CONTROL!$C$8*IF($B11="V",1,IF($B11="D",(1+SUP_VOLUMEN!$C$26),(1+SUP_VOLUMEN!$C$27)))*INDEX(SUP_C3_EXPANSION!$C$6:$F$6,MIN(4,COUNTIF(CAPA3_EXPANSION!$D$56:AQ$56,"&gt;="&amp;4)))*CAPA3_EXPANSION!AQ$36)</f>
        <v>4136.3595000000005</v>
      </c>
      <c r="AR11" s="88">
        <f>IF(COUNTIF(CAPA3_EXPANSION!$D$56:AR$56,"&gt;="&amp;4)=0,0,SUP_CONTROL!$C$8*IF($B11="V",1,IF($B11="D",(1+SUP_VOLUMEN!$C$26),(1+SUP_VOLUMEN!$C$27)))*INDEX(SUP_C3_EXPANSION!$C$6:$F$6,MIN(4,COUNTIF(CAPA3_EXPANSION!$D$56:AR$56,"&gt;="&amp;4)))*CAPA3_EXPANSION!AR$36)</f>
        <v>4136.3595000000005</v>
      </c>
      <c r="AS11" s="88">
        <f>IF(COUNTIF(CAPA3_EXPANSION!$D$56:AS$56,"&gt;="&amp;4)=0,0,SUP_CONTROL!$C$8*IF($B11="V",1,IF($B11="D",(1+SUP_VOLUMEN!$C$26),(1+SUP_VOLUMEN!$C$27)))*INDEX(SUP_C3_EXPANSION!$C$6:$F$6,MIN(4,COUNTIF(CAPA3_EXPANSION!$D$56:AS$56,"&gt;="&amp;4)))*CAPA3_EXPANSION!AS$36)</f>
        <v>4136.3595000000005</v>
      </c>
      <c r="AT11" s="88">
        <f>IF(COUNTIF(CAPA3_EXPANSION!$D$56:AT$56,"&gt;="&amp;4)=0,0,SUP_CONTROL!$C$8*IF($B11="V",1,IF($B11="D",(1+SUP_VOLUMEN!$C$26),(1+SUP_VOLUMEN!$C$27)))*INDEX(SUP_C3_EXPANSION!$C$6:$F$6,MIN(4,COUNTIF(CAPA3_EXPANSION!$D$56:AT$56,"&gt;="&amp;4)))*CAPA3_EXPANSION!AT$36)</f>
        <v>4136.3595000000005</v>
      </c>
      <c r="AU11" s="88">
        <f>IF(COUNTIF(CAPA3_EXPANSION!$D$56:AU$56,"&gt;="&amp;4)=0,0,SUP_CONTROL!$C$8*IF($B11="V",1,IF($B11="D",(1+SUP_VOLUMEN!$C$26),(1+SUP_VOLUMEN!$C$27)))*INDEX(SUP_C3_EXPANSION!$C$6:$F$6,MIN(4,COUNTIF(CAPA3_EXPANSION!$D$56:AU$56,"&gt;="&amp;4)))*CAPA3_EXPANSION!AU$36)</f>
        <v>4136.3595000000005</v>
      </c>
      <c r="AV11" s="88">
        <f>IF(COUNTIF(CAPA3_EXPANSION!$D$56:AV$56,"&gt;="&amp;4)=0,0,SUP_CONTROL!$C$8*IF($B11="V",1,IF($B11="D",(1+SUP_VOLUMEN!$C$26),(1+SUP_VOLUMEN!$C$27)))*INDEX(SUP_C3_EXPANSION!$C$6:$F$6,MIN(4,COUNTIF(CAPA3_EXPANSION!$D$56:AV$56,"&gt;="&amp;4)))*CAPA3_EXPANSION!AV$36)</f>
        <v>4136.3595000000005</v>
      </c>
      <c r="AW11" s="88">
        <f>IF(COUNTIF(CAPA3_EXPANSION!$D$56:AW$56,"&gt;="&amp;4)=0,0,SUP_CONTROL!$C$8*IF($B11="V",1,IF($B11="D",(1+SUP_VOLUMEN!$C$26),(1+SUP_VOLUMEN!$C$27)))*INDEX(SUP_C3_EXPANSION!$C$6:$F$6,MIN(4,COUNTIF(CAPA3_EXPANSION!$D$56:AW$56,"&gt;="&amp;4)))*CAPA3_EXPANSION!AW$36)</f>
        <v>4136.3595000000005</v>
      </c>
      <c r="AX11" s="88">
        <f>IF(COUNTIF(CAPA3_EXPANSION!$D$56:AX$56,"&gt;="&amp;4)=0,0,SUP_CONTROL!$C$8*IF($B11="V",1,IF($B11="D",(1+SUP_VOLUMEN!$C$26),(1+SUP_VOLUMEN!$C$27)))*INDEX(SUP_C3_EXPANSION!$C$6:$F$6,MIN(4,COUNTIF(CAPA3_EXPANSION!$D$56:AX$56,"&gt;="&amp;4)))*CAPA3_EXPANSION!AX$36)</f>
        <v>4136.3595000000005</v>
      </c>
      <c r="AY11" s="88">
        <f>IF(COUNTIF(CAPA3_EXPANSION!$D$56:AY$56,"&gt;="&amp;4)=0,0,SUP_CONTROL!$C$8*IF($B11="V",1,IF($B11="D",(1+SUP_VOLUMEN!$C$26),(1+SUP_VOLUMEN!$C$27)))*INDEX(SUP_C3_EXPANSION!$C$6:$F$6,MIN(4,COUNTIF(CAPA3_EXPANSION!$D$56:AY$56,"&gt;="&amp;4)))*CAPA3_EXPANSION!AY$36)</f>
        <v>4136.3595000000005</v>
      </c>
      <c r="AZ11" s="88">
        <f>IF(COUNTIF(CAPA3_EXPANSION!$D$56:AZ$56,"&gt;="&amp;4)=0,0,SUP_CONTROL!$C$8*IF($B11="V",1,IF($B11="D",(1+SUP_VOLUMEN!$C$26),(1+SUP_VOLUMEN!$C$27)))*INDEX(SUP_C3_EXPANSION!$C$6:$F$6,MIN(4,COUNTIF(CAPA3_EXPANSION!$D$56:AZ$56,"&gt;="&amp;4)))*CAPA3_EXPANSION!AZ$36)</f>
        <v>4136.3595000000005</v>
      </c>
      <c r="BA11" s="88">
        <f>IF(COUNTIF(CAPA3_EXPANSION!$D$56:BA$56,"&gt;="&amp;4)=0,0,SUP_CONTROL!$C$8*IF($B11="V",1,IF($B11="D",(1+SUP_VOLUMEN!$C$26),(1+SUP_VOLUMEN!$C$27)))*INDEX(SUP_C3_EXPANSION!$C$6:$F$6,MIN(4,COUNTIF(CAPA3_EXPANSION!$D$56:BA$56,"&gt;="&amp;4)))*CAPA3_EXPANSION!BA$36)</f>
        <v>4026.9320000000007</v>
      </c>
      <c r="BB11" s="88">
        <f>IF(COUNTIF(CAPA3_EXPANSION!$D$56:BB$56,"&gt;="&amp;4)=0,0,SUP_CONTROL!$C$8*IF($B11="V",1,IF($B11="D",(1+SUP_VOLUMEN!$C$26),(1+SUP_VOLUMEN!$C$27)))*INDEX(SUP_C3_EXPANSION!$C$6:$F$6,MIN(4,COUNTIF(CAPA3_EXPANSION!$D$56:BB$56,"&gt;="&amp;4)))*CAPA3_EXPANSION!BB$36)</f>
        <v>4026.9320000000007</v>
      </c>
      <c r="BC11" s="88">
        <f>IF(COUNTIF(CAPA3_EXPANSION!$D$56:BC$56,"&gt;="&amp;4)=0,0,SUP_CONTROL!$C$8*IF($B11="V",1,IF($B11="D",(1+SUP_VOLUMEN!$C$26),(1+SUP_VOLUMEN!$C$27)))*INDEX(SUP_C3_EXPANSION!$C$6:$F$6,MIN(4,COUNTIF(CAPA3_EXPANSION!$D$56:BC$56,"&gt;="&amp;4)))*CAPA3_EXPANSION!BC$36)</f>
        <v>4026.9320000000007</v>
      </c>
      <c r="BD11" s="88">
        <f>IF(COUNTIF(CAPA3_EXPANSION!$D$56:BD$56,"&gt;="&amp;4)=0,0,SUP_CONTROL!$C$8*IF($B11="V",1,IF($B11="D",(1+SUP_VOLUMEN!$C$26),(1+SUP_VOLUMEN!$C$27)))*INDEX(SUP_C3_EXPANSION!$C$6:$F$6,MIN(4,COUNTIF(CAPA3_EXPANSION!$D$56:BD$56,"&gt;="&amp;4)))*CAPA3_EXPANSION!BD$36)</f>
        <v>4026.9320000000007</v>
      </c>
      <c r="BE11" s="88">
        <f>IF(COUNTIF(CAPA3_EXPANSION!$D$56:BE$56,"&gt;="&amp;4)=0,0,SUP_CONTROL!$C$8*IF($B11="V",1,IF($B11="D",(1+SUP_VOLUMEN!$C$26),(1+SUP_VOLUMEN!$C$27)))*INDEX(SUP_C3_EXPANSION!$C$6:$F$6,MIN(4,COUNTIF(CAPA3_EXPANSION!$D$56:BE$56,"&gt;="&amp;4)))*CAPA3_EXPANSION!BE$36)</f>
        <v>4026.9320000000007</v>
      </c>
      <c r="BF11" s="88">
        <f>IF(COUNTIF(CAPA3_EXPANSION!$D$56:BF$56,"&gt;="&amp;4)=0,0,SUP_CONTROL!$C$8*IF($B11="V",1,IF($B11="D",(1+SUP_VOLUMEN!$C$26),(1+SUP_VOLUMEN!$C$27)))*INDEX(SUP_C3_EXPANSION!$C$6:$F$6,MIN(4,COUNTIF(CAPA3_EXPANSION!$D$56:BF$56,"&gt;="&amp;4)))*CAPA3_EXPANSION!BF$36)</f>
        <v>3939.3900000000003</v>
      </c>
      <c r="BG11" s="88">
        <f>IF(COUNTIF(CAPA3_EXPANSION!$D$56:BG$56,"&gt;="&amp;4)=0,0,SUP_CONTROL!$C$8*IF($B11="V",1,IF($B11="D",(1+SUP_VOLUMEN!$C$26),(1+SUP_VOLUMEN!$C$27)))*INDEX(SUP_C3_EXPANSION!$C$6:$F$6,MIN(4,COUNTIF(CAPA3_EXPANSION!$D$56:BG$56,"&gt;="&amp;4)))*CAPA3_EXPANSION!BG$36)</f>
        <v>3939.3900000000003</v>
      </c>
      <c r="BH11" s="88">
        <f>IF(COUNTIF(CAPA3_EXPANSION!$D$56:BH$56,"&gt;="&amp;4)=0,0,SUP_CONTROL!$C$8*IF($B11="V",1,IF($B11="D",(1+SUP_VOLUMEN!$C$26),(1+SUP_VOLUMEN!$C$27)))*INDEX(SUP_C3_EXPANSION!$C$6:$F$6,MIN(4,COUNTIF(CAPA3_EXPANSION!$D$56:BH$56,"&gt;="&amp;4)))*CAPA3_EXPANSION!BH$36)</f>
        <v>3939.3900000000003</v>
      </c>
      <c r="BI11" s="88">
        <f>IF(COUNTIF(CAPA3_EXPANSION!$D$56:BI$56,"&gt;="&amp;4)=0,0,SUP_CONTROL!$C$8*IF($B11="V",1,IF($B11="D",(1+SUP_VOLUMEN!$C$26),(1+SUP_VOLUMEN!$C$27)))*INDEX(SUP_C3_EXPANSION!$C$6:$F$6,MIN(4,COUNTIF(CAPA3_EXPANSION!$D$56:BI$56,"&gt;="&amp;4)))*CAPA3_EXPANSION!BI$36)</f>
        <v>3939.3900000000003</v>
      </c>
      <c r="BJ11" s="88">
        <f>IF(COUNTIF(CAPA3_EXPANSION!$D$56:BJ$56,"&gt;="&amp;4)=0,0,SUP_CONTROL!$C$8*IF($B11="V",1,IF($B11="D",(1+SUP_VOLUMEN!$C$26),(1+SUP_VOLUMEN!$C$27)))*INDEX(SUP_C3_EXPANSION!$C$6:$F$6,MIN(4,COUNTIF(CAPA3_EXPANSION!$D$56:BJ$56,"&gt;="&amp;4)))*CAPA3_EXPANSION!BJ$36)</f>
        <v>3939.3900000000003</v>
      </c>
      <c r="BK11" s="88">
        <f>IF(COUNTIF(CAPA3_EXPANSION!$D$56:BK$56,"&gt;="&amp;4)=0,0,SUP_CONTROL!$C$8*IF($B11="V",1,IF($B11="D",(1+SUP_VOLUMEN!$C$26),(1+SUP_VOLUMEN!$C$27)))*INDEX(SUP_C3_EXPANSION!$C$6:$F$6,MIN(4,COUNTIF(CAPA3_EXPANSION!$D$56:BK$56,"&gt;="&amp;4)))*CAPA3_EXPANSION!BK$36)</f>
        <v>3851.8480000000004</v>
      </c>
      <c r="BL11" s="88">
        <f>IF(COUNTIF(CAPA3_EXPANSION!$D$56:BL$56,"&gt;="&amp;4)=0,0,SUP_CONTROL!$C$8*IF($B11="V",1,IF($B11="D",(1+SUP_VOLUMEN!$C$26),(1+SUP_VOLUMEN!$C$27)))*INDEX(SUP_C3_EXPANSION!$C$6:$F$6,MIN(4,COUNTIF(CAPA3_EXPANSION!$D$56:BL$56,"&gt;="&amp;4)))*CAPA3_EXPANSION!BL$36)</f>
        <v>3851.8480000000004</v>
      </c>
      <c r="BM11" s="88">
        <f>IF(COUNTIF(CAPA3_EXPANSION!$D$56:BM$56,"&gt;="&amp;4)=0,0,SUP_CONTROL!$C$8*IF($B11="V",1,IF($B11="D",(1+SUP_VOLUMEN!$C$26),(1+SUP_VOLUMEN!$C$27)))*INDEX(SUP_C3_EXPANSION!$C$6:$F$6,MIN(4,COUNTIF(CAPA3_EXPANSION!$D$56:BM$56,"&gt;="&amp;4)))*CAPA3_EXPANSION!BM$36)</f>
        <v>3851.8480000000004</v>
      </c>
      <c r="BN11" s="88">
        <f>IF(COUNTIF(CAPA3_EXPANSION!$D$56:BN$56,"&gt;="&amp;4)=0,0,SUP_CONTROL!$C$8*IF($B11="V",1,IF($B11="D",(1+SUP_VOLUMEN!$C$26),(1+SUP_VOLUMEN!$C$27)))*INDEX(SUP_C3_EXPANSION!$C$6:$F$6,MIN(4,COUNTIF(CAPA3_EXPANSION!$D$56:BN$56,"&gt;="&amp;4)))*CAPA3_EXPANSION!BN$36)</f>
        <v>3851.8480000000004</v>
      </c>
      <c r="BO11" s="88">
        <f>IF(COUNTIF(CAPA3_EXPANSION!$D$56:BO$56,"&gt;="&amp;4)=0,0,SUP_CONTROL!$C$8*IF($B11="V",1,IF($B11="D",(1+SUP_VOLUMEN!$C$26),(1+SUP_VOLUMEN!$C$27)))*INDEX(SUP_C3_EXPANSION!$C$6:$F$6,MIN(4,COUNTIF(CAPA3_EXPANSION!$D$56:BO$56,"&gt;="&amp;4)))*CAPA3_EXPANSION!BO$36)</f>
        <v>3851.8480000000004</v>
      </c>
      <c r="BP11" s="88">
        <f>IF(COUNTIF(CAPA3_EXPANSION!$D$56:BP$56,"&gt;="&amp;4)=0,0,SUP_CONTROL!$C$8*IF($B11="V",1,IF($B11="D",(1+SUP_VOLUMEN!$C$26),(1+SUP_VOLUMEN!$C$27)))*INDEX(SUP_C3_EXPANSION!$C$6:$F$6,MIN(4,COUNTIF(CAPA3_EXPANSION!$D$56:BP$56,"&gt;="&amp;4)))*CAPA3_EXPANSION!BP$36)</f>
        <v>3786.1915000000004</v>
      </c>
      <c r="BQ11" s="88">
        <f>IF(COUNTIF(CAPA3_EXPANSION!$D$56:BQ$56,"&gt;="&amp;4)=0,0,SUP_CONTROL!$C$8*IF($B11="V",1,IF($B11="D",(1+SUP_VOLUMEN!$C$26),(1+SUP_VOLUMEN!$C$27)))*INDEX(SUP_C3_EXPANSION!$C$6:$F$6,MIN(4,COUNTIF(CAPA3_EXPANSION!$D$56:BQ$56,"&gt;="&amp;4)))*CAPA3_EXPANSION!BQ$36)</f>
        <v>3786.1915000000004</v>
      </c>
      <c r="BR11" s="88">
        <f>IF(COUNTIF(CAPA3_EXPANSION!$D$56:BR$56,"&gt;="&amp;4)=0,0,SUP_CONTROL!$C$8*IF($B11="V",1,IF($B11="D",(1+SUP_VOLUMEN!$C$26),(1+SUP_VOLUMEN!$C$27)))*INDEX(SUP_C3_EXPANSION!$C$6:$F$6,MIN(4,COUNTIF(CAPA3_EXPANSION!$D$56:BR$56,"&gt;="&amp;4)))*CAPA3_EXPANSION!BR$36)</f>
        <v>3786.1915000000004</v>
      </c>
      <c r="BS11" s="88">
        <f>IF(COUNTIF(CAPA3_EXPANSION!$D$56:BS$56,"&gt;="&amp;4)=0,0,SUP_CONTROL!$C$8*IF($B11="V",1,IF($B11="D",(1+SUP_VOLUMEN!$C$26),(1+SUP_VOLUMEN!$C$27)))*INDEX(SUP_C3_EXPANSION!$C$6:$F$6,MIN(4,COUNTIF(CAPA3_EXPANSION!$D$56:BS$56,"&gt;="&amp;4)))*CAPA3_EXPANSION!BS$36)</f>
        <v>3786.1915000000004</v>
      </c>
      <c r="BT11" s="88">
        <f>IF(COUNTIF(CAPA3_EXPANSION!$D$56:BT$56,"&gt;="&amp;4)=0,0,SUP_CONTROL!$C$8*IF($B11="V",1,IF($B11="D",(1+SUP_VOLUMEN!$C$26),(1+SUP_VOLUMEN!$C$27)))*INDEX(SUP_C3_EXPANSION!$C$6:$F$6,MIN(4,COUNTIF(CAPA3_EXPANSION!$D$56:BT$56,"&gt;="&amp;4)))*CAPA3_EXPANSION!BT$36)</f>
        <v>3786.1915000000004</v>
      </c>
      <c r="BU11" s="88">
        <f>IF(COUNTIF(CAPA3_EXPANSION!$D$56:BU$56,"&gt;="&amp;4)=0,0,SUP_CONTROL!$C$8*IF($B11="V",1,IF($B11="D",(1+SUP_VOLUMEN!$C$26),(1+SUP_VOLUMEN!$C$27)))*INDEX(SUP_C3_EXPANSION!$C$6:$F$6,MIN(4,COUNTIF(CAPA3_EXPANSION!$D$56:BU$56,"&gt;="&amp;4)))*CAPA3_EXPANSION!BU$36)</f>
        <v>3720.5350000000003</v>
      </c>
      <c r="BV11" s="88">
        <f>IF(COUNTIF(CAPA3_EXPANSION!$D$56:BV$56,"&gt;="&amp;4)=0,0,SUP_CONTROL!$C$8*IF($B11="V",1,IF($B11="D",(1+SUP_VOLUMEN!$C$26),(1+SUP_VOLUMEN!$C$27)))*INDEX(SUP_C3_EXPANSION!$C$6:$F$6,MIN(4,COUNTIF(CAPA3_EXPANSION!$D$56:BV$56,"&gt;="&amp;4)))*CAPA3_EXPANSION!BV$36)</f>
        <v>3720.5350000000003</v>
      </c>
      <c r="BW11" s="88">
        <f>IF(COUNTIF(CAPA3_EXPANSION!$D$56:BW$56,"&gt;="&amp;4)=0,0,SUP_CONTROL!$C$8*IF($B11="V",1,IF($B11="D",(1+SUP_VOLUMEN!$C$26),(1+SUP_VOLUMEN!$C$27)))*INDEX(SUP_C3_EXPANSION!$C$6:$F$6,MIN(4,COUNTIF(CAPA3_EXPANSION!$D$56:BW$56,"&gt;="&amp;4)))*CAPA3_EXPANSION!BW$36)</f>
        <v>3720.5350000000003</v>
      </c>
      <c r="BX11" s="88">
        <f>IF(COUNTIF(CAPA3_EXPANSION!$D$56:BX$56,"&gt;="&amp;4)=0,0,SUP_CONTROL!$C$8*IF($B11="V",1,IF($B11="D",(1+SUP_VOLUMEN!$C$26),(1+SUP_VOLUMEN!$C$27)))*INDEX(SUP_C3_EXPANSION!$C$6:$F$6,MIN(4,COUNTIF(CAPA3_EXPANSION!$D$56:BX$56,"&gt;="&amp;4)))*CAPA3_EXPANSION!BX$36)</f>
        <v>3720.5350000000003</v>
      </c>
      <c r="BY11" s="88">
        <f>IF(COUNTIF(CAPA3_EXPANSION!$D$56:BY$56,"&gt;="&amp;4)=0,0,SUP_CONTROL!$C$8*IF($B11="V",1,IF($B11="D",(1+SUP_VOLUMEN!$C$26),(1+SUP_VOLUMEN!$C$27)))*INDEX(SUP_C3_EXPANSION!$C$6:$F$6,MIN(4,COUNTIF(CAPA3_EXPANSION!$D$56:BY$56,"&gt;="&amp;4)))*CAPA3_EXPANSION!BY$36)</f>
        <v>3720.5350000000003</v>
      </c>
      <c r="BZ11" s="88">
        <f>IF(COUNTIF(CAPA3_EXPANSION!$D$56:BZ$56,"&gt;="&amp;4)=0,0,SUP_CONTROL!$C$8*IF($B11="V",1,IF($B11="D",(1+SUP_VOLUMEN!$C$26),(1+SUP_VOLUMEN!$C$27)))*INDEX(SUP_C3_EXPANSION!$C$6:$F$6,MIN(4,COUNTIF(CAPA3_EXPANSION!$D$56:BZ$56,"&gt;="&amp;4)))*CAPA3_EXPANSION!BZ$36)</f>
        <v>3676.7640000000001</v>
      </c>
      <c r="CA11" s="88">
        <f>IF(COUNTIF(CAPA3_EXPANSION!$D$56:CA$56,"&gt;="&amp;4)=0,0,SUP_CONTROL!$C$8*IF($B11="V",1,IF($B11="D",(1+SUP_VOLUMEN!$C$26),(1+SUP_VOLUMEN!$C$27)))*INDEX(SUP_C3_EXPANSION!$C$6:$F$6,MIN(4,COUNTIF(CAPA3_EXPANSION!$D$56:CA$56,"&gt;="&amp;4)))*CAPA3_EXPANSION!CA$36)</f>
        <v>3676.7640000000001</v>
      </c>
      <c r="CB11" s="88">
        <f>IF(COUNTIF(CAPA3_EXPANSION!$D$56:CB$56,"&gt;="&amp;4)=0,0,SUP_CONTROL!$C$8*IF($B11="V",1,IF($B11="D",(1+SUP_VOLUMEN!$C$26),(1+SUP_VOLUMEN!$C$27)))*INDEX(SUP_C3_EXPANSION!$C$6:$F$6,MIN(4,COUNTIF(CAPA3_EXPANSION!$D$56:CB$56,"&gt;="&amp;4)))*CAPA3_EXPANSION!CB$36)</f>
        <v>3676.7640000000001</v>
      </c>
      <c r="CC11" s="88">
        <f>IF(COUNTIF(CAPA3_EXPANSION!$D$56:CC$56,"&gt;="&amp;4)=0,0,SUP_CONTROL!$C$8*IF($B11="V",1,IF($B11="D",(1+SUP_VOLUMEN!$C$26),(1+SUP_VOLUMEN!$C$27)))*INDEX(SUP_C3_EXPANSION!$C$6:$F$6,MIN(4,COUNTIF(CAPA3_EXPANSION!$D$56:CC$56,"&gt;="&amp;4)))*CAPA3_EXPANSION!CC$36)</f>
        <v>3676.7640000000001</v>
      </c>
      <c r="CD11" s="88">
        <f>IF(COUNTIF(CAPA3_EXPANSION!$D$56:CD$56,"&gt;="&amp;4)=0,0,SUP_CONTROL!$C$8*IF($B11="V",1,IF($B11="D",(1+SUP_VOLUMEN!$C$26),(1+SUP_VOLUMEN!$C$27)))*INDEX(SUP_C3_EXPANSION!$C$6:$F$6,MIN(4,COUNTIF(CAPA3_EXPANSION!$D$56:CD$56,"&gt;="&amp;4)))*CAPA3_EXPANSION!CD$36)</f>
        <v>3676.7640000000001</v>
      </c>
      <c r="CE11" s="88">
        <f>IF(COUNTIF(CAPA3_EXPANSION!$D$56:CE$56,"&gt;="&amp;4)=0,0,SUP_CONTROL!$C$8*IF($B11="V",1,IF($B11="D",(1+SUP_VOLUMEN!$C$26),(1+SUP_VOLUMEN!$C$27)))*INDEX(SUP_C3_EXPANSION!$C$6:$F$6,MIN(4,COUNTIF(CAPA3_EXPANSION!$D$56:CE$56,"&gt;="&amp;4)))*CAPA3_EXPANSION!CE$36)</f>
        <v>3676.7640000000001</v>
      </c>
      <c r="CF11" s="88">
        <f>IF(COUNTIF(CAPA3_EXPANSION!$D$56:CF$56,"&gt;="&amp;4)=0,0,SUP_CONTROL!$C$8*IF($B11="V",1,IF($B11="D",(1+SUP_VOLUMEN!$C$26),(1+SUP_VOLUMEN!$C$27)))*INDEX(SUP_C3_EXPANSION!$C$6:$F$6,MIN(4,COUNTIF(CAPA3_EXPANSION!$D$56:CF$56,"&gt;="&amp;4)))*CAPA3_EXPANSION!CF$36)</f>
        <v>3676.7640000000001</v>
      </c>
      <c r="CG11" s="88">
        <f>IF(COUNTIF(CAPA3_EXPANSION!$D$56:CG$56,"&gt;="&amp;4)=0,0,SUP_CONTROL!$C$8*IF($B11="V",1,IF($B11="D",(1+SUP_VOLUMEN!$C$26),(1+SUP_VOLUMEN!$C$27)))*INDEX(SUP_C3_EXPANSION!$C$6:$F$6,MIN(4,COUNTIF(CAPA3_EXPANSION!$D$56:CG$56,"&gt;="&amp;4)))*CAPA3_EXPANSION!CG$36)</f>
        <v>3676.7640000000001</v>
      </c>
      <c r="CH11" s="88">
        <f>IF(COUNTIF(CAPA3_EXPANSION!$D$56:CH$56,"&gt;="&amp;4)=0,0,SUP_CONTROL!$C$8*IF($B11="V",1,IF($B11="D",(1+SUP_VOLUMEN!$C$26),(1+SUP_VOLUMEN!$C$27)))*INDEX(SUP_C3_EXPANSION!$C$6:$F$6,MIN(4,COUNTIF(CAPA3_EXPANSION!$D$56:CH$56,"&gt;="&amp;4)))*CAPA3_EXPANSION!CH$36)</f>
        <v>3676.7640000000001</v>
      </c>
      <c r="CI11" s="88">
        <f>IF(COUNTIF(CAPA3_EXPANSION!$D$56:CI$56,"&gt;="&amp;4)=0,0,SUP_CONTROL!$C$8*IF($B11="V",1,IF($B11="D",(1+SUP_VOLUMEN!$C$26),(1+SUP_VOLUMEN!$C$27)))*INDEX(SUP_C3_EXPANSION!$C$6:$F$6,MIN(4,COUNTIF(CAPA3_EXPANSION!$D$56:CI$56,"&gt;="&amp;4)))*CAPA3_EXPANSION!CI$36)</f>
        <v>3676.7640000000001</v>
      </c>
      <c r="CJ11" s="88">
        <f>IF(COUNTIF(CAPA3_EXPANSION!$D$56:CJ$56,"&gt;="&amp;4)=0,0,SUP_CONTROL!$C$8*IF($B11="V",1,IF($B11="D",(1+SUP_VOLUMEN!$C$26),(1+SUP_VOLUMEN!$C$27)))*INDEX(SUP_C3_EXPANSION!$C$6:$F$6,MIN(4,COUNTIF(CAPA3_EXPANSION!$D$56:CJ$56,"&gt;="&amp;4)))*CAPA3_EXPANSION!CJ$36)</f>
        <v>3676.7640000000001</v>
      </c>
      <c r="CK11" s="88">
        <f>IF(COUNTIF(CAPA3_EXPANSION!$D$56:CK$56,"&gt;="&amp;4)=0,0,SUP_CONTROL!$C$8*IF($B11="V",1,IF($B11="D",(1+SUP_VOLUMEN!$C$26),(1+SUP_VOLUMEN!$C$27)))*INDEX(SUP_C3_EXPANSION!$C$6:$F$6,MIN(4,COUNTIF(CAPA3_EXPANSION!$D$56:CK$56,"&gt;="&amp;4)))*CAPA3_EXPANSION!CK$36)</f>
        <v>3676.7640000000001</v>
      </c>
      <c r="CL11" s="88">
        <f>IF(COUNTIF(CAPA3_EXPANSION!$D$56:CL$56,"&gt;="&amp;4)=0,0,SUP_CONTROL!$C$8*IF($B11="V",1,IF($B11="D",(1+SUP_VOLUMEN!$C$26),(1+SUP_VOLUMEN!$C$27)))*INDEX(SUP_C3_EXPANSION!$C$6:$F$6,MIN(4,COUNTIF(CAPA3_EXPANSION!$D$56:CL$56,"&gt;="&amp;4)))*CAPA3_EXPANSION!CL$36)</f>
        <v>3676.7640000000001</v>
      </c>
      <c r="CM11" s="88">
        <f>IF(COUNTIF(CAPA3_EXPANSION!$D$56:CM$56,"&gt;="&amp;4)=0,0,SUP_CONTROL!$C$8*IF($B11="V",1,IF($B11="D",(1+SUP_VOLUMEN!$C$26),(1+SUP_VOLUMEN!$C$27)))*INDEX(SUP_C3_EXPANSION!$C$6:$F$6,MIN(4,COUNTIF(CAPA3_EXPANSION!$D$56:CM$56,"&gt;="&amp;4)))*CAPA3_EXPANSION!CM$36)</f>
        <v>3676.7640000000001</v>
      </c>
      <c r="CN11" s="88">
        <f>IF(COUNTIF(CAPA3_EXPANSION!$D$56:CN$56,"&gt;="&amp;4)=0,0,SUP_CONTROL!$C$8*IF($B11="V",1,IF($B11="D",(1+SUP_VOLUMEN!$C$26),(1+SUP_VOLUMEN!$C$27)))*INDEX(SUP_C3_EXPANSION!$C$6:$F$6,MIN(4,COUNTIF(CAPA3_EXPANSION!$D$56:CN$56,"&gt;="&amp;4)))*CAPA3_EXPANSION!CN$36)</f>
        <v>3676.7640000000001</v>
      </c>
      <c r="CO11" s="88">
        <f>IF(COUNTIF(CAPA3_EXPANSION!$D$56:CO$56,"&gt;="&amp;4)=0,0,SUP_CONTROL!$C$8*IF($B11="V",1,IF($B11="D",(1+SUP_VOLUMEN!$C$26),(1+SUP_VOLUMEN!$C$27)))*INDEX(SUP_C3_EXPANSION!$C$6:$F$6,MIN(4,COUNTIF(CAPA3_EXPANSION!$D$56:CO$56,"&gt;="&amp;4)))*CAPA3_EXPANSION!CO$36)</f>
        <v>3676.7640000000001</v>
      </c>
      <c r="CP11" s="88">
        <f>IF(COUNTIF(CAPA3_EXPANSION!$D$56:CP$56,"&gt;="&amp;4)=0,0,SUP_CONTROL!$C$8*IF($B11="V",1,IF($B11="D",(1+SUP_VOLUMEN!$C$26),(1+SUP_VOLUMEN!$C$27)))*INDEX(SUP_C3_EXPANSION!$C$6:$F$6,MIN(4,COUNTIF(CAPA3_EXPANSION!$D$56:CP$56,"&gt;="&amp;4)))*CAPA3_EXPANSION!CP$36)</f>
        <v>3676.7640000000001</v>
      </c>
      <c r="CQ11" s="88">
        <f>IF(COUNTIF(CAPA3_EXPANSION!$D$56:CQ$56,"&gt;="&amp;4)=0,0,SUP_CONTROL!$C$8*IF($B11="V",1,IF($B11="D",(1+SUP_VOLUMEN!$C$26),(1+SUP_VOLUMEN!$C$27)))*INDEX(SUP_C3_EXPANSION!$C$6:$F$6,MIN(4,COUNTIF(CAPA3_EXPANSION!$D$56:CQ$56,"&gt;="&amp;4)))*CAPA3_EXPANSION!CQ$36)</f>
        <v>3676.7640000000001</v>
      </c>
      <c r="CR11" s="88">
        <f>IF(COUNTIF(CAPA3_EXPANSION!$D$56:CR$56,"&gt;="&amp;4)=0,0,SUP_CONTROL!$C$8*IF($B11="V",1,IF($B11="D",(1+SUP_VOLUMEN!$C$26),(1+SUP_VOLUMEN!$C$27)))*INDEX(SUP_C3_EXPANSION!$C$6:$F$6,MIN(4,COUNTIF(CAPA3_EXPANSION!$D$56:CR$56,"&gt;="&amp;4)))*CAPA3_EXPANSION!CR$36)</f>
        <v>3676.7640000000001</v>
      </c>
      <c r="CS11" s="88">
        <f>IF(COUNTIF(CAPA3_EXPANSION!$D$56:CS$56,"&gt;="&amp;4)=0,0,SUP_CONTROL!$C$8*IF($B11="V",1,IF($B11="D",(1+SUP_VOLUMEN!$C$26),(1+SUP_VOLUMEN!$C$27)))*INDEX(SUP_C3_EXPANSION!$C$6:$F$6,MIN(4,COUNTIF(CAPA3_EXPANSION!$D$56:CS$56,"&gt;="&amp;4)))*CAPA3_EXPANSION!CS$36)</f>
        <v>3676.7640000000001</v>
      </c>
      <c r="CT11" s="88">
        <f>IF(COUNTIF(CAPA3_EXPANSION!$D$56:CT$56,"&gt;="&amp;4)=0,0,SUP_CONTROL!$C$8*IF($B11="V",1,IF($B11="D",(1+SUP_VOLUMEN!$C$26),(1+SUP_VOLUMEN!$C$27)))*INDEX(SUP_C3_EXPANSION!$C$6:$F$6,MIN(4,COUNTIF(CAPA3_EXPANSION!$D$56:CT$56,"&gt;="&amp;4)))*CAPA3_EXPANSION!CT$36)</f>
        <v>3676.7640000000001</v>
      </c>
      <c r="CU11" s="88">
        <f>IF(COUNTIF(CAPA3_EXPANSION!$D$56:CU$56,"&gt;="&amp;4)=0,0,SUP_CONTROL!$C$8*IF($B11="V",1,IF($B11="D",(1+SUP_VOLUMEN!$C$26),(1+SUP_VOLUMEN!$C$27)))*INDEX(SUP_C3_EXPANSION!$C$6:$F$6,MIN(4,COUNTIF(CAPA3_EXPANSION!$D$56:CU$56,"&gt;="&amp;4)))*CAPA3_EXPANSION!CU$36)</f>
        <v>3676.7640000000001</v>
      </c>
      <c r="CV11" s="88">
        <f>IF(COUNTIF(CAPA3_EXPANSION!$D$56:CV$56,"&gt;="&amp;4)=0,0,SUP_CONTROL!$C$8*IF($B11="V",1,IF($B11="D",(1+SUP_VOLUMEN!$C$26),(1+SUP_VOLUMEN!$C$27)))*INDEX(SUP_C3_EXPANSION!$C$6:$F$6,MIN(4,COUNTIF(CAPA3_EXPANSION!$D$56:CV$56,"&gt;="&amp;4)))*CAPA3_EXPANSION!CV$36)</f>
        <v>3676.7640000000001</v>
      </c>
      <c r="CW11" s="88">
        <f>IF(COUNTIF(CAPA3_EXPANSION!$D$56:CW$56,"&gt;="&amp;4)=0,0,SUP_CONTROL!$C$8*IF($B11="V",1,IF($B11="D",(1+SUP_VOLUMEN!$C$26),(1+SUP_VOLUMEN!$C$27)))*INDEX(SUP_C3_EXPANSION!$C$6:$F$6,MIN(4,COUNTIF(CAPA3_EXPANSION!$D$56:CW$56,"&gt;="&amp;4)))*CAPA3_EXPANSION!CW$36)</f>
        <v>3676.7640000000001</v>
      </c>
      <c r="CX11" s="88">
        <f>IF(COUNTIF(CAPA3_EXPANSION!$D$56:CX$56,"&gt;="&amp;4)=0,0,SUP_CONTROL!$C$8*IF($B11="V",1,IF($B11="D",(1+SUP_VOLUMEN!$C$26),(1+SUP_VOLUMEN!$C$27)))*INDEX(SUP_C3_EXPANSION!$C$6:$F$6,MIN(4,COUNTIF(CAPA3_EXPANSION!$D$56:CX$56,"&gt;="&amp;4)))*CAPA3_EXPANSION!CX$36)</f>
        <v>3676.7640000000001</v>
      </c>
      <c r="CY11" s="88">
        <f>IF(COUNTIF(CAPA3_EXPANSION!$D$56:CY$56,"&gt;="&amp;4)=0,0,SUP_CONTROL!$C$8*IF($B11="V",1,IF($B11="D",(1+SUP_VOLUMEN!$C$26),(1+SUP_VOLUMEN!$C$27)))*INDEX(SUP_C3_EXPANSION!$C$6:$F$6,MIN(4,COUNTIF(CAPA3_EXPANSION!$D$56:CY$56,"&gt;="&amp;4)))*CAPA3_EXPANSION!CY$36)</f>
        <v>3676.7640000000001</v>
      </c>
      <c r="CZ11" s="88">
        <f>IF(COUNTIF(CAPA3_EXPANSION!$D$56:CZ$56,"&gt;="&amp;4)=0,0,SUP_CONTROL!$C$8*IF($B11="V",1,IF($B11="D",(1+SUP_VOLUMEN!$C$26),(1+SUP_VOLUMEN!$C$27)))*INDEX(SUP_C3_EXPANSION!$C$6:$F$6,MIN(4,COUNTIF(CAPA3_EXPANSION!$D$56:CZ$56,"&gt;="&amp;4)))*CAPA3_EXPANSION!CZ$36)</f>
        <v>3676.7640000000001</v>
      </c>
      <c r="DA11" s="88">
        <f>IF(COUNTIF(CAPA3_EXPANSION!$D$56:DA$56,"&gt;="&amp;4)=0,0,SUP_CONTROL!$C$8*IF($B11="V",1,IF($B11="D",(1+SUP_VOLUMEN!$C$26),(1+SUP_VOLUMEN!$C$27)))*INDEX(SUP_C3_EXPANSION!$C$6:$F$6,MIN(4,COUNTIF(CAPA3_EXPANSION!$D$56:DA$56,"&gt;="&amp;4)))*CAPA3_EXPANSION!DA$36)</f>
        <v>3676.7640000000001</v>
      </c>
      <c r="DB11" s="88">
        <f>IF(COUNTIF(CAPA3_EXPANSION!$D$56:DB$56,"&gt;="&amp;4)=0,0,SUP_CONTROL!$C$8*IF($B11="V",1,IF($B11="D",(1+SUP_VOLUMEN!$C$26),(1+SUP_VOLUMEN!$C$27)))*INDEX(SUP_C3_EXPANSION!$C$6:$F$6,MIN(4,COUNTIF(CAPA3_EXPANSION!$D$56:DB$56,"&gt;="&amp;4)))*CAPA3_EXPANSION!DB$36)</f>
        <v>3676.7640000000001</v>
      </c>
      <c r="DC11" s="88">
        <f>IF(COUNTIF(CAPA3_EXPANSION!$D$56:DC$56,"&gt;="&amp;4)=0,0,SUP_CONTROL!$C$8*IF($B11="V",1,IF($B11="D",(1+SUP_VOLUMEN!$C$26),(1+SUP_VOLUMEN!$C$27)))*INDEX(SUP_C3_EXPANSION!$C$6:$F$6,MIN(4,COUNTIF(CAPA3_EXPANSION!$D$56:DC$56,"&gt;="&amp;4)))*CAPA3_EXPANSION!DC$36)</f>
        <v>3676.7640000000001</v>
      </c>
      <c r="DD11" s="88">
        <f>IF(COUNTIF(CAPA3_EXPANSION!$D$56:DD$56,"&gt;="&amp;4)=0,0,SUP_CONTROL!$C$8*IF($B11="V",1,IF($B11="D",(1+SUP_VOLUMEN!$C$26),(1+SUP_VOLUMEN!$C$27)))*INDEX(SUP_C3_EXPANSION!$C$6:$F$6,MIN(4,COUNTIF(CAPA3_EXPANSION!$D$56:DD$56,"&gt;="&amp;4)))*CAPA3_EXPANSION!DD$36)</f>
        <v>3676.7640000000001</v>
      </c>
      <c r="DE11" s="88">
        <f>IF(COUNTIF(CAPA3_EXPANSION!$D$56:DE$56,"&gt;="&amp;4)=0,0,SUP_CONTROL!$C$8*IF($B11="V",1,IF($B11="D",(1+SUP_VOLUMEN!$C$26),(1+SUP_VOLUMEN!$C$27)))*INDEX(SUP_C3_EXPANSION!$C$6:$F$6,MIN(4,COUNTIF(CAPA3_EXPANSION!$D$56:DE$56,"&gt;="&amp;4)))*CAPA3_EXPANSION!DE$36)</f>
        <v>3676.7640000000001</v>
      </c>
      <c r="DF11" s="88">
        <f>IF(COUNTIF(CAPA3_EXPANSION!$D$56:DF$56,"&gt;="&amp;4)=0,0,SUP_CONTROL!$C$8*IF($B11="V",1,IF($B11="D",(1+SUP_VOLUMEN!$C$26),(1+SUP_VOLUMEN!$C$27)))*INDEX(SUP_C3_EXPANSION!$C$6:$F$6,MIN(4,COUNTIF(CAPA3_EXPANSION!$D$56:DF$56,"&gt;="&amp;4)))*CAPA3_EXPANSION!DF$36)</f>
        <v>3676.7640000000001</v>
      </c>
      <c r="DG11" s="88">
        <f>IF(COUNTIF(CAPA3_EXPANSION!$D$56:DG$56,"&gt;="&amp;4)=0,0,SUP_CONTROL!$C$8*IF($B11="V",1,IF($B11="D",(1+SUP_VOLUMEN!$C$26),(1+SUP_VOLUMEN!$C$27)))*INDEX(SUP_C3_EXPANSION!$C$6:$F$6,MIN(4,COUNTIF(CAPA3_EXPANSION!$D$56:DG$56,"&gt;="&amp;4)))*CAPA3_EXPANSION!DG$36)</f>
        <v>3676.7640000000001</v>
      </c>
      <c r="DH11" s="88">
        <f>IF(COUNTIF(CAPA3_EXPANSION!$D$56:DH$56,"&gt;="&amp;4)=0,0,SUP_CONTROL!$C$8*IF($B11="V",1,IF($B11="D",(1+SUP_VOLUMEN!$C$26),(1+SUP_VOLUMEN!$C$27)))*INDEX(SUP_C3_EXPANSION!$C$6:$F$6,MIN(4,COUNTIF(CAPA3_EXPANSION!$D$56:DH$56,"&gt;="&amp;4)))*CAPA3_EXPANSION!DH$36)</f>
        <v>3676.7640000000001</v>
      </c>
      <c r="DI11" s="88">
        <f>IF(COUNTIF(CAPA3_EXPANSION!$D$56:DI$56,"&gt;="&amp;4)=0,0,SUP_CONTROL!$C$8*IF($B11="V",1,IF($B11="D",(1+SUP_VOLUMEN!$C$26),(1+SUP_VOLUMEN!$C$27)))*INDEX(SUP_C3_EXPANSION!$C$6:$F$6,MIN(4,COUNTIF(CAPA3_EXPANSION!$D$56:DI$56,"&gt;="&amp;4)))*CAPA3_EXPANSION!DI$36)</f>
        <v>3676.7640000000001</v>
      </c>
      <c r="DJ11" s="88">
        <f>IF(COUNTIF(CAPA3_EXPANSION!$D$56:DJ$56,"&gt;="&amp;4)=0,0,SUP_CONTROL!$C$8*IF($B11="V",1,IF($B11="D",(1+SUP_VOLUMEN!$C$26),(1+SUP_VOLUMEN!$C$27)))*INDEX(SUP_C3_EXPANSION!$C$6:$F$6,MIN(4,COUNTIF(CAPA3_EXPANSION!$D$56:DJ$56,"&gt;="&amp;4)))*CAPA3_EXPANSION!DJ$36)</f>
        <v>3676.7640000000001</v>
      </c>
      <c r="DK11" s="88">
        <f>IF(COUNTIF(CAPA3_EXPANSION!$D$56:DK$56,"&gt;="&amp;4)=0,0,SUP_CONTROL!$C$8*IF($B11="V",1,IF($B11="D",(1+SUP_VOLUMEN!$C$26),(1+SUP_VOLUMEN!$C$27)))*INDEX(SUP_C3_EXPANSION!$C$6:$F$6,MIN(4,COUNTIF(CAPA3_EXPANSION!$D$56:DK$56,"&gt;="&amp;4)))*CAPA3_EXPANSION!DK$36)</f>
        <v>3676.7640000000001</v>
      </c>
      <c r="DL11" s="88">
        <f>IF(COUNTIF(CAPA3_EXPANSION!$D$56:DL$56,"&gt;="&amp;4)=0,0,SUP_CONTROL!$C$8*IF($B11="V",1,IF($B11="D",(1+SUP_VOLUMEN!$C$26),(1+SUP_VOLUMEN!$C$27)))*INDEX(SUP_C3_EXPANSION!$C$6:$F$6,MIN(4,COUNTIF(CAPA3_EXPANSION!$D$56:DL$56,"&gt;="&amp;4)))*CAPA3_EXPANSION!DL$36)</f>
        <v>3676.7640000000001</v>
      </c>
      <c r="DM11" s="88">
        <f>IF(COUNTIF(CAPA3_EXPANSION!$D$56:DM$56,"&gt;="&amp;4)=0,0,SUP_CONTROL!$C$8*IF($B11="V",1,IF($B11="D",(1+SUP_VOLUMEN!$C$26),(1+SUP_VOLUMEN!$C$27)))*INDEX(SUP_C3_EXPANSION!$C$6:$F$6,MIN(4,COUNTIF(CAPA3_EXPANSION!$D$56:DM$56,"&gt;="&amp;4)))*CAPA3_EXPANSION!DM$36)</f>
        <v>3676.7640000000001</v>
      </c>
      <c r="DN11" s="88">
        <f>IF(COUNTIF(CAPA3_EXPANSION!$D$56:DN$56,"&gt;="&amp;4)=0,0,SUP_CONTROL!$C$8*IF($B11="V",1,IF($B11="D",(1+SUP_VOLUMEN!$C$26),(1+SUP_VOLUMEN!$C$27)))*INDEX(SUP_C3_EXPANSION!$C$6:$F$6,MIN(4,COUNTIF(CAPA3_EXPANSION!$D$56:DN$56,"&gt;="&amp;4)))*CAPA3_EXPANSION!DN$36)</f>
        <v>3676.7640000000001</v>
      </c>
      <c r="DO11" s="88">
        <f>IF(COUNTIF(CAPA3_EXPANSION!$D$56:DO$56,"&gt;="&amp;4)=0,0,SUP_CONTROL!$C$8*IF($B11="V",1,IF($B11="D",(1+SUP_VOLUMEN!$C$26),(1+SUP_VOLUMEN!$C$27)))*INDEX(SUP_C3_EXPANSION!$C$6:$F$6,MIN(4,COUNTIF(CAPA3_EXPANSION!$D$56:DO$56,"&gt;="&amp;4)))*CAPA3_EXPANSION!DO$36)</f>
        <v>3676.7640000000001</v>
      </c>
      <c r="DP11" s="88">
        <f>IF(COUNTIF(CAPA3_EXPANSION!$D$56:DP$56,"&gt;="&amp;4)=0,0,SUP_CONTROL!$C$8*IF($B11="V",1,IF($B11="D",(1+SUP_VOLUMEN!$C$26),(1+SUP_VOLUMEN!$C$27)))*INDEX(SUP_C3_EXPANSION!$C$6:$F$6,MIN(4,COUNTIF(CAPA3_EXPANSION!$D$56:DP$56,"&gt;="&amp;4)))*CAPA3_EXPANSION!DP$36)</f>
        <v>3676.7640000000001</v>
      </c>
      <c r="DQ11" s="88">
        <f>IF(COUNTIF(CAPA3_EXPANSION!$D$56:DQ$56,"&gt;="&amp;4)=0,0,SUP_CONTROL!$C$8*IF($B11="V",1,IF($B11="D",(1+SUP_VOLUMEN!$C$26),(1+SUP_VOLUMEN!$C$27)))*INDEX(SUP_C3_EXPANSION!$C$6:$F$6,MIN(4,COUNTIF(CAPA3_EXPANSION!$D$56:DQ$56,"&gt;="&amp;4)))*CAPA3_EXPANSION!DQ$36)</f>
        <v>3676.7640000000001</v>
      </c>
      <c r="DR11" s="88">
        <f>IF(COUNTIF(CAPA3_EXPANSION!$D$56:DR$56,"&gt;="&amp;4)=0,0,SUP_CONTROL!$C$8*IF($B11="V",1,IF($B11="D",(1+SUP_VOLUMEN!$C$26),(1+SUP_VOLUMEN!$C$27)))*INDEX(SUP_C3_EXPANSION!$C$6:$F$6,MIN(4,COUNTIF(CAPA3_EXPANSION!$D$56:DR$56,"&gt;="&amp;4)))*CAPA3_EXPANSION!DR$36)</f>
        <v>3676.7640000000001</v>
      </c>
      <c r="DS11" s="88">
        <f>IF(COUNTIF(CAPA3_EXPANSION!$D$56:DS$56,"&gt;="&amp;4)=0,0,SUP_CONTROL!$C$8*IF($B11="V",1,IF($B11="D",(1+SUP_VOLUMEN!$C$26),(1+SUP_VOLUMEN!$C$27)))*INDEX(SUP_C3_EXPANSION!$C$6:$F$6,MIN(4,COUNTIF(CAPA3_EXPANSION!$D$56:DS$56,"&gt;="&amp;4)))*CAPA3_EXPANSION!DS$36)</f>
        <v>3676.7640000000001</v>
      </c>
    </row>
    <row r="12" spans="1:123" ht="15" customHeight="1" x14ac:dyDescent="0.2">
      <c r="A12" s="88">
        <v>15</v>
      </c>
      <c r="B12" s="104" t="str">
        <f>SUP_C3_EXPANSION!B24</f>
        <v>V</v>
      </c>
      <c r="C12" s="73">
        <f>SUP_C3_EXPANSION!G24</f>
        <v>27</v>
      </c>
      <c r="D12" s="88">
        <f>IF(COUNTIF(CAPA3_EXPANSION!$D$56:D$56,"&gt;="&amp;5)=0,0,SUP_CONTROL!$C$8*IF($B12="V",1,IF($B12="D",(1+SUP_VOLUMEN!$C$26),(1+SUP_VOLUMEN!$C$27)))*INDEX(SUP_C3_EXPANSION!$C$6:$F$6,MIN(4,COUNTIF(CAPA3_EXPANSION!$D$56:D$56,"&gt;="&amp;5)))*CAPA3_EXPANSION!D$36)</f>
        <v>0</v>
      </c>
      <c r="E12" s="88">
        <f>IF(COUNTIF(CAPA3_EXPANSION!$D$56:E$56,"&gt;="&amp;5)=0,0,SUP_CONTROL!$C$8*IF($B12="V",1,IF($B12="D",(1+SUP_VOLUMEN!$C$26),(1+SUP_VOLUMEN!$C$27)))*INDEX(SUP_C3_EXPANSION!$C$6:$F$6,MIN(4,COUNTIF(CAPA3_EXPANSION!$D$56:E$56,"&gt;="&amp;5)))*CAPA3_EXPANSION!E$36)</f>
        <v>0</v>
      </c>
      <c r="F12" s="88">
        <f>IF(COUNTIF(CAPA3_EXPANSION!$D$56:F$56,"&gt;="&amp;5)=0,0,SUP_CONTROL!$C$8*IF($B12="V",1,IF($B12="D",(1+SUP_VOLUMEN!$C$26),(1+SUP_VOLUMEN!$C$27)))*INDEX(SUP_C3_EXPANSION!$C$6:$F$6,MIN(4,COUNTIF(CAPA3_EXPANSION!$D$56:F$56,"&gt;="&amp;5)))*CAPA3_EXPANSION!F$36)</f>
        <v>0</v>
      </c>
      <c r="G12" s="88">
        <f>IF(COUNTIF(CAPA3_EXPANSION!$D$56:G$56,"&gt;="&amp;5)=0,0,SUP_CONTROL!$C$8*IF($B12="V",1,IF($B12="D",(1+SUP_VOLUMEN!$C$26),(1+SUP_VOLUMEN!$C$27)))*INDEX(SUP_C3_EXPANSION!$C$6:$F$6,MIN(4,COUNTIF(CAPA3_EXPANSION!$D$56:G$56,"&gt;="&amp;5)))*CAPA3_EXPANSION!G$36)</f>
        <v>0</v>
      </c>
      <c r="H12" s="88">
        <f>IF(COUNTIF(CAPA3_EXPANSION!$D$56:H$56,"&gt;="&amp;5)=0,0,SUP_CONTROL!$C$8*IF($B12="V",1,IF($B12="D",(1+SUP_VOLUMEN!$C$26),(1+SUP_VOLUMEN!$C$27)))*INDEX(SUP_C3_EXPANSION!$C$6:$F$6,MIN(4,COUNTIF(CAPA3_EXPANSION!$D$56:H$56,"&gt;="&amp;5)))*CAPA3_EXPANSION!H$36)</f>
        <v>0</v>
      </c>
      <c r="I12" s="88">
        <f>IF(COUNTIF(CAPA3_EXPANSION!$D$56:I$56,"&gt;="&amp;5)=0,0,SUP_CONTROL!$C$8*IF($B12="V",1,IF($B12="D",(1+SUP_VOLUMEN!$C$26),(1+SUP_VOLUMEN!$C$27)))*INDEX(SUP_C3_EXPANSION!$C$6:$F$6,MIN(4,COUNTIF(CAPA3_EXPANSION!$D$56:I$56,"&gt;="&amp;5)))*CAPA3_EXPANSION!I$36)</f>
        <v>0</v>
      </c>
      <c r="J12" s="88">
        <f>IF(COUNTIF(CAPA3_EXPANSION!$D$56:J$56,"&gt;="&amp;5)=0,0,SUP_CONTROL!$C$8*IF($B12="V",1,IF($B12="D",(1+SUP_VOLUMEN!$C$26),(1+SUP_VOLUMEN!$C$27)))*INDEX(SUP_C3_EXPANSION!$C$6:$F$6,MIN(4,COUNTIF(CAPA3_EXPANSION!$D$56:J$56,"&gt;="&amp;5)))*CAPA3_EXPANSION!J$36)</f>
        <v>0</v>
      </c>
      <c r="K12" s="88">
        <f>IF(COUNTIF(CAPA3_EXPANSION!$D$56:K$56,"&gt;="&amp;5)=0,0,SUP_CONTROL!$C$8*IF($B12="V",1,IF($B12="D",(1+SUP_VOLUMEN!$C$26),(1+SUP_VOLUMEN!$C$27)))*INDEX(SUP_C3_EXPANSION!$C$6:$F$6,MIN(4,COUNTIF(CAPA3_EXPANSION!$D$56:K$56,"&gt;="&amp;5)))*CAPA3_EXPANSION!K$36)</f>
        <v>0</v>
      </c>
      <c r="L12" s="88">
        <f>IF(COUNTIF(CAPA3_EXPANSION!$D$56:L$56,"&gt;="&amp;5)=0,0,SUP_CONTROL!$C$8*IF($B12="V",1,IF($B12="D",(1+SUP_VOLUMEN!$C$26),(1+SUP_VOLUMEN!$C$27)))*INDEX(SUP_C3_EXPANSION!$C$6:$F$6,MIN(4,COUNTIF(CAPA3_EXPANSION!$D$56:L$56,"&gt;="&amp;5)))*CAPA3_EXPANSION!L$36)</f>
        <v>0</v>
      </c>
      <c r="M12" s="88">
        <f>IF(COUNTIF(CAPA3_EXPANSION!$D$56:M$56,"&gt;="&amp;5)=0,0,SUP_CONTROL!$C$8*IF($B12="V",1,IF($B12="D",(1+SUP_VOLUMEN!$C$26),(1+SUP_VOLUMEN!$C$27)))*INDEX(SUP_C3_EXPANSION!$C$6:$F$6,MIN(4,COUNTIF(CAPA3_EXPANSION!$D$56:M$56,"&gt;="&amp;5)))*CAPA3_EXPANSION!M$36)</f>
        <v>0</v>
      </c>
      <c r="N12" s="88">
        <f>IF(COUNTIF(CAPA3_EXPANSION!$D$56:N$56,"&gt;="&amp;5)=0,0,SUP_CONTROL!$C$8*IF($B12="V",1,IF($B12="D",(1+SUP_VOLUMEN!$C$26),(1+SUP_VOLUMEN!$C$27)))*INDEX(SUP_C3_EXPANSION!$C$6:$F$6,MIN(4,COUNTIF(CAPA3_EXPANSION!$D$56:N$56,"&gt;="&amp;5)))*CAPA3_EXPANSION!N$36)</f>
        <v>0</v>
      </c>
      <c r="O12" s="88">
        <f>IF(COUNTIF(CAPA3_EXPANSION!$D$56:O$56,"&gt;="&amp;5)=0,0,SUP_CONTROL!$C$8*IF($B12="V",1,IF($B12="D",(1+SUP_VOLUMEN!$C$26),(1+SUP_VOLUMEN!$C$27)))*INDEX(SUP_C3_EXPANSION!$C$6:$F$6,MIN(4,COUNTIF(CAPA3_EXPANSION!$D$56:O$56,"&gt;="&amp;5)))*CAPA3_EXPANSION!O$36)</f>
        <v>0</v>
      </c>
      <c r="P12" s="88">
        <f>IF(COUNTIF(CAPA3_EXPANSION!$D$56:P$56,"&gt;="&amp;5)=0,0,SUP_CONTROL!$C$8*IF($B12="V",1,IF($B12="D",(1+SUP_VOLUMEN!$C$26),(1+SUP_VOLUMEN!$C$27)))*INDEX(SUP_C3_EXPANSION!$C$6:$F$6,MIN(4,COUNTIF(CAPA3_EXPANSION!$D$56:P$56,"&gt;="&amp;5)))*CAPA3_EXPANSION!P$36)</f>
        <v>0</v>
      </c>
      <c r="Q12" s="88">
        <f>IF(COUNTIF(CAPA3_EXPANSION!$D$56:Q$56,"&gt;="&amp;5)=0,0,SUP_CONTROL!$C$8*IF($B12="V",1,IF($B12="D",(1+SUP_VOLUMEN!$C$26),(1+SUP_VOLUMEN!$C$27)))*INDEX(SUP_C3_EXPANSION!$C$6:$F$6,MIN(4,COUNTIF(CAPA3_EXPANSION!$D$56:Q$56,"&gt;="&amp;5)))*CAPA3_EXPANSION!Q$36)</f>
        <v>0</v>
      </c>
      <c r="R12" s="88">
        <f>IF(COUNTIF(CAPA3_EXPANSION!$D$56:R$56,"&gt;="&amp;5)=0,0,SUP_CONTROL!$C$8*IF($B12="V",1,IF($B12="D",(1+SUP_VOLUMEN!$C$26),(1+SUP_VOLUMEN!$C$27)))*INDEX(SUP_C3_EXPANSION!$C$6:$F$6,MIN(4,COUNTIF(CAPA3_EXPANSION!$D$56:R$56,"&gt;="&amp;5)))*CAPA3_EXPANSION!R$36)</f>
        <v>0</v>
      </c>
      <c r="S12" s="88">
        <f>IF(COUNTIF(CAPA3_EXPANSION!$D$56:S$56,"&gt;="&amp;5)=0,0,SUP_CONTROL!$C$8*IF($B12="V",1,IF($B12="D",(1+SUP_VOLUMEN!$C$26),(1+SUP_VOLUMEN!$C$27)))*INDEX(SUP_C3_EXPANSION!$C$6:$F$6,MIN(4,COUNTIF(CAPA3_EXPANSION!$D$56:S$56,"&gt;="&amp;5)))*CAPA3_EXPANSION!S$36)</f>
        <v>0</v>
      </c>
      <c r="T12" s="88">
        <f>IF(COUNTIF(CAPA3_EXPANSION!$D$56:T$56,"&gt;="&amp;5)=0,0,SUP_CONTROL!$C$8*IF($B12="V",1,IF($B12="D",(1+SUP_VOLUMEN!$C$26),(1+SUP_VOLUMEN!$C$27)))*INDEX(SUP_C3_EXPANSION!$C$6:$F$6,MIN(4,COUNTIF(CAPA3_EXPANSION!$D$56:T$56,"&gt;="&amp;5)))*CAPA3_EXPANSION!T$36)</f>
        <v>0</v>
      </c>
      <c r="U12" s="88">
        <f>IF(COUNTIF(CAPA3_EXPANSION!$D$56:U$56,"&gt;="&amp;5)=0,0,SUP_CONTROL!$C$8*IF($B12="V",1,IF($B12="D",(1+SUP_VOLUMEN!$C$26),(1+SUP_VOLUMEN!$C$27)))*INDEX(SUP_C3_EXPANSION!$C$6:$F$6,MIN(4,COUNTIF(CAPA3_EXPANSION!$D$56:U$56,"&gt;="&amp;5)))*CAPA3_EXPANSION!U$36)</f>
        <v>0</v>
      </c>
      <c r="V12" s="88">
        <f>IF(COUNTIF(CAPA3_EXPANSION!$D$56:V$56,"&gt;="&amp;5)=0,0,SUP_CONTROL!$C$8*IF($B12="V",1,IF($B12="D",(1+SUP_VOLUMEN!$C$26),(1+SUP_VOLUMEN!$C$27)))*INDEX(SUP_C3_EXPANSION!$C$6:$F$6,MIN(4,COUNTIF(CAPA3_EXPANSION!$D$56:V$56,"&gt;="&amp;5)))*CAPA3_EXPANSION!V$36)</f>
        <v>0</v>
      </c>
      <c r="W12" s="88">
        <f>IF(COUNTIF(CAPA3_EXPANSION!$D$56:W$56,"&gt;="&amp;5)=0,0,SUP_CONTROL!$C$8*IF($B12="V",1,IF($B12="D",(1+SUP_VOLUMEN!$C$26),(1+SUP_VOLUMEN!$C$27)))*INDEX(SUP_C3_EXPANSION!$C$6:$F$6,MIN(4,COUNTIF(CAPA3_EXPANSION!$D$56:W$56,"&gt;="&amp;5)))*CAPA3_EXPANSION!W$36)</f>
        <v>0</v>
      </c>
      <c r="X12" s="88">
        <f>IF(COUNTIF(CAPA3_EXPANSION!$D$56:X$56,"&gt;="&amp;5)=0,0,SUP_CONTROL!$C$8*IF($B12="V",1,IF($B12="D",(1+SUP_VOLUMEN!$C$26),(1+SUP_VOLUMEN!$C$27)))*INDEX(SUP_C3_EXPANSION!$C$6:$F$6,MIN(4,COUNTIF(CAPA3_EXPANSION!$D$56:X$56,"&gt;="&amp;5)))*CAPA3_EXPANSION!X$36)</f>
        <v>0</v>
      </c>
      <c r="Y12" s="88">
        <f>IF(COUNTIF(CAPA3_EXPANSION!$D$56:Y$56,"&gt;="&amp;5)=0,0,SUP_CONTROL!$C$8*IF($B12="V",1,IF($B12="D",(1+SUP_VOLUMEN!$C$26),(1+SUP_VOLUMEN!$C$27)))*INDEX(SUP_C3_EXPANSION!$C$6:$F$6,MIN(4,COUNTIF(CAPA3_EXPANSION!$D$56:Y$56,"&gt;="&amp;5)))*CAPA3_EXPANSION!Y$36)</f>
        <v>0</v>
      </c>
      <c r="Z12" s="88">
        <f>IF(COUNTIF(CAPA3_EXPANSION!$D$56:Z$56,"&gt;="&amp;5)=0,0,SUP_CONTROL!$C$8*IF($B12="V",1,IF($B12="D",(1+SUP_VOLUMEN!$C$26),(1+SUP_VOLUMEN!$C$27)))*INDEX(SUP_C3_EXPANSION!$C$6:$F$6,MIN(4,COUNTIF(CAPA3_EXPANSION!$D$56:Z$56,"&gt;="&amp;5)))*CAPA3_EXPANSION!Z$36)</f>
        <v>0</v>
      </c>
      <c r="AA12" s="88">
        <f>IF(COUNTIF(CAPA3_EXPANSION!$D$56:AA$56,"&gt;="&amp;5)=0,0,SUP_CONTROL!$C$8*IF($B12="V",1,IF($B12="D",(1+SUP_VOLUMEN!$C$26),(1+SUP_VOLUMEN!$C$27)))*INDEX(SUP_C3_EXPANSION!$C$6:$F$6,MIN(4,COUNTIF(CAPA3_EXPANSION!$D$56:AA$56,"&gt;="&amp;5)))*CAPA3_EXPANSION!AA$36)</f>
        <v>0</v>
      </c>
      <c r="AB12" s="88">
        <f>IF(COUNTIF(CAPA3_EXPANSION!$D$56:AB$56,"&gt;="&amp;5)=0,0,SUP_CONTROL!$C$8*IF($B12="V",1,IF($B12="D",(1+SUP_VOLUMEN!$C$26),(1+SUP_VOLUMEN!$C$27)))*INDEX(SUP_C3_EXPANSION!$C$6:$F$6,MIN(4,COUNTIF(CAPA3_EXPANSION!$D$56:AB$56,"&gt;="&amp;5)))*CAPA3_EXPANSION!AB$36)</f>
        <v>0</v>
      </c>
      <c r="AC12" s="88">
        <f>IF(COUNTIF(CAPA3_EXPANSION!$D$56:AC$56,"&gt;="&amp;5)=0,0,SUP_CONTROL!$C$8*IF($B12="V",1,IF($B12="D",(1+SUP_VOLUMEN!$C$26),(1+SUP_VOLUMEN!$C$27)))*INDEX(SUP_C3_EXPANSION!$C$6:$F$6,MIN(4,COUNTIF(CAPA3_EXPANSION!$D$56:AC$56,"&gt;="&amp;5)))*CAPA3_EXPANSION!AC$36)</f>
        <v>0</v>
      </c>
      <c r="AD12" s="88">
        <f>IF(COUNTIF(CAPA3_EXPANSION!$D$56:AD$56,"&gt;="&amp;5)=0,0,SUP_CONTROL!$C$8*IF($B12="V",1,IF($B12="D",(1+SUP_VOLUMEN!$C$26),(1+SUP_VOLUMEN!$C$27)))*INDEX(SUP_C3_EXPANSION!$C$6:$F$6,MIN(4,COUNTIF(CAPA3_EXPANSION!$D$56:AD$56,"&gt;="&amp;5)))*CAPA3_EXPANSION!AD$36)</f>
        <v>0</v>
      </c>
      <c r="AE12" s="88">
        <f>IF(COUNTIF(CAPA3_EXPANSION!$D$56:AE$56,"&gt;="&amp;5)=0,0,SUP_CONTROL!$C$8*IF($B12="V",1,IF($B12="D",(1+SUP_VOLUMEN!$C$26),(1+SUP_VOLUMEN!$C$27)))*INDEX(SUP_C3_EXPANSION!$C$6:$F$6,MIN(4,COUNTIF(CAPA3_EXPANSION!$D$56:AE$56,"&gt;="&amp;5)))*CAPA3_EXPANSION!AE$36)</f>
        <v>0</v>
      </c>
      <c r="AF12" s="88">
        <f>IF(COUNTIF(CAPA3_EXPANSION!$D$56:AF$56,"&gt;="&amp;5)=0,0,SUP_CONTROL!$C$8*IF($B12="V",1,IF($B12="D",(1+SUP_VOLUMEN!$C$26),(1+SUP_VOLUMEN!$C$27)))*INDEX(SUP_C3_EXPANSION!$C$6:$F$6,MIN(4,COUNTIF(CAPA3_EXPANSION!$D$56:AF$56,"&gt;="&amp;5)))*CAPA3_EXPANSION!AF$36)</f>
        <v>0</v>
      </c>
      <c r="AG12" s="88">
        <f>IF(COUNTIF(CAPA3_EXPANSION!$D$56:AG$56,"&gt;="&amp;5)=0,0,SUP_CONTROL!$C$8*IF($B12="V",1,IF($B12="D",(1+SUP_VOLUMEN!$C$26),(1+SUP_VOLUMEN!$C$27)))*INDEX(SUP_C3_EXPANSION!$C$6:$F$6,MIN(4,COUNTIF(CAPA3_EXPANSION!$D$56:AG$56,"&gt;="&amp;5)))*CAPA3_EXPANSION!AG$36)</f>
        <v>2122.8935000000001</v>
      </c>
      <c r="AH12" s="88">
        <f>IF(COUNTIF(CAPA3_EXPANSION!$D$56:AH$56,"&gt;="&amp;5)=0,0,SUP_CONTROL!$C$8*IF($B12="V",1,IF($B12="D",(1+SUP_VOLUMEN!$C$26),(1+SUP_VOLUMEN!$C$27)))*INDEX(SUP_C3_EXPANSION!$C$6:$F$6,MIN(4,COUNTIF(CAPA3_EXPANSION!$D$56:AH$56,"&gt;="&amp;5)))*CAPA3_EXPANSION!AH$36)</f>
        <v>2612.7920000000004</v>
      </c>
      <c r="AI12" s="88">
        <f>IF(COUNTIF(CAPA3_EXPANSION!$D$56:AI$56,"&gt;="&amp;5)=0,0,SUP_CONTROL!$C$8*IF($B12="V",1,IF($B12="D",(1+SUP_VOLUMEN!$C$26),(1+SUP_VOLUMEN!$C$27)))*INDEX(SUP_C3_EXPANSION!$C$6:$F$6,MIN(4,COUNTIF(CAPA3_EXPANSION!$D$56:AI$56,"&gt;="&amp;5)))*CAPA3_EXPANSION!AI$36)</f>
        <v>2939.3910000000001</v>
      </c>
      <c r="AJ12" s="88">
        <f>IF(COUNTIF(CAPA3_EXPANSION!$D$56:AJ$56,"&gt;="&amp;5)=0,0,SUP_CONTROL!$C$8*IF($B12="V",1,IF($B12="D",(1+SUP_VOLUMEN!$C$26),(1+SUP_VOLUMEN!$C$27)))*INDEX(SUP_C3_EXPANSION!$C$6:$F$6,MIN(4,COUNTIF(CAPA3_EXPANSION!$D$56:AJ$56,"&gt;="&amp;5)))*CAPA3_EXPANSION!AJ$36)</f>
        <v>3265.99</v>
      </c>
      <c r="AK12" s="88">
        <f>IF(COUNTIF(CAPA3_EXPANSION!$D$56:AK$56,"&gt;="&amp;5)=0,0,SUP_CONTROL!$C$8*IF($B12="V",1,IF($B12="D",(1+SUP_VOLUMEN!$C$26),(1+SUP_VOLUMEN!$C$27)))*INDEX(SUP_C3_EXPANSION!$C$6:$F$6,MIN(4,COUNTIF(CAPA3_EXPANSION!$D$56:AK$56,"&gt;="&amp;5)))*CAPA3_EXPANSION!AK$36)</f>
        <v>3265.99</v>
      </c>
      <c r="AL12" s="88">
        <f>IF(COUNTIF(CAPA3_EXPANSION!$D$56:AL$56,"&gt;="&amp;5)=0,0,SUP_CONTROL!$C$8*IF($B12="V",1,IF($B12="D",(1+SUP_VOLUMEN!$C$26),(1+SUP_VOLUMEN!$C$27)))*INDEX(SUP_C3_EXPANSION!$C$6:$F$6,MIN(4,COUNTIF(CAPA3_EXPANSION!$D$56:AL$56,"&gt;="&amp;5)))*CAPA3_EXPANSION!AL$36)</f>
        <v>3181.8150000000001</v>
      </c>
      <c r="AM12" s="88">
        <f>IF(COUNTIF(CAPA3_EXPANSION!$D$56:AM$56,"&gt;="&amp;5)=0,0,SUP_CONTROL!$C$8*IF($B12="V",1,IF($B12="D",(1+SUP_VOLUMEN!$C$26),(1+SUP_VOLUMEN!$C$27)))*INDEX(SUP_C3_EXPANSION!$C$6:$F$6,MIN(4,COUNTIF(CAPA3_EXPANSION!$D$56:AM$56,"&gt;="&amp;5)))*CAPA3_EXPANSION!AM$36)</f>
        <v>3181.8150000000001</v>
      </c>
      <c r="AN12" s="88">
        <f>IF(COUNTIF(CAPA3_EXPANSION!$D$56:AN$56,"&gt;="&amp;5)=0,0,SUP_CONTROL!$C$8*IF($B12="V",1,IF($B12="D",(1+SUP_VOLUMEN!$C$26),(1+SUP_VOLUMEN!$C$27)))*INDEX(SUP_C3_EXPANSION!$C$6:$F$6,MIN(4,COUNTIF(CAPA3_EXPANSION!$D$56:AN$56,"&gt;="&amp;5)))*CAPA3_EXPANSION!AN$36)</f>
        <v>3181.8150000000001</v>
      </c>
      <c r="AO12" s="88">
        <f>IF(COUNTIF(CAPA3_EXPANSION!$D$56:AO$56,"&gt;="&amp;5)=0,0,SUP_CONTROL!$C$8*IF($B12="V",1,IF($B12="D",(1+SUP_VOLUMEN!$C$26),(1+SUP_VOLUMEN!$C$27)))*INDEX(SUP_C3_EXPANSION!$C$6:$F$6,MIN(4,COUNTIF(CAPA3_EXPANSION!$D$56:AO$56,"&gt;="&amp;5)))*CAPA3_EXPANSION!AO$36)</f>
        <v>3181.8150000000001</v>
      </c>
      <c r="AP12" s="88">
        <f>IF(COUNTIF(CAPA3_EXPANSION!$D$56:AP$56,"&gt;="&amp;5)=0,0,SUP_CONTROL!$C$8*IF($B12="V",1,IF($B12="D",(1+SUP_VOLUMEN!$C$26),(1+SUP_VOLUMEN!$C$27)))*INDEX(SUP_C3_EXPANSION!$C$6:$F$6,MIN(4,COUNTIF(CAPA3_EXPANSION!$D$56:AP$56,"&gt;="&amp;5)))*CAPA3_EXPANSION!AP$36)</f>
        <v>3181.8150000000001</v>
      </c>
      <c r="AQ12" s="88">
        <f>IF(COUNTIF(CAPA3_EXPANSION!$D$56:AQ$56,"&gt;="&amp;5)=0,0,SUP_CONTROL!$C$8*IF($B12="V",1,IF($B12="D",(1+SUP_VOLUMEN!$C$26),(1+SUP_VOLUMEN!$C$27)))*INDEX(SUP_C3_EXPANSION!$C$6:$F$6,MIN(4,COUNTIF(CAPA3_EXPANSION!$D$56:AQ$56,"&gt;="&amp;5)))*CAPA3_EXPANSION!AQ$36)</f>
        <v>3181.8150000000001</v>
      </c>
      <c r="AR12" s="88">
        <f>IF(COUNTIF(CAPA3_EXPANSION!$D$56:AR$56,"&gt;="&amp;5)=0,0,SUP_CONTROL!$C$8*IF($B12="V",1,IF($B12="D",(1+SUP_VOLUMEN!$C$26),(1+SUP_VOLUMEN!$C$27)))*INDEX(SUP_C3_EXPANSION!$C$6:$F$6,MIN(4,COUNTIF(CAPA3_EXPANSION!$D$56:AR$56,"&gt;="&amp;5)))*CAPA3_EXPANSION!AR$36)</f>
        <v>3181.8150000000001</v>
      </c>
      <c r="AS12" s="88">
        <f>IF(COUNTIF(CAPA3_EXPANSION!$D$56:AS$56,"&gt;="&amp;5)=0,0,SUP_CONTROL!$C$8*IF($B12="V",1,IF($B12="D",(1+SUP_VOLUMEN!$C$26),(1+SUP_VOLUMEN!$C$27)))*INDEX(SUP_C3_EXPANSION!$C$6:$F$6,MIN(4,COUNTIF(CAPA3_EXPANSION!$D$56:AS$56,"&gt;="&amp;5)))*CAPA3_EXPANSION!AS$36)</f>
        <v>3181.8150000000001</v>
      </c>
      <c r="AT12" s="88">
        <f>IF(COUNTIF(CAPA3_EXPANSION!$D$56:AT$56,"&gt;="&amp;5)=0,0,SUP_CONTROL!$C$8*IF($B12="V",1,IF($B12="D",(1+SUP_VOLUMEN!$C$26),(1+SUP_VOLUMEN!$C$27)))*INDEX(SUP_C3_EXPANSION!$C$6:$F$6,MIN(4,COUNTIF(CAPA3_EXPANSION!$D$56:AT$56,"&gt;="&amp;5)))*CAPA3_EXPANSION!AT$36)</f>
        <v>3181.8150000000001</v>
      </c>
      <c r="AU12" s="88">
        <f>IF(COUNTIF(CAPA3_EXPANSION!$D$56:AU$56,"&gt;="&amp;5)=0,0,SUP_CONTROL!$C$8*IF($B12="V",1,IF($B12="D",(1+SUP_VOLUMEN!$C$26),(1+SUP_VOLUMEN!$C$27)))*INDEX(SUP_C3_EXPANSION!$C$6:$F$6,MIN(4,COUNTIF(CAPA3_EXPANSION!$D$56:AU$56,"&gt;="&amp;5)))*CAPA3_EXPANSION!AU$36)</f>
        <v>3181.8150000000001</v>
      </c>
      <c r="AV12" s="88">
        <f>IF(COUNTIF(CAPA3_EXPANSION!$D$56:AV$56,"&gt;="&amp;5)=0,0,SUP_CONTROL!$C$8*IF($B12="V",1,IF($B12="D",(1+SUP_VOLUMEN!$C$26),(1+SUP_VOLUMEN!$C$27)))*INDEX(SUP_C3_EXPANSION!$C$6:$F$6,MIN(4,COUNTIF(CAPA3_EXPANSION!$D$56:AV$56,"&gt;="&amp;5)))*CAPA3_EXPANSION!AV$36)</f>
        <v>3181.8150000000001</v>
      </c>
      <c r="AW12" s="88">
        <f>IF(COUNTIF(CAPA3_EXPANSION!$D$56:AW$56,"&gt;="&amp;5)=0,0,SUP_CONTROL!$C$8*IF($B12="V",1,IF($B12="D",(1+SUP_VOLUMEN!$C$26),(1+SUP_VOLUMEN!$C$27)))*INDEX(SUP_C3_EXPANSION!$C$6:$F$6,MIN(4,COUNTIF(CAPA3_EXPANSION!$D$56:AW$56,"&gt;="&amp;5)))*CAPA3_EXPANSION!AW$36)</f>
        <v>3181.8150000000001</v>
      </c>
      <c r="AX12" s="88">
        <f>IF(COUNTIF(CAPA3_EXPANSION!$D$56:AX$56,"&gt;="&amp;5)=0,0,SUP_CONTROL!$C$8*IF($B12="V",1,IF($B12="D",(1+SUP_VOLUMEN!$C$26),(1+SUP_VOLUMEN!$C$27)))*INDEX(SUP_C3_EXPANSION!$C$6:$F$6,MIN(4,COUNTIF(CAPA3_EXPANSION!$D$56:AX$56,"&gt;="&amp;5)))*CAPA3_EXPANSION!AX$36)</f>
        <v>3181.8150000000001</v>
      </c>
      <c r="AY12" s="88">
        <f>IF(COUNTIF(CAPA3_EXPANSION!$D$56:AY$56,"&gt;="&amp;5)=0,0,SUP_CONTROL!$C$8*IF($B12="V",1,IF($B12="D",(1+SUP_VOLUMEN!$C$26),(1+SUP_VOLUMEN!$C$27)))*INDEX(SUP_C3_EXPANSION!$C$6:$F$6,MIN(4,COUNTIF(CAPA3_EXPANSION!$D$56:AY$56,"&gt;="&amp;5)))*CAPA3_EXPANSION!AY$36)</f>
        <v>3181.8150000000001</v>
      </c>
      <c r="AZ12" s="88">
        <f>IF(COUNTIF(CAPA3_EXPANSION!$D$56:AZ$56,"&gt;="&amp;5)=0,0,SUP_CONTROL!$C$8*IF($B12="V",1,IF($B12="D",(1+SUP_VOLUMEN!$C$26),(1+SUP_VOLUMEN!$C$27)))*INDEX(SUP_C3_EXPANSION!$C$6:$F$6,MIN(4,COUNTIF(CAPA3_EXPANSION!$D$56:AZ$56,"&gt;="&amp;5)))*CAPA3_EXPANSION!AZ$36)</f>
        <v>3181.8150000000001</v>
      </c>
      <c r="BA12" s="88">
        <f>IF(COUNTIF(CAPA3_EXPANSION!$D$56:BA$56,"&gt;="&amp;5)=0,0,SUP_CONTROL!$C$8*IF($B12="V",1,IF($B12="D",(1+SUP_VOLUMEN!$C$26),(1+SUP_VOLUMEN!$C$27)))*INDEX(SUP_C3_EXPANSION!$C$6:$F$6,MIN(4,COUNTIF(CAPA3_EXPANSION!$D$56:BA$56,"&gt;="&amp;5)))*CAPA3_EXPANSION!BA$36)</f>
        <v>3097.6400000000003</v>
      </c>
      <c r="BB12" s="88">
        <f>IF(COUNTIF(CAPA3_EXPANSION!$D$56:BB$56,"&gt;="&amp;5)=0,0,SUP_CONTROL!$C$8*IF($B12="V",1,IF($B12="D",(1+SUP_VOLUMEN!$C$26),(1+SUP_VOLUMEN!$C$27)))*INDEX(SUP_C3_EXPANSION!$C$6:$F$6,MIN(4,COUNTIF(CAPA3_EXPANSION!$D$56:BB$56,"&gt;="&amp;5)))*CAPA3_EXPANSION!BB$36)</f>
        <v>3097.6400000000003</v>
      </c>
      <c r="BC12" s="88">
        <f>IF(COUNTIF(CAPA3_EXPANSION!$D$56:BC$56,"&gt;="&amp;5)=0,0,SUP_CONTROL!$C$8*IF($B12="V",1,IF($B12="D",(1+SUP_VOLUMEN!$C$26),(1+SUP_VOLUMEN!$C$27)))*INDEX(SUP_C3_EXPANSION!$C$6:$F$6,MIN(4,COUNTIF(CAPA3_EXPANSION!$D$56:BC$56,"&gt;="&amp;5)))*CAPA3_EXPANSION!BC$36)</f>
        <v>3097.6400000000003</v>
      </c>
      <c r="BD12" s="88">
        <f>IF(COUNTIF(CAPA3_EXPANSION!$D$56:BD$56,"&gt;="&amp;5)=0,0,SUP_CONTROL!$C$8*IF($B12="V",1,IF($B12="D",(1+SUP_VOLUMEN!$C$26),(1+SUP_VOLUMEN!$C$27)))*INDEX(SUP_C3_EXPANSION!$C$6:$F$6,MIN(4,COUNTIF(CAPA3_EXPANSION!$D$56:BD$56,"&gt;="&amp;5)))*CAPA3_EXPANSION!BD$36)</f>
        <v>3097.6400000000003</v>
      </c>
      <c r="BE12" s="88">
        <f>IF(COUNTIF(CAPA3_EXPANSION!$D$56:BE$56,"&gt;="&amp;5)=0,0,SUP_CONTROL!$C$8*IF($B12="V",1,IF($B12="D",(1+SUP_VOLUMEN!$C$26),(1+SUP_VOLUMEN!$C$27)))*INDEX(SUP_C3_EXPANSION!$C$6:$F$6,MIN(4,COUNTIF(CAPA3_EXPANSION!$D$56:BE$56,"&gt;="&amp;5)))*CAPA3_EXPANSION!BE$36)</f>
        <v>3097.6400000000003</v>
      </c>
      <c r="BF12" s="88">
        <f>IF(COUNTIF(CAPA3_EXPANSION!$D$56:BF$56,"&gt;="&amp;5)=0,0,SUP_CONTROL!$C$8*IF($B12="V",1,IF($B12="D",(1+SUP_VOLUMEN!$C$26),(1+SUP_VOLUMEN!$C$27)))*INDEX(SUP_C3_EXPANSION!$C$6:$F$6,MIN(4,COUNTIF(CAPA3_EXPANSION!$D$56:BF$56,"&gt;="&amp;5)))*CAPA3_EXPANSION!BF$36)</f>
        <v>3030.3</v>
      </c>
      <c r="BG12" s="88">
        <f>IF(COUNTIF(CAPA3_EXPANSION!$D$56:BG$56,"&gt;="&amp;5)=0,0,SUP_CONTROL!$C$8*IF($B12="V",1,IF($B12="D",(1+SUP_VOLUMEN!$C$26),(1+SUP_VOLUMEN!$C$27)))*INDEX(SUP_C3_EXPANSION!$C$6:$F$6,MIN(4,COUNTIF(CAPA3_EXPANSION!$D$56:BG$56,"&gt;="&amp;5)))*CAPA3_EXPANSION!BG$36)</f>
        <v>3030.3</v>
      </c>
      <c r="BH12" s="88">
        <f>IF(COUNTIF(CAPA3_EXPANSION!$D$56:BH$56,"&gt;="&amp;5)=0,0,SUP_CONTROL!$C$8*IF($B12="V",1,IF($B12="D",(1+SUP_VOLUMEN!$C$26),(1+SUP_VOLUMEN!$C$27)))*INDEX(SUP_C3_EXPANSION!$C$6:$F$6,MIN(4,COUNTIF(CAPA3_EXPANSION!$D$56:BH$56,"&gt;="&amp;5)))*CAPA3_EXPANSION!BH$36)</f>
        <v>3030.3</v>
      </c>
      <c r="BI12" s="88">
        <f>IF(COUNTIF(CAPA3_EXPANSION!$D$56:BI$56,"&gt;="&amp;5)=0,0,SUP_CONTROL!$C$8*IF($B12="V",1,IF($B12="D",(1+SUP_VOLUMEN!$C$26),(1+SUP_VOLUMEN!$C$27)))*INDEX(SUP_C3_EXPANSION!$C$6:$F$6,MIN(4,COUNTIF(CAPA3_EXPANSION!$D$56:BI$56,"&gt;="&amp;5)))*CAPA3_EXPANSION!BI$36)</f>
        <v>3030.3</v>
      </c>
      <c r="BJ12" s="88">
        <f>IF(COUNTIF(CAPA3_EXPANSION!$D$56:BJ$56,"&gt;="&amp;5)=0,0,SUP_CONTROL!$C$8*IF($B12="V",1,IF($B12="D",(1+SUP_VOLUMEN!$C$26),(1+SUP_VOLUMEN!$C$27)))*INDEX(SUP_C3_EXPANSION!$C$6:$F$6,MIN(4,COUNTIF(CAPA3_EXPANSION!$D$56:BJ$56,"&gt;="&amp;5)))*CAPA3_EXPANSION!BJ$36)</f>
        <v>3030.3</v>
      </c>
      <c r="BK12" s="88">
        <f>IF(COUNTIF(CAPA3_EXPANSION!$D$56:BK$56,"&gt;="&amp;5)=0,0,SUP_CONTROL!$C$8*IF($B12="V",1,IF($B12="D",(1+SUP_VOLUMEN!$C$26),(1+SUP_VOLUMEN!$C$27)))*INDEX(SUP_C3_EXPANSION!$C$6:$F$6,MIN(4,COUNTIF(CAPA3_EXPANSION!$D$56:BK$56,"&gt;="&amp;5)))*CAPA3_EXPANSION!BK$36)</f>
        <v>2962.96</v>
      </c>
      <c r="BL12" s="88">
        <f>IF(COUNTIF(CAPA3_EXPANSION!$D$56:BL$56,"&gt;="&amp;5)=0,0,SUP_CONTROL!$C$8*IF($B12="V",1,IF($B12="D",(1+SUP_VOLUMEN!$C$26),(1+SUP_VOLUMEN!$C$27)))*INDEX(SUP_C3_EXPANSION!$C$6:$F$6,MIN(4,COUNTIF(CAPA3_EXPANSION!$D$56:BL$56,"&gt;="&amp;5)))*CAPA3_EXPANSION!BL$36)</f>
        <v>2962.96</v>
      </c>
      <c r="BM12" s="88">
        <f>IF(COUNTIF(CAPA3_EXPANSION!$D$56:BM$56,"&gt;="&amp;5)=0,0,SUP_CONTROL!$C$8*IF($B12="V",1,IF($B12="D",(1+SUP_VOLUMEN!$C$26),(1+SUP_VOLUMEN!$C$27)))*INDEX(SUP_C3_EXPANSION!$C$6:$F$6,MIN(4,COUNTIF(CAPA3_EXPANSION!$D$56:BM$56,"&gt;="&amp;5)))*CAPA3_EXPANSION!BM$36)</f>
        <v>2962.96</v>
      </c>
      <c r="BN12" s="88">
        <f>IF(COUNTIF(CAPA3_EXPANSION!$D$56:BN$56,"&gt;="&amp;5)=0,0,SUP_CONTROL!$C$8*IF($B12="V",1,IF($B12="D",(1+SUP_VOLUMEN!$C$26),(1+SUP_VOLUMEN!$C$27)))*INDEX(SUP_C3_EXPANSION!$C$6:$F$6,MIN(4,COUNTIF(CAPA3_EXPANSION!$D$56:BN$56,"&gt;="&amp;5)))*CAPA3_EXPANSION!BN$36)</f>
        <v>2962.96</v>
      </c>
      <c r="BO12" s="88">
        <f>IF(COUNTIF(CAPA3_EXPANSION!$D$56:BO$56,"&gt;="&amp;5)=0,0,SUP_CONTROL!$C$8*IF($B12="V",1,IF($B12="D",(1+SUP_VOLUMEN!$C$26),(1+SUP_VOLUMEN!$C$27)))*INDEX(SUP_C3_EXPANSION!$C$6:$F$6,MIN(4,COUNTIF(CAPA3_EXPANSION!$D$56:BO$56,"&gt;="&amp;5)))*CAPA3_EXPANSION!BO$36)</f>
        <v>2962.96</v>
      </c>
      <c r="BP12" s="88">
        <f>IF(COUNTIF(CAPA3_EXPANSION!$D$56:BP$56,"&gt;="&amp;5)=0,0,SUP_CONTROL!$C$8*IF($B12="V",1,IF($B12="D",(1+SUP_VOLUMEN!$C$26),(1+SUP_VOLUMEN!$C$27)))*INDEX(SUP_C3_EXPANSION!$C$6:$F$6,MIN(4,COUNTIF(CAPA3_EXPANSION!$D$56:BP$56,"&gt;="&amp;5)))*CAPA3_EXPANSION!BP$36)</f>
        <v>2912.4549999999999</v>
      </c>
      <c r="BQ12" s="88">
        <f>IF(COUNTIF(CAPA3_EXPANSION!$D$56:BQ$56,"&gt;="&amp;5)=0,0,SUP_CONTROL!$C$8*IF($B12="V",1,IF($B12="D",(1+SUP_VOLUMEN!$C$26),(1+SUP_VOLUMEN!$C$27)))*INDEX(SUP_C3_EXPANSION!$C$6:$F$6,MIN(4,COUNTIF(CAPA3_EXPANSION!$D$56:BQ$56,"&gt;="&amp;5)))*CAPA3_EXPANSION!BQ$36)</f>
        <v>2912.4549999999999</v>
      </c>
      <c r="BR12" s="88">
        <f>IF(COUNTIF(CAPA3_EXPANSION!$D$56:BR$56,"&gt;="&amp;5)=0,0,SUP_CONTROL!$C$8*IF($B12="V",1,IF($B12="D",(1+SUP_VOLUMEN!$C$26),(1+SUP_VOLUMEN!$C$27)))*INDEX(SUP_C3_EXPANSION!$C$6:$F$6,MIN(4,COUNTIF(CAPA3_EXPANSION!$D$56:BR$56,"&gt;="&amp;5)))*CAPA3_EXPANSION!BR$36)</f>
        <v>2912.4549999999999</v>
      </c>
      <c r="BS12" s="88">
        <f>IF(COUNTIF(CAPA3_EXPANSION!$D$56:BS$56,"&gt;="&amp;5)=0,0,SUP_CONTROL!$C$8*IF($B12="V",1,IF($B12="D",(1+SUP_VOLUMEN!$C$26),(1+SUP_VOLUMEN!$C$27)))*INDEX(SUP_C3_EXPANSION!$C$6:$F$6,MIN(4,COUNTIF(CAPA3_EXPANSION!$D$56:BS$56,"&gt;="&amp;5)))*CAPA3_EXPANSION!BS$36)</f>
        <v>2912.4549999999999</v>
      </c>
      <c r="BT12" s="88">
        <f>IF(COUNTIF(CAPA3_EXPANSION!$D$56:BT$56,"&gt;="&amp;5)=0,0,SUP_CONTROL!$C$8*IF($B12="V",1,IF($B12="D",(1+SUP_VOLUMEN!$C$26),(1+SUP_VOLUMEN!$C$27)))*INDEX(SUP_C3_EXPANSION!$C$6:$F$6,MIN(4,COUNTIF(CAPA3_EXPANSION!$D$56:BT$56,"&gt;="&amp;5)))*CAPA3_EXPANSION!BT$36)</f>
        <v>2912.4549999999999</v>
      </c>
      <c r="BU12" s="88">
        <f>IF(COUNTIF(CAPA3_EXPANSION!$D$56:BU$56,"&gt;="&amp;5)=0,0,SUP_CONTROL!$C$8*IF($B12="V",1,IF($B12="D",(1+SUP_VOLUMEN!$C$26),(1+SUP_VOLUMEN!$C$27)))*INDEX(SUP_C3_EXPANSION!$C$6:$F$6,MIN(4,COUNTIF(CAPA3_EXPANSION!$D$56:BU$56,"&gt;="&amp;5)))*CAPA3_EXPANSION!BU$36)</f>
        <v>2861.95</v>
      </c>
      <c r="BV12" s="88">
        <f>IF(COUNTIF(CAPA3_EXPANSION!$D$56:BV$56,"&gt;="&amp;5)=0,0,SUP_CONTROL!$C$8*IF($B12="V",1,IF($B12="D",(1+SUP_VOLUMEN!$C$26),(1+SUP_VOLUMEN!$C$27)))*INDEX(SUP_C3_EXPANSION!$C$6:$F$6,MIN(4,COUNTIF(CAPA3_EXPANSION!$D$56:BV$56,"&gt;="&amp;5)))*CAPA3_EXPANSION!BV$36)</f>
        <v>2861.95</v>
      </c>
      <c r="BW12" s="88">
        <f>IF(COUNTIF(CAPA3_EXPANSION!$D$56:BW$56,"&gt;="&amp;5)=0,0,SUP_CONTROL!$C$8*IF($B12="V",1,IF($B12="D",(1+SUP_VOLUMEN!$C$26),(1+SUP_VOLUMEN!$C$27)))*INDEX(SUP_C3_EXPANSION!$C$6:$F$6,MIN(4,COUNTIF(CAPA3_EXPANSION!$D$56:BW$56,"&gt;="&amp;5)))*CAPA3_EXPANSION!BW$36)</f>
        <v>2861.95</v>
      </c>
      <c r="BX12" s="88">
        <f>IF(COUNTIF(CAPA3_EXPANSION!$D$56:BX$56,"&gt;="&amp;5)=0,0,SUP_CONTROL!$C$8*IF($B12="V",1,IF($B12="D",(1+SUP_VOLUMEN!$C$26),(1+SUP_VOLUMEN!$C$27)))*INDEX(SUP_C3_EXPANSION!$C$6:$F$6,MIN(4,COUNTIF(CAPA3_EXPANSION!$D$56:BX$56,"&gt;="&amp;5)))*CAPA3_EXPANSION!BX$36)</f>
        <v>2861.95</v>
      </c>
      <c r="BY12" s="88">
        <f>IF(COUNTIF(CAPA3_EXPANSION!$D$56:BY$56,"&gt;="&amp;5)=0,0,SUP_CONTROL!$C$8*IF($B12="V",1,IF($B12="D",(1+SUP_VOLUMEN!$C$26),(1+SUP_VOLUMEN!$C$27)))*INDEX(SUP_C3_EXPANSION!$C$6:$F$6,MIN(4,COUNTIF(CAPA3_EXPANSION!$D$56:BY$56,"&gt;="&amp;5)))*CAPA3_EXPANSION!BY$36)</f>
        <v>2861.95</v>
      </c>
      <c r="BZ12" s="88">
        <f>IF(COUNTIF(CAPA3_EXPANSION!$D$56:BZ$56,"&gt;="&amp;5)=0,0,SUP_CONTROL!$C$8*IF($B12="V",1,IF($B12="D",(1+SUP_VOLUMEN!$C$26),(1+SUP_VOLUMEN!$C$27)))*INDEX(SUP_C3_EXPANSION!$C$6:$F$6,MIN(4,COUNTIF(CAPA3_EXPANSION!$D$56:BZ$56,"&gt;="&amp;5)))*CAPA3_EXPANSION!BZ$36)</f>
        <v>2828.2799999999997</v>
      </c>
      <c r="CA12" s="88">
        <f>IF(COUNTIF(CAPA3_EXPANSION!$D$56:CA$56,"&gt;="&amp;5)=0,0,SUP_CONTROL!$C$8*IF($B12="V",1,IF($B12="D",(1+SUP_VOLUMEN!$C$26),(1+SUP_VOLUMEN!$C$27)))*INDEX(SUP_C3_EXPANSION!$C$6:$F$6,MIN(4,COUNTIF(CAPA3_EXPANSION!$D$56:CA$56,"&gt;="&amp;5)))*CAPA3_EXPANSION!CA$36)</f>
        <v>2828.2799999999997</v>
      </c>
      <c r="CB12" s="88">
        <f>IF(COUNTIF(CAPA3_EXPANSION!$D$56:CB$56,"&gt;="&amp;5)=0,0,SUP_CONTROL!$C$8*IF($B12="V",1,IF($B12="D",(1+SUP_VOLUMEN!$C$26),(1+SUP_VOLUMEN!$C$27)))*INDEX(SUP_C3_EXPANSION!$C$6:$F$6,MIN(4,COUNTIF(CAPA3_EXPANSION!$D$56:CB$56,"&gt;="&amp;5)))*CAPA3_EXPANSION!CB$36)</f>
        <v>2828.2799999999997</v>
      </c>
      <c r="CC12" s="88">
        <f>IF(COUNTIF(CAPA3_EXPANSION!$D$56:CC$56,"&gt;="&amp;5)=0,0,SUP_CONTROL!$C$8*IF($B12="V",1,IF($B12="D",(1+SUP_VOLUMEN!$C$26),(1+SUP_VOLUMEN!$C$27)))*INDEX(SUP_C3_EXPANSION!$C$6:$F$6,MIN(4,COUNTIF(CAPA3_EXPANSION!$D$56:CC$56,"&gt;="&amp;5)))*CAPA3_EXPANSION!CC$36)</f>
        <v>2828.2799999999997</v>
      </c>
      <c r="CD12" s="88">
        <f>IF(COUNTIF(CAPA3_EXPANSION!$D$56:CD$56,"&gt;="&amp;5)=0,0,SUP_CONTROL!$C$8*IF($B12="V",1,IF($B12="D",(1+SUP_VOLUMEN!$C$26),(1+SUP_VOLUMEN!$C$27)))*INDEX(SUP_C3_EXPANSION!$C$6:$F$6,MIN(4,COUNTIF(CAPA3_EXPANSION!$D$56:CD$56,"&gt;="&amp;5)))*CAPA3_EXPANSION!CD$36)</f>
        <v>2828.2799999999997</v>
      </c>
      <c r="CE12" s="88">
        <f>IF(COUNTIF(CAPA3_EXPANSION!$D$56:CE$56,"&gt;="&amp;5)=0,0,SUP_CONTROL!$C$8*IF($B12="V",1,IF($B12="D",(1+SUP_VOLUMEN!$C$26),(1+SUP_VOLUMEN!$C$27)))*INDEX(SUP_C3_EXPANSION!$C$6:$F$6,MIN(4,COUNTIF(CAPA3_EXPANSION!$D$56:CE$56,"&gt;="&amp;5)))*CAPA3_EXPANSION!CE$36)</f>
        <v>2828.2799999999997</v>
      </c>
      <c r="CF12" s="88">
        <f>IF(COUNTIF(CAPA3_EXPANSION!$D$56:CF$56,"&gt;="&amp;5)=0,0,SUP_CONTROL!$C$8*IF($B12="V",1,IF($B12="D",(1+SUP_VOLUMEN!$C$26),(1+SUP_VOLUMEN!$C$27)))*INDEX(SUP_C3_EXPANSION!$C$6:$F$6,MIN(4,COUNTIF(CAPA3_EXPANSION!$D$56:CF$56,"&gt;="&amp;5)))*CAPA3_EXPANSION!CF$36)</f>
        <v>2828.2799999999997</v>
      </c>
      <c r="CG12" s="88">
        <f>IF(COUNTIF(CAPA3_EXPANSION!$D$56:CG$56,"&gt;="&amp;5)=0,0,SUP_CONTROL!$C$8*IF($B12="V",1,IF($B12="D",(1+SUP_VOLUMEN!$C$26),(1+SUP_VOLUMEN!$C$27)))*INDEX(SUP_C3_EXPANSION!$C$6:$F$6,MIN(4,COUNTIF(CAPA3_EXPANSION!$D$56:CG$56,"&gt;="&amp;5)))*CAPA3_EXPANSION!CG$36)</f>
        <v>2828.2799999999997</v>
      </c>
      <c r="CH12" s="88">
        <f>IF(COUNTIF(CAPA3_EXPANSION!$D$56:CH$56,"&gt;="&amp;5)=0,0,SUP_CONTROL!$C$8*IF($B12="V",1,IF($B12="D",(1+SUP_VOLUMEN!$C$26),(1+SUP_VOLUMEN!$C$27)))*INDEX(SUP_C3_EXPANSION!$C$6:$F$6,MIN(4,COUNTIF(CAPA3_EXPANSION!$D$56:CH$56,"&gt;="&amp;5)))*CAPA3_EXPANSION!CH$36)</f>
        <v>2828.2799999999997</v>
      </c>
      <c r="CI12" s="88">
        <f>IF(COUNTIF(CAPA3_EXPANSION!$D$56:CI$56,"&gt;="&amp;5)=0,0,SUP_CONTROL!$C$8*IF($B12="V",1,IF($B12="D",(1+SUP_VOLUMEN!$C$26),(1+SUP_VOLUMEN!$C$27)))*INDEX(SUP_C3_EXPANSION!$C$6:$F$6,MIN(4,COUNTIF(CAPA3_EXPANSION!$D$56:CI$56,"&gt;="&amp;5)))*CAPA3_EXPANSION!CI$36)</f>
        <v>2828.2799999999997</v>
      </c>
      <c r="CJ12" s="88">
        <f>IF(COUNTIF(CAPA3_EXPANSION!$D$56:CJ$56,"&gt;="&amp;5)=0,0,SUP_CONTROL!$C$8*IF($B12="V",1,IF($B12="D",(1+SUP_VOLUMEN!$C$26),(1+SUP_VOLUMEN!$C$27)))*INDEX(SUP_C3_EXPANSION!$C$6:$F$6,MIN(4,COUNTIF(CAPA3_EXPANSION!$D$56:CJ$56,"&gt;="&amp;5)))*CAPA3_EXPANSION!CJ$36)</f>
        <v>2828.2799999999997</v>
      </c>
      <c r="CK12" s="88">
        <f>IF(COUNTIF(CAPA3_EXPANSION!$D$56:CK$56,"&gt;="&amp;5)=0,0,SUP_CONTROL!$C$8*IF($B12="V",1,IF($B12="D",(1+SUP_VOLUMEN!$C$26),(1+SUP_VOLUMEN!$C$27)))*INDEX(SUP_C3_EXPANSION!$C$6:$F$6,MIN(4,COUNTIF(CAPA3_EXPANSION!$D$56:CK$56,"&gt;="&amp;5)))*CAPA3_EXPANSION!CK$36)</f>
        <v>2828.2799999999997</v>
      </c>
      <c r="CL12" s="88">
        <f>IF(COUNTIF(CAPA3_EXPANSION!$D$56:CL$56,"&gt;="&amp;5)=0,0,SUP_CONTROL!$C$8*IF($B12="V",1,IF($B12="D",(1+SUP_VOLUMEN!$C$26),(1+SUP_VOLUMEN!$C$27)))*INDEX(SUP_C3_EXPANSION!$C$6:$F$6,MIN(4,COUNTIF(CAPA3_EXPANSION!$D$56:CL$56,"&gt;="&amp;5)))*CAPA3_EXPANSION!CL$36)</f>
        <v>2828.2799999999997</v>
      </c>
      <c r="CM12" s="88">
        <f>IF(COUNTIF(CAPA3_EXPANSION!$D$56:CM$56,"&gt;="&amp;5)=0,0,SUP_CONTROL!$C$8*IF($B12="V",1,IF($B12="D",(1+SUP_VOLUMEN!$C$26),(1+SUP_VOLUMEN!$C$27)))*INDEX(SUP_C3_EXPANSION!$C$6:$F$6,MIN(4,COUNTIF(CAPA3_EXPANSION!$D$56:CM$56,"&gt;="&amp;5)))*CAPA3_EXPANSION!CM$36)</f>
        <v>2828.2799999999997</v>
      </c>
      <c r="CN12" s="88">
        <f>IF(COUNTIF(CAPA3_EXPANSION!$D$56:CN$56,"&gt;="&amp;5)=0,0,SUP_CONTROL!$C$8*IF($B12="V",1,IF($B12="D",(1+SUP_VOLUMEN!$C$26),(1+SUP_VOLUMEN!$C$27)))*INDEX(SUP_C3_EXPANSION!$C$6:$F$6,MIN(4,COUNTIF(CAPA3_EXPANSION!$D$56:CN$56,"&gt;="&amp;5)))*CAPA3_EXPANSION!CN$36)</f>
        <v>2828.2799999999997</v>
      </c>
      <c r="CO12" s="88">
        <f>IF(COUNTIF(CAPA3_EXPANSION!$D$56:CO$56,"&gt;="&amp;5)=0,0,SUP_CONTROL!$C$8*IF($B12="V",1,IF($B12="D",(1+SUP_VOLUMEN!$C$26),(1+SUP_VOLUMEN!$C$27)))*INDEX(SUP_C3_EXPANSION!$C$6:$F$6,MIN(4,COUNTIF(CAPA3_EXPANSION!$D$56:CO$56,"&gt;="&amp;5)))*CAPA3_EXPANSION!CO$36)</f>
        <v>2828.2799999999997</v>
      </c>
      <c r="CP12" s="88">
        <f>IF(COUNTIF(CAPA3_EXPANSION!$D$56:CP$56,"&gt;="&amp;5)=0,0,SUP_CONTROL!$C$8*IF($B12="V",1,IF($B12="D",(1+SUP_VOLUMEN!$C$26),(1+SUP_VOLUMEN!$C$27)))*INDEX(SUP_C3_EXPANSION!$C$6:$F$6,MIN(4,COUNTIF(CAPA3_EXPANSION!$D$56:CP$56,"&gt;="&amp;5)))*CAPA3_EXPANSION!CP$36)</f>
        <v>2828.2799999999997</v>
      </c>
      <c r="CQ12" s="88">
        <f>IF(COUNTIF(CAPA3_EXPANSION!$D$56:CQ$56,"&gt;="&amp;5)=0,0,SUP_CONTROL!$C$8*IF($B12="V",1,IF($B12="D",(1+SUP_VOLUMEN!$C$26),(1+SUP_VOLUMEN!$C$27)))*INDEX(SUP_C3_EXPANSION!$C$6:$F$6,MIN(4,COUNTIF(CAPA3_EXPANSION!$D$56:CQ$56,"&gt;="&amp;5)))*CAPA3_EXPANSION!CQ$36)</f>
        <v>2828.2799999999997</v>
      </c>
      <c r="CR12" s="88">
        <f>IF(COUNTIF(CAPA3_EXPANSION!$D$56:CR$56,"&gt;="&amp;5)=0,0,SUP_CONTROL!$C$8*IF($B12="V",1,IF($B12="D",(1+SUP_VOLUMEN!$C$26),(1+SUP_VOLUMEN!$C$27)))*INDEX(SUP_C3_EXPANSION!$C$6:$F$6,MIN(4,COUNTIF(CAPA3_EXPANSION!$D$56:CR$56,"&gt;="&amp;5)))*CAPA3_EXPANSION!CR$36)</f>
        <v>2828.2799999999997</v>
      </c>
      <c r="CS12" s="88">
        <f>IF(COUNTIF(CAPA3_EXPANSION!$D$56:CS$56,"&gt;="&amp;5)=0,0,SUP_CONTROL!$C$8*IF($B12="V",1,IF($B12="D",(1+SUP_VOLUMEN!$C$26),(1+SUP_VOLUMEN!$C$27)))*INDEX(SUP_C3_EXPANSION!$C$6:$F$6,MIN(4,COUNTIF(CAPA3_EXPANSION!$D$56:CS$56,"&gt;="&amp;5)))*CAPA3_EXPANSION!CS$36)</f>
        <v>2828.2799999999997</v>
      </c>
      <c r="CT12" s="88">
        <f>IF(COUNTIF(CAPA3_EXPANSION!$D$56:CT$56,"&gt;="&amp;5)=0,0,SUP_CONTROL!$C$8*IF($B12="V",1,IF($B12="D",(1+SUP_VOLUMEN!$C$26),(1+SUP_VOLUMEN!$C$27)))*INDEX(SUP_C3_EXPANSION!$C$6:$F$6,MIN(4,COUNTIF(CAPA3_EXPANSION!$D$56:CT$56,"&gt;="&amp;5)))*CAPA3_EXPANSION!CT$36)</f>
        <v>2828.2799999999997</v>
      </c>
      <c r="CU12" s="88">
        <f>IF(COUNTIF(CAPA3_EXPANSION!$D$56:CU$56,"&gt;="&amp;5)=0,0,SUP_CONTROL!$C$8*IF($B12="V",1,IF($B12="D",(1+SUP_VOLUMEN!$C$26),(1+SUP_VOLUMEN!$C$27)))*INDEX(SUP_C3_EXPANSION!$C$6:$F$6,MIN(4,COUNTIF(CAPA3_EXPANSION!$D$56:CU$56,"&gt;="&amp;5)))*CAPA3_EXPANSION!CU$36)</f>
        <v>2828.2799999999997</v>
      </c>
      <c r="CV12" s="88">
        <f>IF(COUNTIF(CAPA3_EXPANSION!$D$56:CV$56,"&gt;="&amp;5)=0,0,SUP_CONTROL!$C$8*IF($B12="V",1,IF($B12="D",(1+SUP_VOLUMEN!$C$26),(1+SUP_VOLUMEN!$C$27)))*INDEX(SUP_C3_EXPANSION!$C$6:$F$6,MIN(4,COUNTIF(CAPA3_EXPANSION!$D$56:CV$56,"&gt;="&amp;5)))*CAPA3_EXPANSION!CV$36)</f>
        <v>2828.2799999999997</v>
      </c>
      <c r="CW12" s="88">
        <f>IF(COUNTIF(CAPA3_EXPANSION!$D$56:CW$56,"&gt;="&amp;5)=0,0,SUP_CONTROL!$C$8*IF($B12="V",1,IF($B12="D",(1+SUP_VOLUMEN!$C$26),(1+SUP_VOLUMEN!$C$27)))*INDEX(SUP_C3_EXPANSION!$C$6:$F$6,MIN(4,COUNTIF(CAPA3_EXPANSION!$D$56:CW$56,"&gt;="&amp;5)))*CAPA3_EXPANSION!CW$36)</f>
        <v>2828.2799999999997</v>
      </c>
      <c r="CX12" s="88">
        <f>IF(COUNTIF(CAPA3_EXPANSION!$D$56:CX$56,"&gt;="&amp;5)=0,0,SUP_CONTROL!$C$8*IF($B12="V",1,IF($B12="D",(1+SUP_VOLUMEN!$C$26),(1+SUP_VOLUMEN!$C$27)))*INDEX(SUP_C3_EXPANSION!$C$6:$F$6,MIN(4,COUNTIF(CAPA3_EXPANSION!$D$56:CX$56,"&gt;="&amp;5)))*CAPA3_EXPANSION!CX$36)</f>
        <v>2828.2799999999997</v>
      </c>
      <c r="CY12" s="88">
        <f>IF(COUNTIF(CAPA3_EXPANSION!$D$56:CY$56,"&gt;="&amp;5)=0,0,SUP_CONTROL!$C$8*IF($B12="V",1,IF($B12="D",(1+SUP_VOLUMEN!$C$26),(1+SUP_VOLUMEN!$C$27)))*INDEX(SUP_C3_EXPANSION!$C$6:$F$6,MIN(4,COUNTIF(CAPA3_EXPANSION!$D$56:CY$56,"&gt;="&amp;5)))*CAPA3_EXPANSION!CY$36)</f>
        <v>2828.2799999999997</v>
      </c>
      <c r="CZ12" s="88">
        <f>IF(COUNTIF(CAPA3_EXPANSION!$D$56:CZ$56,"&gt;="&amp;5)=0,0,SUP_CONTROL!$C$8*IF($B12="V",1,IF($B12="D",(1+SUP_VOLUMEN!$C$26),(1+SUP_VOLUMEN!$C$27)))*INDEX(SUP_C3_EXPANSION!$C$6:$F$6,MIN(4,COUNTIF(CAPA3_EXPANSION!$D$56:CZ$56,"&gt;="&amp;5)))*CAPA3_EXPANSION!CZ$36)</f>
        <v>2828.2799999999997</v>
      </c>
      <c r="DA12" s="88">
        <f>IF(COUNTIF(CAPA3_EXPANSION!$D$56:DA$56,"&gt;="&amp;5)=0,0,SUP_CONTROL!$C$8*IF($B12="V",1,IF($B12="D",(1+SUP_VOLUMEN!$C$26),(1+SUP_VOLUMEN!$C$27)))*INDEX(SUP_C3_EXPANSION!$C$6:$F$6,MIN(4,COUNTIF(CAPA3_EXPANSION!$D$56:DA$56,"&gt;="&amp;5)))*CAPA3_EXPANSION!DA$36)</f>
        <v>2828.2799999999997</v>
      </c>
      <c r="DB12" s="88">
        <f>IF(COUNTIF(CAPA3_EXPANSION!$D$56:DB$56,"&gt;="&amp;5)=0,0,SUP_CONTROL!$C$8*IF($B12="V",1,IF($B12="D",(1+SUP_VOLUMEN!$C$26),(1+SUP_VOLUMEN!$C$27)))*INDEX(SUP_C3_EXPANSION!$C$6:$F$6,MIN(4,COUNTIF(CAPA3_EXPANSION!$D$56:DB$56,"&gt;="&amp;5)))*CAPA3_EXPANSION!DB$36)</f>
        <v>2828.2799999999997</v>
      </c>
      <c r="DC12" s="88">
        <f>IF(COUNTIF(CAPA3_EXPANSION!$D$56:DC$56,"&gt;="&amp;5)=0,0,SUP_CONTROL!$C$8*IF($B12="V",1,IF($B12="D",(1+SUP_VOLUMEN!$C$26),(1+SUP_VOLUMEN!$C$27)))*INDEX(SUP_C3_EXPANSION!$C$6:$F$6,MIN(4,COUNTIF(CAPA3_EXPANSION!$D$56:DC$56,"&gt;="&amp;5)))*CAPA3_EXPANSION!DC$36)</f>
        <v>2828.2799999999997</v>
      </c>
      <c r="DD12" s="88">
        <f>IF(COUNTIF(CAPA3_EXPANSION!$D$56:DD$56,"&gt;="&amp;5)=0,0,SUP_CONTROL!$C$8*IF($B12="V",1,IF($B12="D",(1+SUP_VOLUMEN!$C$26),(1+SUP_VOLUMEN!$C$27)))*INDEX(SUP_C3_EXPANSION!$C$6:$F$6,MIN(4,COUNTIF(CAPA3_EXPANSION!$D$56:DD$56,"&gt;="&amp;5)))*CAPA3_EXPANSION!DD$36)</f>
        <v>2828.2799999999997</v>
      </c>
      <c r="DE12" s="88">
        <f>IF(COUNTIF(CAPA3_EXPANSION!$D$56:DE$56,"&gt;="&amp;5)=0,0,SUP_CONTROL!$C$8*IF($B12="V",1,IF($B12="D",(1+SUP_VOLUMEN!$C$26),(1+SUP_VOLUMEN!$C$27)))*INDEX(SUP_C3_EXPANSION!$C$6:$F$6,MIN(4,COUNTIF(CAPA3_EXPANSION!$D$56:DE$56,"&gt;="&amp;5)))*CAPA3_EXPANSION!DE$36)</f>
        <v>2828.2799999999997</v>
      </c>
      <c r="DF12" s="88">
        <f>IF(COUNTIF(CAPA3_EXPANSION!$D$56:DF$56,"&gt;="&amp;5)=0,0,SUP_CONTROL!$C$8*IF($B12="V",1,IF($B12="D",(1+SUP_VOLUMEN!$C$26),(1+SUP_VOLUMEN!$C$27)))*INDEX(SUP_C3_EXPANSION!$C$6:$F$6,MIN(4,COUNTIF(CAPA3_EXPANSION!$D$56:DF$56,"&gt;="&amp;5)))*CAPA3_EXPANSION!DF$36)</f>
        <v>2828.2799999999997</v>
      </c>
      <c r="DG12" s="88">
        <f>IF(COUNTIF(CAPA3_EXPANSION!$D$56:DG$56,"&gt;="&amp;5)=0,0,SUP_CONTROL!$C$8*IF($B12="V",1,IF($B12="D",(1+SUP_VOLUMEN!$C$26),(1+SUP_VOLUMEN!$C$27)))*INDEX(SUP_C3_EXPANSION!$C$6:$F$6,MIN(4,COUNTIF(CAPA3_EXPANSION!$D$56:DG$56,"&gt;="&amp;5)))*CAPA3_EXPANSION!DG$36)</f>
        <v>2828.2799999999997</v>
      </c>
      <c r="DH12" s="88">
        <f>IF(COUNTIF(CAPA3_EXPANSION!$D$56:DH$56,"&gt;="&amp;5)=0,0,SUP_CONTROL!$C$8*IF($B12="V",1,IF($B12="D",(1+SUP_VOLUMEN!$C$26),(1+SUP_VOLUMEN!$C$27)))*INDEX(SUP_C3_EXPANSION!$C$6:$F$6,MIN(4,COUNTIF(CAPA3_EXPANSION!$D$56:DH$56,"&gt;="&amp;5)))*CAPA3_EXPANSION!DH$36)</f>
        <v>2828.2799999999997</v>
      </c>
      <c r="DI12" s="88">
        <f>IF(COUNTIF(CAPA3_EXPANSION!$D$56:DI$56,"&gt;="&amp;5)=0,0,SUP_CONTROL!$C$8*IF($B12="V",1,IF($B12="D",(1+SUP_VOLUMEN!$C$26),(1+SUP_VOLUMEN!$C$27)))*INDEX(SUP_C3_EXPANSION!$C$6:$F$6,MIN(4,COUNTIF(CAPA3_EXPANSION!$D$56:DI$56,"&gt;="&amp;5)))*CAPA3_EXPANSION!DI$36)</f>
        <v>2828.2799999999997</v>
      </c>
      <c r="DJ12" s="88">
        <f>IF(COUNTIF(CAPA3_EXPANSION!$D$56:DJ$56,"&gt;="&amp;5)=0,0,SUP_CONTROL!$C$8*IF($B12="V",1,IF($B12="D",(1+SUP_VOLUMEN!$C$26),(1+SUP_VOLUMEN!$C$27)))*INDEX(SUP_C3_EXPANSION!$C$6:$F$6,MIN(4,COUNTIF(CAPA3_EXPANSION!$D$56:DJ$56,"&gt;="&amp;5)))*CAPA3_EXPANSION!DJ$36)</f>
        <v>2828.2799999999997</v>
      </c>
      <c r="DK12" s="88">
        <f>IF(COUNTIF(CAPA3_EXPANSION!$D$56:DK$56,"&gt;="&amp;5)=0,0,SUP_CONTROL!$C$8*IF($B12="V",1,IF($B12="D",(1+SUP_VOLUMEN!$C$26),(1+SUP_VOLUMEN!$C$27)))*INDEX(SUP_C3_EXPANSION!$C$6:$F$6,MIN(4,COUNTIF(CAPA3_EXPANSION!$D$56:DK$56,"&gt;="&amp;5)))*CAPA3_EXPANSION!DK$36)</f>
        <v>2828.2799999999997</v>
      </c>
      <c r="DL12" s="88">
        <f>IF(COUNTIF(CAPA3_EXPANSION!$D$56:DL$56,"&gt;="&amp;5)=0,0,SUP_CONTROL!$C$8*IF($B12="V",1,IF($B12="D",(1+SUP_VOLUMEN!$C$26),(1+SUP_VOLUMEN!$C$27)))*INDEX(SUP_C3_EXPANSION!$C$6:$F$6,MIN(4,COUNTIF(CAPA3_EXPANSION!$D$56:DL$56,"&gt;="&amp;5)))*CAPA3_EXPANSION!DL$36)</f>
        <v>2828.2799999999997</v>
      </c>
      <c r="DM12" s="88">
        <f>IF(COUNTIF(CAPA3_EXPANSION!$D$56:DM$56,"&gt;="&amp;5)=0,0,SUP_CONTROL!$C$8*IF($B12="V",1,IF($B12="D",(1+SUP_VOLUMEN!$C$26),(1+SUP_VOLUMEN!$C$27)))*INDEX(SUP_C3_EXPANSION!$C$6:$F$6,MIN(4,COUNTIF(CAPA3_EXPANSION!$D$56:DM$56,"&gt;="&amp;5)))*CAPA3_EXPANSION!DM$36)</f>
        <v>2828.2799999999997</v>
      </c>
      <c r="DN12" s="88">
        <f>IF(COUNTIF(CAPA3_EXPANSION!$D$56:DN$56,"&gt;="&amp;5)=0,0,SUP_CONTROL!$C$8*IF($B12="V",1,IF($B12="D",(1+SUP_VOLUMEN!$C$26),(1+SUP_VOLUMEN!$C$27)))*INDEX(SUP_C3_EXPANSION!$C$6:$F$6,MIN(4,COUNTIF(CAPA3_EXPANSION!$D$56:DN$56,"&gt;="&amp;5)))*CAPA3_EXPANSION!DN$36)</f>
        <v>2828.2799999999997</v>
      </c>
      <c r="DO12" s="88">
        <f>IF(COUNTIF(CAPA3_EXPANSION!$D$56:DO$56,"&gt;="&amp;5)=0,0,SUP_CONTROL!$C$8*IF($B12="V",1,IF($B12="D",(1+SUP_VOLUMEN!$C$26),(1+SUP_VOLUMEN!$C$27)))*INDEX(SUP_C3_EXPANSION!$C$6:$F$6,MIN(4,COUNTIF(CAPA3_EXPANSION!$D$56:DO$56,"&gt;="&amp;5)))*CAPA3_EXPANSION!DO$36)</f>
        <v>2828.2799999999997</v>
      </c>
      <c r="DP12" s="88">
        <f>IF(COUNTIF(CAPA3_EXPANSION!$D$56:DP$56,"&gt;="&amp;5)=0,0,SUP_CONTROL!$C$8*IF($B12="V",1,IF($B12="D",(1+SUP_VOLUMEN!$C$26),(1+SUP_VOLUMEN!$C$27)))*INDEX(SUP_C3_EXPANSION!$C$6:$F$6,MIN(4,COUNTIF(CAPA3_EXPANSION!$D$56:DP$56,"&gt;="&amp;5)))*CAPA3_EXPANSION!DP$36)</f>
        <v>2828.2799999999997</v>
      </c>
      <c r="DQ12" s="88">
        <f>IF(COUNTIF(CAPA3_EXPANSION!$D$56:DQ$56,"&gt;="&amp;5)=0,0,SUP_CONTROL!$C$8*IF($B12="V",1,IF($B12="D",(1+SUP_VOLUMEN!$C$26),(1+SUP_VOLUMEN!$C$27)))*INDEX(SUP_C3_EXPANSION!$C$6:$F$6,MIN(4,COUNTIF(CAPA3_EXPANSION!$D$56:DQ$56,"&gt;="&amp;5)))*CAPA3_EXPANSION!DQ$36)</f>
        <v>2828.2799999999997</v>
      </c>
      <c r="DR12" s="88">
        <f>IF(COUNTIF(CAPA3_EXPANSION!$D$56:DR$56,"&gt;="&amp;5)=0,0,SUP_CONTROL!$C$8*IF($B12="V",1,IF($B12="D",(1+SUP_VOLUMEN!$C$26),(1+SUP_VOLUMEN!$C$27)))*INDEX(SUP_C3_EXPANSION!$C$6:$F$6,MIN(4,COUNTIF(CAPA3_EXPANSION!$D$56:DR$56,"&gt;="&amp;5)))*CAPA3_EXPANSION!DR$36)</f>
        <v>2828.2799999999997</v>
      </c>
      <c r="DS12" s="88">
        <f>IF(COUNTIF(CAPA3_EXPANSION!$D$56:DS$56,"&gt;="&amp;5)=0,0,SUP_CONTROL!$C$8*IF($B12="V",1,IF($B12="D",(1+SUP_VOLUMEN!$C$26),(1+SUP_VOLUMEN!$C$27)))*INDEX(SUP_C3_EXPANSION!$C$6:$F$6,MIN(4,COUNTIF(CAPA3_EXPANSION!$D$56:DS$56,"&gt;="&amp;5)))*CAPA3_EXPANSION!DS$36)</f>
        <v>2828.2799999999997</v>
      </c>
    </row>
    <row r="13" spans="1:123" ht="15" customHeight="1" x14ac:dyDescent="0.2">
      <c r="A13" s="88">
        <v>16</v>
      </c>
      <c r="B13" s="104" t="str">
        <f>SUP_C3_EXPANSION!B25</f>
        <v>V</v>
      </c>
      <c r="C13" s="73">
        <f>SUP_C3_EXPANSION!G25</f>
        <v>29</v>
      </c>
      <c r="D13" s="88">
        <f>IF(COUNTIF(CAPA3_EXPANSION!$D$56:D$56,"&gt;="&amp;6)=0,0,SUP_CONTROL!$C$8*IF($B13="V",1,IF($B13="D",(1+SUP_VOLUMEN!$C$26),(1+SUP_VOLUMEN!$C$27)))*INDEX(SUP_C3_EXPANSION!$C$6:$F$6,MIN(4,COUNTIF(CAPA3_EXPANSION!$D$56:D$56,"&gt;="&amp;6)))*CAPA3_EXPANSION!D$36)</f>
        <v>0</v>
      </c>
      <c r="E13" s="88">
        <f>IF(COUNTIF(CAPA3_EXPANSION!$D$56:E$56,"&gt;="&amp;6)=0,0,SUP_CONTROL!$C$8*IF($B13="V",1,IF($B13="D",(1+SUP_VOLUMEN!$C$26),(1+SUP_VOLUMEN!$C$27)))*INDEX(SUP_C3_EXPANSION!$C$6:$F$6,MIN(4,COUNTIF(CAPA3_EXPANSION!$D$56:E$56,"&gt;="&amp;6)))*CAPA3_EXPANSION!E$36)</f>
        <v>0</v>
      </c>
      <c r="F13" s="88">
        <f>IF(COUNTIF(CAPA3_EXPANSION!$D$56:F$56,"&gt;="&amp;6)=0,0,SUP_CONTROL!$C$8*IF($B13="V",1,IF($B13="D",(1+SUP_VOLUMEN!$C$26),(1+SUP_VOLUMEN!$C$27)))*INDEX(SUP_C3_EXPANSION!$C$6:$F$6,MIN(4,COUNTIF(CAPA3_EXPANSION!$D$56:F$56,"&gt;="&amp;6)))*CAPA3_EXPANSION!F$36)</f>
        <v>0</v>
      </c>
      <c r="G13" s="88">
        <f>IF(COUNTIF(CAPA3_EXPANSION!$D$56:G$56,"&gt;="&amp;6)=0,0,SUP_CONTROL!$C$8*IF($B13="V",1,IF($B13="D",(1+SUP_VOLUMEN!$C$26),(1+SUP_VOLUMEN!$C$27)))*INDEX(SUP_C3_EXPANSION!$C$6:$F$6,MIN(4,COUNTIF(CAPA3_EXPANSION!$D$56:G$56,"&gt;="&amp;6)))*CAPA3_EXPANSION!G$36)</f>
        <v>0</v>
      </c>
      <c r="H13" s="88">
        <f>IF(COUNTIF(CAPA3_EXPANSION!$D$56:H$56,"&gt;="&amp;6)=0,0,SUP_CONTROL!$C$8*IF($B13="V",1,IF($B13="D",(1+SUP_VOLUMEN!$C$26),(1+SUP_VOLUMEN!$C$27)))*INDEX(SUP_C3_EXPANSION!$C$6:$F$6,MIN(4,COUNTIF(CAPA3_EXPANSION!$D$56:H$56,"&gt;="&amp;6)))*CAPA3_EXPANSION!H$36)</f>
        <v>0</v>
      </c>
      <c r="I13" s="88">
        <f>IF(COUNTIF(CAPA3_EXPANSION!$D$56:I$56,"&gt;="&amp;6)=0,0,SUP_CONTROL!$C$8*IF($B13="V",1,IF($B13="D",(1+SUP_VOLUMEN!$C$26),(1+SUP_VOLUMEN!$C$27)))*INDEX(SUP_C3_EXPANSION!$C$6:$F$6,MIN(4,COUNTIF(CAPA3_EXPANSION!$D$56:I$56,"&gt;="&amp;6)))*CAPA3_EXPANSION!I$36)</f>
        <v>0</v>
      </c>
      <c r="J13" s="88">
        <f>IF(COUNTIF(CAPA3_EXPANSION!$D$56:J$56,"&gt;="&amp;6)=0,0,SUP_CONTROL!$C$8*IF($B13="V",1,IF($B13="D",(1+SUP_VOLUMEN!$C$26),(1+SUP_VOLUMEN!$C$27)))*INDEX(SUP_C3_EXPANSION!$C$6:$F$6,MIN(4,COUNTIF(CAPA3_EXPANSION!$D$56:J$56,"&gt;="&amp;6)))*CAPA3_EXPANSION!J$36)</f>
        <v>0</v>
      </c>
      <c r="K13" s="88">
        <f>IF(COUNTIF(CAPA3_EXPANSION!$D$56:K$56,"&gt;="&amp;6)=0,0,SUP_CONTROL!$C$8*IF($B13="V",1,IF($B13="D",(1+SUP_VOLUMEN!$C$26),(1+SUP_VOLUMEN!$C$27)))*INDEX(SUP_C3_EXPANSION!$C$6:$F$6,MIN(4,COUNTIF(CAPA3_EXPANSION!$D$56:K$56,"&gt;="&amp;6)))*CAPA3_EXPANSION!K$36)</f>
        <v>0</v>
      </c>
      <c r="L13" s="88">
        <f>IF(COUNTIF(CAPA3_EXPANSION!$D$56:L$56,"&gt;="&amp;6)=0,0,SUP_CONTROL!$C$8*IF($B13="V",1,IF($B13="D",(1+SUP_VOLUMEN!$C$26),(1+SUP_VOLUMEN!$C$27)))*INDEX(SUP_C3_EXPANSION!$C$6:$F$6,MIN(4,COUNTIF(CAPA3_EXPANSION!$D$56:L$56,"&gt;="&amp;6)))*CAPA3_EXPANSION!L$36)</f>
        <v>0</v>
      </c>
      <c r="M13" s="88">
        <f>IF(COUNTIF(CAPA3_EXPANSION!$D$56:M$56,"&gt;="&amp;6)=0,0,SUP_CONTROL!$C$8*IF($B13="V",1,IF($B13="D",(1+SUP_VOLUMEN!$C$26),(1+SUP_VOLUMEN!$C$27)))*INDEX(SUP_C3_EXPANSION!$C$6:$F$6,MIN(4,COUNTIF(CAPA3_EXPANSION!$D$56:M$56,"&gt;="&amp;6)))*CAPA3_EXPANSION!M$36)</f>
        <v>0</v>
      </c>
      <c r="N13" s="88">
        <f>IF(COUNTIF(CAPA3_EXPANSION!$D$56:N$56,"&gt;="&amp;6)=0,0,SUP_CONTROL!$C$8*IF($B13="V",1,IF($B13="D",(1+SUP_VOLUMEN!$C$26),(1+SUP_VOLUMEN!$C$27)))*INDEX(SUP_C3_EXPANSION!$C$6:$F$6,MIN(4,COUNTIF(CAPA3_EXPANSION!$D$56:N$56,"&gt;="&amp;6)))*CAPA3_EXPANSION!N$36)</f>
        <v>0</v>
      </c>
      <c r="O13" s="88">
        <f>IF(COUNTIF(CAPA3_EXPANSION!$D$56:O$56,"&gt;="&amp;6)=0,0,SUP_CONTROL!$C$8*IF($B13="V",1,IF($B13="D",(1+SUP_VOLUMEN!$C$26),(1+SUP_VOLUMEN!$C$27)))*INDEX(SUP_C3_EXPANSION!$C$6:$F$6,MIN(4,COUNTIF(CAPA3_EXPANSION!$D$56:O$56,"&gt;="&amp;6)))*CAPA3_EXPANSION!O$36)</f>
        <v>0</v>
      </c>
      <c r="P13" s="88">
        <f>IF(COUNTIF(CAPA3_EXPANSION!$D$56:P$56,"&gt;="&amp;6)=0,0,SUP_CONTROL!$C$8*IF($B13="V",1,IF($B13="D",(1+SUP_VOLUMEN!$C$26),(1+SUP_VOLUMEN!$C$27)))*INDEX(SUP_C3_EXPANSION!$C$6:$F$6,MIN(4,COUNTIF(CAPA3_EXPANSION!$D$56:P$56,"&gt;="&amp;6)))*CAPA3_EXPANSION!P$36)</f>
        <v>0</v>
      </c>
      <c r="Q13" s="88">
        <f>IF(COUNTIF(CAPA3_EXPANSION!$D$56:Q$56,"&gt;="&amp;6)=0,0,SUP_CONTROL!$C$8*IF($B13="V",1,IF($B13="D",(1+SUP_VOLUMEN!$C$26),(1+SUP_VOLUMEN!$C$27)))*INDEX(SUP_C3_EXPANSION!$C$6:$F$6,MIN(4,COUNTIF(CAPA3_EXPANSION!$D$56:Q$56,"&gt;="&amp;6)))*CAPA3_EXPANSION!Q$36)</f>
        <v>0</v>
      </c>
      <c r="R13" s="88">
        <f>IF(COUNTIF(CAPA3_EXPANSION!$D$56:R$56,"&gt;="&amp;6)=0,0,SUP_CONTROL!$C$8*IF($B13="V",1,IF($B13="D",(1+SUP_VOLUMEN!$C$26),(1+SUP_VOLUMEN!$C$27)))*INDEX(SUP_C3_EXPANSION!$C$6:$F$6,MIN(4,COUNTIF(CAPA3_EXPANSION!$D$56:R$56,"&gt;="&amp;6)))*CAPA3_EXPANSION!R$36)</f>
        <v>0</v>
      </c>
      <c r="S13" s="88">
        <f>IF(COUNTIF(CAPA3_EXPANSION!$D$56:S$56,"&gt;="&amp;6)=0,0,SUP_CONTROL!$C$8*IF($B13="V",1,IF($B13="D",(1+SUP_VOLUMEN!$C$26),(1+SUP_VOLUMEN!$C$27)))*INDEX(SUP_C3_EXPANSION!$C$6:$F$6,MIN(4,COUNTIF(CAPA3_EXPANSION!$D$56:S$56,"&gt;="&amp;6)))*CAPA3_EXPANSION!S$36)</f>
        <v>0</v>
      </c>
      <c r="T13" s="88">
        <f>IF(COUNTIF(CAPA3_EXPANSION!$D$56:T$56,"&gt;="&amp;6)=0,0,SUP_CONTROL!$C$8*IF($B13="V",1,IF($B13="D",(1+SUP_VOLUMEN!$C$26),(1+SUP_VOLUMEN!$C$27)))*INDEX(SUP_C3_EXPANSION!$C$6:$F$6,MIN(4,COUNTIF(CAPA3_EXPANSION!$D$56:T$56,"&gt;="&amp;6)))*CAPA3_EXPANSION!T$36)</f>
        <v>0</v>
      </c>
      <c r="U13" s="88">
        <f>IF(COUNTIF(CAPA3_EXPANSION!$D$56:U$56,"&gt;="&amp;6)=0,0,SUP_CONTROL!$C$8*IF($B13="V",1,IF($B13="D",(1+SUP_VOLUMEN!$C$26),(1+SUP_VOLUMEN!$C$27)))*INDEX(SUP_C3_EXPANSION!$C$6:$F$6,MIN(4,COUNTIF(CAPA3_EXPANSION!$D$56:U$56,"&gt;="&amp;6)))*CAPA3_EXPANSION!U$36)</f>
        <v>0</v>
      </c>
      <c r="V13" s="88">
        <f>IF(COUNTIF(CAPA3_EXPANSION!$D$56:V$56,"&gt;="&amp;6)=0,0,SUP_CONTROL!$C$8*IF($B13="V",1,IF($B13="D",(1+SUP_VOLUMEN!$C$26),(1+SUP_VOLUMEN!$C$27)))*INDEX(SUP_C3_EXPANSION!$C$6:$F$6,MIN(4,COUNTIF(CAPA3_EXPANSION!$D$56:V$56,"&gt;="&amp;6)))*CAPA3_EXPANSION!V$36)</f>
        <v>0</v>
      </c>
      <c r="W13" s="88">
        <f>IF(COUNTIF(CAPA3_EXPANSION!$D$56:W$56,"&gt;="&amp;6)=0,0,SUP_CONTROL!$C$8*IF($B13="V",1,IF($B13="D",(1+SUP_VOLUMEN!$C$26),(1+SUP_VOLUMEN!$C$27)))*INDEX(SUP_C3_EXPANSION!$C$6:$F$6,MIN(4,COUNTIF(CAPA3_EXPANSION!$D$56:W$56,"&gt;="&amp;6)))*CAPA3_EXPANSION!W$36)</f>
        <v>0</v>
      </c>
      <c r="X13" s="88">
        <f>IF(COUNTIF(CAPA3_EXPANSION!$D$56:X$56,"&gt;="&amp;6)=0,0,SUP_CONTROL!$C$8*IF($B13="V",1,IF($B13="D",(1+SUP_VOLUMEN!$C$26),(1+SUP_VOLUMEN!$C$27)))*INDEX(SUP_C3_EXPANSION!$C$6:$F$6,MIN(4,COUNTIF(CAPA3_EXPANSION!$D$56:X$56,"&gt;="&amp;6)))*CAPA3_EXPANSION!X$36)</f>
        <v>0</v>
      </c>
      <c r="Y13" s="88">
        <f>IF(COUNTIF(CAPA3_EXPANSION!$D$56:Y$56,"&gt;="&amp;6)=0,0,SUP_CONTROL!$C$8*IF($B13="V",1,IF($B13="D",(1+SUP_VOLUMEN!$C$26),(1+SUP_VOLUMEN!$C$27)))*INDEX(SUP_C3_EXPANSION!$C$6:$F$6,MIN(4,COUNTIF(CAPA3_EXPANSION!$D$56:Y$56,"&gt;="&amp;6)))*CAPA3_EXPANSION!Y$36)</f>
        <v>0</v>
      </c>
      <c r="Z13" s="88">
        <f>IF(COUNTIF(CAPA3_EXPANSION!$D$56:Z$56,"&gt;="&amp;6)=0,0,SUP_CONTROL!$C$8*IF($B13="V",1,IF($B13="D",(1+SUP_VOLUMEN!$C$26),(1+SUP_VOLUMEN!$C$27)))*INDEX(SUP_C3_EXPANSION!$C$6:$F$6,MIN(4,COUNTIF(CAPA3_EXPANSION!$D$56:Z$56,"&gt;="&amp;6)))*CAPA3_EXPANSION!Z$36)</f>
        <v>0</v>
      </c>
      <c r="AA13" s="88">
        <f>IF(COUNTIF(CAPA3_EXPANSION!$D$56:AA$56,"&gt;="&amp;6)=0,0,SUP_CONTROL!$C$8*IF($B13="V",1,IF($B13="D",(1+SUP_VOLUMEN!$C$26),(1+SUP_VOLUMEN!$C$27)))*INDEX(SUP_C3_EXPANSION!$C$6:$F$6,MIN(4,COUNTIF(CAPA3_EXPANSION!$D$56:AA$56,"&gt;="&amp;6)))*CAPA3_EXPANSION!AA$36)</f>
        <v>0</v>
      </c>
      <c r="AB13" s="88">
        <f>IF(COUNTIF(CAPA3_EXPANSION!$D$56:AB$56,"&gt;="&amp;6)=0,0,SUP_CONTROL!$C$8*IF($B13="V",1,IF($B13="D",(1+SUP_VOLUMEN!$C$26),(1+SUP_VOLUMEN!$C$27)))*INDEX(SUP_C3_EXPANSION!$C$6:$F$6,MIN(4,COUNTIF(CAPA3_EXPANSION!$D$56:AB$56,"&gt;="&amp;6)))*CAPA3_EXPANSION!AB$36)</f>
        <v>0</v>
      </c>
      <c r="AC13" s="88">
        <f>IF(COUNTIF(CAPA3_EXPANSION!$D$56:AC$56,"&gt;="&amp;6)=0,0,SUP_CONTROL!$C$8*IF($B13="V",1,IF($B13="D",(1+SUP_VOLUMEN!$C$26),(1+SUP_VOLUMEN!$C$27)))*INDEX(SUP_C3_EXPANSION!$C$6:$F$6,MIN(4,COUNTIF(CAPA3_EXPANSION!$D$56:AC$56,"&gt;="&amp;6)))*CAPA3_EXPANSION!AC$36)</f>
        <v>0</v>
      </c>
      <c r="AD13" s="88">
        <f>IF(COUNTIF(CAPA3_EXPANSION!$D$56:AD$56,"&gt;="&amp;6)=0,0,SUP_CONTROL!$C$8*IF($B13="V",1,IF($B13="D",(1+SUP_VOLUMEN!$C$26),(1+SUP_VOLUMEN!$C$27)))*INDEX(SUP_C3_EXPANSION!$C$6:$F$6,MIN(4,COUNTIF(CAPA3_EXPANSION!$D$56:AD$56,"&gt;="&amp;6)))*CAPA3_EXPANSION!AD$36)</f>
        <v>0</v>
      </c>
      <c r="AE13" s="88">
        <f>IF(COUNTIF(CAPA3_EXPANSION!$D$56:AE$56,"&gt;="&amp;6)=0,0,SUP_CONTROL!$C$8*IF($B13="V",1,IF($B13="D",(1+SUP_VOLUMEN!$C$26),(1+SUP_VOLUMEN!$C$27)))*INDEX(SUP_C3_EXPANSION!$C$6:$F$6,MIN(4,COUNTIF(CAPA3_EXPANSION!$D$56:AE$56,"&gt;="&amp;6)))*CAPA3_EXPANSION!AE$36)</f>
        <v>0</v>
      </c>
      <c r="AF13" s="88">
        <f>IF(COUNTIF(CAPA3_EXPANSION!$D$56:AF$56,"&gt;="&amp;6)=0,0,SUP_CONTROL!$C$8*IF($B13="V",1,IF($B13="D",(1+SUP_VOLUMEN!$C$26),(1+SUP_VOLUMEN!$C$27)))*INDEX(SUP_C3_EXPANSION!$C$6:$F$6,MIN(4,COUNTIF(CAPA3_EXPANSION!$D$56:AF$56,"&gt;="&amp;6)))*CAPA3_EXPANSION!AF$36)</f>
        <v>0</v>
      </c>
      <c r="AG13" s="88">
        <f>IF(COUNTIF(CAPA3_EXPANSION!$D$56:AG$56,"&gt;="&amp;6)=0,0,SUP_CONTROL!$C$8*IF($B13="V",1,IF($B13="D",(1+SUP_VOLUMEN!$C$26),(1+SUP_VOLUMEN!$C$27)))*INDEX(SUP_C3_EXPANSION!$C$6:$F$6,MIN(4,COUNTIF(CAPA3_EXPANSION!$D$56:AG$56,"&gt;="&amp;6)))*CAPA3_EXPANSION!AG$36)</f>
        <v>0</v>
      </c>
      <c r="AH13" s="88">
        <f>IF(COUNTIF(CAPA3_EXPANSION!$D$56:AH$56,"&gt;="&amp;6)=0,0,SUP_CONTROL!$C$8*IF($B13="V",1,IF($B13="D",(1+SUP_VOLUMEN!$C$26),(1+SUP_VOLUMEN!$C$27)))*INDEX(SUP_C3_EXPANSION!$C$6:$F$6,MIN(4,COUNTIF(CAPA3_EXPANSION!$D$56:AH$56,"&gt;="&amp;6)))*CAPA3_EXPANSION!AH$36)</f>
        <v>0</v>
      </c>
      <c r="AI13" s="88">
        <f>IF(COUNTIF(CAPA3_EXPANSION!$D$56:AI$56,"&gt;="&amp;6)=0,0,SUP_CONTROL!$C$8*IF($B13="V",1,IF($B13="D",(1+SUP_VOLUMEN!$C$26),(1+SUP_VOLUMEN!$C$27)))*INDEX(SUP_C3_EXPANSION!$C$6:$F$6,MIN(4,COUNTIF(CAPA3_EXPANSION!$D$56:AI$56,"&gt;="&amp;6)))*CAPA3_EXPANSION!AI$36)</f>
        <v>2122.8935000000001</v>
      </c>
      <c r="AJ13" s="88">
        <f>IF(COUNTIF(CAPA3_EXPANSION!$D$56:AJ$56,"&gt;="&amp;6)=0,0,SUP_CONTROL!$C$8*IF($B13="V",1,IF($B13="D",(1+SUP_VOLUMEN!$C$26),(1+SUP_VOLUMEN!$C$27)))*INDEX(SUP_C3_EXPANSION!$C$6:$F$6,MIN(4,COUNTIF(CAPA3_EXPANSION!$D$56:AJ$56,"&gt;="&amp;6)))*CAPA3_EXPANSION!AJ$36)</f>
        <v>2612.7920000000004</v>
      </c>
      <c r="AK13" s="88">
        <f>IF(COUNTIF(CAPA3_EXPANSION!$D$56:AK$56,"&gt;="&amp;6)=0,0,SUP_CONTROL!$C$8*IF($B13="V",1,IF($B13="D",(1+SUP_VOLUMEN!$C$26),(1+SUP_VOLUMEN!$C$27)))*INDEX(SUP_C3_EXPANSION!$C$6:$F$6,MIN(4,COUNTIF(CAPA3_EXPANSION!$D$56:AK$56,"&gt;="&amp;6)))*CAPA3_EXPANSION!AK$36)</f>
        <v>2939.3910000000001</v>
      </c>
      <c r="AL13" s="88">
        <f>IF(COUNTIF(CAPA3_EXPANSION!$D$56:AL$56,"&gt;="&amp;6)=0,0,SUP_CONTROL!$C$8*IF($B13="V",1,IF($B13="D",(1+SUP_VOLUMEN!$C$26),(1+SUP_VOLUMEN!$C$27)))*INDEX(SUP_C3_EXPANSION!$C$6:$F$6,MIN(4,COUNTIF(CAPA3_EXPANSION!$D$56:AL$56,"&gt;="&amp;6)))*CAPA3_EXPANSION!AL$36)</f>
        <v>3181.8150000000001</v>
      </c>
      <c r="AM13" s="88">
        <f>IF(COUNTIF(CAPA3_EXPANSION!$D$56:AM$56,"&gt;="&amp;6)=0,0,SUP_CONTROL!$C$8*IF($B13="V",1,IF($B13="D",(1+SUP_VOLUMEN!$C$26),(1+SUP_VOLUMEN!$C$27)))*INDEX(SUP_C3_EXPANSION!$C$6:$F$6,MIN(4,COUNTIF(CAPA3_EXPANSION!$D$56:AM$56,"&gt;="&amp;6)))*CAPA3_EXPANSION!AM$36)</f>
        <v>3181.8150000000001</v>
      </c>
      <c r="AN13" s="88">
        <f>IF(COUNTIF(CAPA3_EXPANSION!$D$56:AN$56,"&gt;="&amp;6)=0,0,SUP_CONTROL!$C$8*IF($B13="V",1,IF($B13="D",(1+SUP_VOLUMEN!$C$26),(1+SUP_VOLUMEN!$C$27)))*INDEX(SUP_C3_EXPANSION!$C$6:$F$6,MIN(4,COUNTIF(CAPA3_EXPANSION!$D$56:AN$56,"&gt;="&amp;6)))*CAPA3_EXPANSION!AN$36)</f>
        <v>3181.8150000000001</v>
      </c>
      <c r="AO13" s="88">
        <f>IF(COUNTIF(CAPA3_EXPANSION!$D$56:AO$56,"&gt;="&amp;6)=0,0,SUP_CONTROL!$C$8*IF($B13="V",1,IF($B13="D",(1+SUP_VOLUMEN!$C$26),(1+SUP_VOLUMEN!$C$27)))*INDEX(SUP_C3_EXPANSION!$C$6:$F$6,MIN(4,COUNTIF(CAPA3_EXPANSION!$D$56:AO$56,"&gt;="&amp;6)))*CAPA3_EXPANSION!AO$36)</f>
        <v>3181.8150000000001</v>
      </c>
      <c r="AP13" s="88">
        <f>IF(COUNTIF(CAPA3_EXPANSION!$D$56:AP$56,"&gt;="&amp;6)=0,0,SUP_CONTROL!$C$8*IF($B13="V",1,IF($B13="D",(1+SUP_VOLUMEN!$C$26),(1+SUP_VOLUMEN!$C$27)))*INDEX(SUP_C3_EXPANSION!$C$6:$F$6,MIN(4,COUNTIF(CAPA3_EXPANSION!$D$56:AP$56,"&gt;="&amp;6)))*CAPA3_EXPANSION!AP$36)</f>
        <v>3181.8150000000001</v>
      </c>
      <c r="AQ13" s="88">
        <f>IF(COUNTIF(CAPA3_EXPANSION!$D$56:AQ$56,"&gt;="&amp;6)=0,0,SUP_CONTROL!$C$8*IF($B13="V",1,IF($B13="D",(1+SUP_VOLUMEN!$C$26),(1+SUP_VOLUMEN!$C$27)))*INDEX(SUP_C3_EXPANSION!$C$6:$F$6,MIN(4,COUNTIF(CAPA3_EXPANSION!$D$56:AQ$56,"&gt;="&amp;6)))*CAPA3_EXPANSION!AQ$36)</f>
        <v>3181.8150000000001</v>
      </c>
      <c r="AR13" s="88">
        <f>IF(COUNTIF(CAPA3_EXPANSION!$D$56:AR$56,"&gt;="&amp;6)=0,0,SUP_CONTROL!$C$8*IF($B13="V",1,IF($B13="D",(1+SUP_VOLUMEN!$C$26),(1+SUP_VOLUMEN!$C$27)))*INDEX(SUP_C3_EXPANSION!$C$6:$F$6,MIN(4,COUNTIF(CAPA3_EXPANSION!$D$56:AR$56,"&gt;="&amp;6)))*CAPA3_EXPANSION!AR$36)</f>
        <v>3181.8150000000001</v>
      </c>
      <c r="AS13" s="88">
        <f>IF(COUNTIF(CAPA3_EXPANSION!$D$56:AS$56,"&gt;="&amp;6)=0,0,SUP_CONTROL!$C$8*IF($B13="V",1,IF($B13="D",(1+SUP_VOLUMEN!$C$26),(1+SUP_VOLUMEN!$C$27)))*INDEX(SUP_C3_EXPANSION!$C$6:$F$6,MIN(4,COUNTIF(CAPA3_EXPANSION!$D$56:AS$56,"&gt;="&amp;6)))*CAPA3_EXPANSION!AS$36)</f>
        <v>3181.8150000000001</v>
      </c>
      <c r="AT13" s="88">
        <f>IF(COUNTIF(CAPA3_EXPANSION!$D$56:AT$56,"&gt;="&amp;6)=0,0,SUP_CONTROL!$C$8*IF($B13="V",1,IF($B13="D",(1+SUP_VOLUMEN!$C$26),(1+SUP_VOLUMEN!$C$27)))*INDEX(SUP_C3_EXPANSION!$C$6:$F$6,MIN(4,COUNTIF(CAPA3_EXPANSION!$D$56:AT$56,"&gt;="&amp;6)))*CAPA3_EXPANSION!AT$36)</f>
        <v>3181.8150000000001</v>
      </c>
      <c r="AU13" s="88">
        <f>IF(COUNTIF(CAPA3_EXPANSION!$D$56:AU$56,"&gt;="&amp;6)=0,0,SUP_CONTROL!$C$8*IF($B13="V",1,IF($B13="D",(1+SUP_VOLUMEN!$C$26),(1+SUP_VOLUMEN!$C$27)))*INDEX(SUP_C3_EXPANSION!$C$6:$F$6,MIN(4,COUNTIF(CAPA3_EXPANSION!$D$56:AU$56,"&gt;="&amp;6)))*CAPA3_EXPANSION!AU$36)</f>
        <v>3181.8150000000001</v>
      </c>
      <c r="AV13" s="88">
        <f>IF(COUNTIF(CAPA3_EXPANSION!$D$56:AV$56,"&gt;="&amp;6)=0,0,SUP_CONTROL!$C$8*IF($B13="V",1,IF($B13="D",(1+SUP_VOLUMEN!$C$26),(1+SUP_VOLUMEN!$C$27)))*INDEX(SUP_C3_EXPANSION!$C$6:$F$6,MIN(4,COUNTIF(CAPA3_EXPANSION!$D$56:AV$56,"&gt;="&amp;6)))*CAPA3_EXPANSION!AV$36)</f>
        <v>3181.8150000000001</v>
      </c>
      <c r="AW13" s="88">
        <f>IF(COUNTIF(CAPA3_EXPANSION!$D$56:AW$56,"&gt;="&amp;6)=0,0,SUP_CONTROL!$C$8*IF($B13="V",1,IF($B13="D",(1+SUP_VOLUMEN!$C$26),(1+SUP_VOLUMEN!$C$27)))*INDEX(SUP_C3_EXPANSION!$C$6:$F$6,MIN(4,COUNTIF(CAPA3_EXPANSION!$D$56:AW$56,"&gt;="&amp;6)))*CAPA3_EXPANSION!AW$36)</f>
        <v>3181.8150000000001</v>
      </c>
      <c r="AX13" s="88">
        <f>IF(COUNTIF(CAPA3_EXPANSION!$D$56:AX$56,"&gt;="&amp;6)=0,0,SUP_CONTROL!$C$8*IF($B13="V",1,IF($B13="D",(1+SUP_VOLUMEN!$C$26),(1+SUP_VOLUMEN!$C$27)))*INDEX(SUP_C3_EXPANSION!$C$6:$F$6,MIN(4,COUNTIF(CAPA3_EXPANSION!$D$56:AX$56,"&gt;="&amp;6)))*CAPA3_EXPANSION!AX$36)</f>
        <v>3181.8150000000001</v>
      </c>
      <c r="AY13" s="88">
        <f>IF(COUNTIF(CAPA3_EXPANSION!$D$56:AY$56,"&gt;="&amp;6)=0,0,SUP_CONTROL!$C$8*IF($B13="V",1,IF($B13="D",(1+SUP_VOLUMEN!$C$26),(1+SUP_VOLUMEN!$C$27)))*INDEX(SUP_C3_EXPANSION!$C$6:$F$6,MIN(4,COUNTIF(CAPA3_EXPANSION!$D$56:AY$56,"&gt;="&amp;6)))*CAPA3_EXPANSION!AY$36)</f>
        <v>3181.8150000000001</v>
      </c>
      <c r="AZ13" s="88">
        <f>IF(COUNTIF(CAPA3_EXPANSION!$D$56:AZ$56,"&gt;="&amp;6)=0,0,SUP_CONTROL!$C$8*IF($B13="V",1,IF($B13="D",(1+SUP_VOLUMEN!$C$26),(1+SUP_VOLUMEN!$C$27)))*INDEX(SUP_C3_EXPANSION!$C$6:$F$6,MIN(4,COUNTIF(CAPA3_EXPANSION!$D$56:AZ$56,"&gt;="&amp;6)))*CAPA3_EXPANSION!AZ$36)</f>
        <v>3181.8150000000001</v>
      </c>
      <c r="BA13" s="88">
        <f>IF(COUNTIF(CAPA3_EXPANSION!$D$56:BA$56,"&gt;="&amp;6)=0,0,SUP_CONTROL!$C$8*IF($B13="V",1,IF($B13="D",(1+SUP_VOLUMEN!$C$26),(1+SUP_VOLUMEN!$C$27)))*INDEX(SUP_C3_EXPANSION!$C$6:$F$6,MIN(4,COUNTIF(CAPA3_EXPANSION!$D$56:BA$56,"&gt;="&amp;6)))*CAPA3_EXPANSION!BA$36)</f>
        <v>3097.6400000000003</v>
      </c>
      <c r="BB13" s="88">
        <f>IF(COUNTIF(CAPA3_EXPANSION!$D$56:BB$56,"&gt;="&amp;6)=0,0,SUP_CONTROL!$C$8*IF($B13="V",1,IF($B13="D",(1+SUP_VOLUMEN!$C$26),(1+SUP_VOLUMEN!$C$27)))*INDEX(SUP_C3_EXPANSION!$C$6:$F$6,MIN(4,COUNTIF(CAPA3_EXPANSION!$D$56:BB$56,"&gt;="&amp;6)))*CAPA3_EXPANSION!BB$36)</f>
        <v>3097.6400000000003</v>
      </c>
      <c r="BC13" s="88">
        <f>IF(COUNTIF(CAPA3_EXPANSION!$D$56:BC$56,"&gt;="&amp;6)=0,0,SUP_CONTROL!$C$8*IF($B13="V",1,IF($B13="D",(1+SUP_VOLUMEN!$C$26),(1+SUP_VOLUMEN!$C$27)))*INDEX(SUP_C3_EXPANSION!$C$6:$F$6,MIN(4,COUNTIF(CAPA3_EXPANSION!$D$56:BC$56,"&gt;="&amp;6)))*CAPA3_EXPANSION!BC$36)</f>
        <v>3097.6400000000003</v>
      </c>
      <c r="BD13" s="88">
        <f>IF(COUNTIF(CAPA3_EXPANSION!$D$56:BD$56,"&gt;="&amp;6)=0,0,SUP_CONTROL!$C$8*IF($B13="V",1,IF($B13="D",(1+SUP_VOLUMEN!$C$26),(1+SUP_VOLUMEN!$C$27)))*INDEX(SUP_C3_EXPANSION!$C$6:$F$6,MIN(4,COUNTIF(CAPA3_EXPANSION!$D$56:BD$56,"&gt;="&amp;6)))*CAPA3_EXPANSION!BD$36)</f>
        <v>3097.6400000000003</v>
      </c>
      <c r="BE13" s="88">
        <f>IF(COUNTIF(CAPA3_EXPANSION!$D$56:BE$56,"&gt;="&amp;6)=0,0,SUP_CONTROL!$C$8*IF($B13="V",1,IF($B13="D",(1+SUP_VOLUMEN!$C$26),(1+SUP_VOLUMEN!$C$27)))*INDEX(SUP_C3_EXPANSION!$C$6:$F$6,MIN(4,COUNTIF(CAPA3_EXPANSION!$D$56:BE$56,"&gt;="&amp;6)))*CAPA3_EXPANSION!BE$36)</f>
        <v>3097.6400000000003</v>
      </c>
      <c r="BF13" s="88">
        <f>IF(COUNTIF(CAPA3_EXPANSION!$D$56:BF$56,"&gt;="&amp;6)=0,0,SUP_CONTROL!$C$8*IF($B13="V",1,IF($B13="D",(1+SUP_VOLUMEN!$C$26),(1+SUP_VOLUMEN!$C$27)))*INDEX(SUP_C3_EXPANSION!$C$6:$F$6,MIN(4,COUNTIF(CAPA3_EXPANSION!$D$56:BF$56,"&gt;="&amp;6)))*CAPA3_EXPANSION!BF$36)</f>
        <v>3030.3</v>
      </c>
      <c r="BG13" s="88">
        <f>IF(COUNTIF(CAPA3_EXPANSION!$D$56:BG$56,"&gt;="&amp;6)=0,0,SUP_CONTROL!$C$8*IF($B13="V",1,IF($B13="D",(1+SUP_VOLUMEN!$C$26),(1+SUP_VOLUMEN!$C$27)))*INDEX(SUP_C3_EXPANSION!$C$6:$F$6,MIN(4,COUNTIF(CAPA3_EXPANSION!$D$56:BG$56,"&gt;="&amp;6)))*CAPA3_EXPANSION!BG$36)</f>
        <v>3030.3</v>
      </c>
      <c r="BH13" s="88">
        <f>IF(COUNTIF(CAPA3_EXPANSION!$D$56:BH$56,"&gt;="&amp;6)=0,0,SUP_CONTROL!$C$8*IF($B13="V",1,IF($B13="D",(1+SUP_VOLUMEN!$C$26),(1+SUP_VOLUMEN!$C$27)))*INDEX(SUP_C3_EXPANSION!$C$6:$F$6,MIN(4,COUNTIF(CAPA3_EXPANSION!$D$56:BH$56,"&gt;="&amp;6)))*CAPA3_EXPANSION!BH$36)</f>
        <v>3030.3</v>
      </c>
      <c r="BI13" s="88">
        <f>IF(COUNTIF(CAPA3_EXPANSION!$D$56:BI$56,"&gt;="&amp;6)=0,0,SUP_CONTROL!$C$8*IF($B13="V",1,IF($B13="D",(1+SUP_VOLUMEN!$C$26),(1+SUP_VOLUMEN!$C$27)))*INDEX(SUP_C3_EXPANSION!$C$6:$F$6,MIN(4,COUNTIF(CAPA3_EXPANSION!$D$56:BI$56,"&gt;="&amp;6)))*CAPA3_EXPANSION!BI$36)</f>
        <v>3030.3</v>
      </c>
      <c r="BJ13" s="88">
        <f>IF(COUNTIF(CAPA3_EXPANSION!$D$56:BJ$56,"&gt;="&amp;6)=0,0,SUP_CONTROL!$C$8*IF($B13="V",1,IF($B13="D",(1+SUP_VOLUMEN!$C$26),(1+SUP_VOLUMEN!$C$27)))*INDEX(SUP_C3_EXPANSION!$C$6:$F$6,MIN(4,COUNTIF(CAPA3_EXPANSION!$D$56:BJ$56,"&gt;="&amp;6)))*CAPA3_EXPANSION!BJ$36)</f>
        <v>3030.3</v>
      </c>
      <c r="BK13" s="88">
        <f>IF(COUNTIF(CAPA3_EXPANSION!$D$56:BK$56,"&gt;="&amp;6)=0,0,SUP_CONTROL!$C$8*IF($B13="V",1,IF($B13="D",(1+SUP_VOLUMEN!$C$26),(1+SUP_VOLUMEN!$C$27)))*INDEX(SUP_C3_EXPANSION!$C$6:$F$6,MIN(4,COUNTIF(CAPA3_EXPANSION!$D$56:BK$56,"&gt;="&amp;6)))*CAPA3_EXPANSION!BK$36)</f>
        <v>2962.96</v>
      </c>
      <c r="BL13" s="88">
        <f>IF(COUNTIF(CAPA3_EXPANSION!$D$56:BL$56,"&gt;="&amp;6)=0,0,SUP_CONTROL!$C$8*IF($B13="V",1,IF($B13="D",(1+SUP_VOLUMEN!$C$26),(1+SUP_VOLUMEN!$C$27)))*INDEX(SUP_C3_EXPANSION!$C$6:$F$6,MIN(4,COUNTIF(CAPA3_EXPANSION!$D$56:BL$56,"&gt;="&amp;6)))*CAPA3_EXPANSION!BL$36)</f>
        <v>2962.96</v>
      </c>
      <c r="BM13" s="88">
        <f>IF(COUNTIF(CAPA3_EXPANSION!$D$56:BM$56,"&gt;="&amp;6)=0,0,SUP_CONTROL!$C$8*IF($B13="V",1,IF($B13="D",(1+SUP_VOLUMEN!$C$26),(1+SUP_VOLUMEN!$C$27)))*INDEX(SUP_C3_EXPANSION!$C$6:$F$6,MIN(4,COUNTIF(CAPA3_EXPANSION!$D$56:BM$56,"&gt;="&amp;6)))*CAPA3_EXPANSION!BM$36)</f>
        <v>2962.96</v>
      </c>
      <c r="BN13" s="88">
        <f>IF(COUNTIF(CAPA3_EXPANSION!$D$56:BN$56,"&gt;="&amp;6)=0,0,SUP_CONTROL!$C$8*IF($B13="V",1,IF($B13="D",(1+SUP_VOLUMEN!$C$26),(1+SUP_VOLUMEN!$C$27)))*INDEX(SUP_C3_EXPANSION!$C$6:$F$6,MIN(4,COUNTIF(CAPA3_EXPANSION!$D$56:BN$56,"&gt;="&amp;6)))*CAPA3_EXPANSION!BN$36)</f>
        <v>2962.96</v>
      </c>
      <c r="BO13" s="88">
        <f>IF(COUNTIF(CAPA3_EXPANSION!$D$56:BO$56,"&gt;="&amp;6)=0,0,SUP_CONTROL!$C$8*IF($B13="V",1,IF($B13="D",(1+SUP_VOLUMEN!$C$26),(1+SUP_VOLUMEN!$C$27)))*INDEX(SUP_C3_EXPANSION!$C$6:$F$6,MIN(4,COUNTIF(CAPA3_EXPANSION!$D$56:BO$56,"&gt;="&amp;6)))*CAPA3_EXPANSION!BO$36)</f>
        <v>2962.96</v>
      </c>
      <c r="BP13" s="88">
        <f>IF(COUNTIF(CAPA3_EXPANSION!$D$56:BP$56,"&gt;="&amp;6)=0,0,SUP_CONTROL!$C$8*IF($B13="V",1,IF($B13="D",(1+SUP_VOLUMEN!$C$26),(1+SUP_VOLUMEN!$C$27)))*INDEX(SUP_C3_EXPANSION!$C$6:$F$6,MIN(4,COUNTIF(CAPA3_EXPANSION!$D$56:BP$56,"&gt;="&amp;6)))*CAPA3_EXPANSION!BP$36)</f>
        <v>2912.4549999999999</v>
      </c>
      <c r="BQ13" s="88">
        <f>IF(COUNTIF(CAPA3_EXPANSION!$D$56:BQ$56,"&gt;="&amp;6)=0,0,SUP_CONTROL!$C$8*IF($B13="V",1,IF($B13="D",(1+SUP_VOLUMEN!$C$26),(1+SUP_VOLUMEN!$C$27)))*INDEX(SUP_C3_EXPANSION!$C$6:$F$6,MIN(4,COUNTIF(CAPA3_EXPANSION!$D$56:BQ$56,"&gt;="&amp;6)))*CAPA3_EXPANSION!BQ$36)</f>
        <v>2912.4549999999999</v>
      </c>
      <c r="BR13" s="88">
        <f>IF(COUNTIF(CAPA3_EXPANSION!$D$56:BR$56,"&gt;="&amp;6)=0,0,SUP_CONTROL!$C$8*IF($B13="V",1,IF($B13="D",(1+SUP_VOLUMEN!$C$26),(1+SUP_VOLUMEN!$C$27)))*INDEX(SUP_C3_EXPANSION!$C$6:$F$6,MIN(4,COUNTIF(CAPA3_EXPANSION!$D$56:BR$56,"&gt;="&amp;6)))*CAPA3_EXPANSION!BR$36)</f>
        <v>2912.4549999999999</v>
      </c>
      <c r="BS13" s="88">
        <f>IF(COUNTIF(CAPA3_EXPANSION!$D$56:BS$56,"&gt;="&amp;6)=0,0,SUP_CONTROL!$C$8*IF($B13="V",1,IF($B13="D",(1+SUP_VOLUMEN!$C$26),(1+SUP_VOLUMEN!$C$27)))*INDEX(SUP_C3_EXPANSION!$C$6:$F$6,MIN(4,COUNTIF(CAPA3_EXPANSION!$D$56:BS$56,"&gt;="&amp;6)))*CAPA3_EXPANSION!BS$36)</f>
        <v>2912.4549999999999</v>
      </c>
      <c r="BT13" s="88">
        <f>IF(COUNTIF(CAPA3_EXPANSION!$D$56:BT$56,"&gt;="&amp;6)=0,0,SUP_CONTROL!$C$8*IF($B13="V",1,IF($B13="D",(1+SUP_VOLUMEN!$C$26),(1+SUP_VOLUMEN!$C$27)))*INDEX(SUP_C3_EXPANSION!$C$6:$F$6,MIN(4,COUNTIF(CAPA3_EXPANSION!$D$56:BT$56,"&gt;="&amp;6)))*CAPA3_EXPANSION!BT$36)</f>
        <v>2912.4549999999999</v>
      </c>
      <c r="BU13" s="88">
        <f>IF(COUNTIF(CAPA3_EXPANSION!$D$56:BU$56,"&gt;="&amp;6)=0,0,SUP_CONTROL!$C$8*IF($B13="V",1,IF($B13="D",(1+SUP_VOLUMEN!$C$26),(1+SUP_VOLUMEN!$C$27)))*INDEX(SUP_C3_EXPANSION!$C$6:$F$6,MIN(4,COUNTIF(CAPA3_EXPANSION!$D$56:BU$56,"&gt;="&amp;6)))*CAPA3_EXPANSION!BU$36)</f>
        <v>2861.95</v>
      </c>
      <c r="BV13" s="88">
        <f>IF(COUNTIF(CAPA3_EXPANSION!$D$56:BV$56,"&gt;="&amp;6)=0,0,SUP_CONTROL!$C$8*IF($B13="V",1,IF($B13="D",(1+SUP_VOLUMEN!$C$26),(1+SUP_VOLUMEN!$C$27)))*INDEX(SUP_C3_EXPANSION!$C$6:$F$6,MIN(4,COUNTIF(CAPA3_EXPANSION!$D$56:BV$56,"&gt;="&amp;6)))*CAPA3_EXPANSION!BV$36)</f>
        <v>2861.95</v>
      </c>
      <c r="BW13" s="88">
        <f>IF(COUNTIF(CAPA3_EXPANSION!$D$56:BW$56,"&gt;="&amp;6)=0,0,SUP_CONTROL!$C$8*IF($B13="V",1,IF($B13="D",(1+SUP_VOLUMEN!$C$26),(1+SUP_VOLUMEN!$C$27)))*INDEX(SUP_C3_EXPANSION!$C$6:$F$6,MIN(4,COUNTIF(CAPA3_EXPANSION!$D$56:BW$56,"&gt;="&amp;6)))*CAPA3_EXPANSION!BW$36)</f>
        <v>2861.95</v>
      </c>
      <c r="BX13" s="88">
        <f>IF(COUNTIF(CAPA3_EXPANSION!$D$56:BX$56,"&gt;="&amp;6)=0,0,SUP_CONTROL!$C$8*IF($B13="V",1,IF($B13="D",(1+SUP_VOLUMEN!$C$26),(1+SUP_VOLUMEN!$C$27)))*INDEX(SUP_C3_EXPANSION!$C$6:$F$6,MIN(4,COUNTIF(CAPA3_EXPANSION!$D$56:BX$56,"&gt;="&amp;6)))*CAPA3_EXPANSION!BX$36)</f>
        <v>2861.95</v>
      </c>
      <c r="BY13" s="88">
        <f>IF(COUNTIF(CAPA3_EXPANSION!$D$56:BY$56,"&gt;="&amp;6)=0,0,SUP_CONTROL!$C$8*IF($B13="V",1,IF($B13="D",(1+SUP_VOLUMEN!$C$26),(1+SUP_VOLUMEN!$C$27)))*INDEX(SUP_C3_EXPANSION!$C$6:$F$6,MIN(4,COUNTIF(CAPA3_EXPANSION!$D$56:BY$56,"&gt;="&amp;6)))*CAPA3_EXPANSION!BY$36)</f>
        <v>2861.95</v>
      </c>
      <c r="BZ13" s="88">
        <f>IF(COUNTIF(CAPA3_EXPANSION!$D$56:BZ$56,"&gt;="&amp;6)=0,0,SUP_CONTROL!$C$8*IF($B13="V",1,IF($B13="D",(1+SUP_VOLUMEN!$C$26),(1+SUP_VOLUMEN!$C$27)))*INDEX(SUP_C3_EXPANSION!$C$6:$F$6,MIN(4,COUNTIF(CAPA3_EXPANSION!$D$56:BZ$56,"&gt;="&amp;6)))*CAPA3_EXPANSION!BZ$36)</f>
        <v>2828.2799999999997</v>
      </c>
      <c r="CA13" s="88">
        <f>IF(COUNTIF(CAPA3_EXPANSION!$D$56:CA$56,"&gt;="&amp;6)=0,0,SUP_CONTROL!$C$8*IF($B13="V",1,IF($B13="D",(1+SUP_VOLUMEN!$C$26),(1+SUP_VOLUMEN!$C$27)))*INDEX(SUP_C3_EXPANSION!$C$6:$F$6,MIN(4,COUNTIF(CAPA3_EXPANSION!$D$56:CA$56,"&gt;="&amp;6)))*CAPA3_EXPANSION!CA$36)</f>
        <v>2828.2799999999997</v>
      </c>
      <c r="CB13" s="88">
        <f>IF(COUNTIF(CAPA3_EXPANSION!$D$56:CB$56,"&gt;="&amp;6)=0,0,SUP_CONTROL!$C$8*IF($B13="V",1,IF($B13="D",(1+SUP_VOLUMEN!$C$26),(1+SUP_VOLUMEN!$C$27)))*INDEX(SUP_C3_EXPANSION!$C$6:$F$6,MIN(4,COUNTIF(CAPA3_EXPANSION!$D$56:CB$56,"&gt;="&amp;6)))*CAPA3_EXPANSION!CB$36)</f>
        <v>2828.2799999999997</v>
      </c>
      <c r="CC13" s="88">
        <f>IF(COUNTIF(CAPA3_EXPANSION!$D$56:CC$56,"&gt;="&amp;6)=0,0,SUP_CONTROL!$C$8*IF($B13="V",1,IF($B13="D",(1+SUP_VOLUMEN!$C$26),(1+SUP_VOLUMEN!$C$27)))*INDEX(SUP_C3_EXPANSION!$C$6:$F$6,MIN(4,COUNTIF(CAPA3_EXPANSION!$D$56:CC$56,"&gt;="&amp;6)))*CAPA3_EXPANSION!CC$36)</f>
        <v>2828.2799999999997</v>
      </c>
      <c r="CD13" s="88">
        <f>IF(COUNTIF(CAPA3_EXPANSION!$D$56:CD$56,"&gt;="&amp;6)=0,0,SUP_CONTROL!$C$8*IF($B13="V",1,IF($B13="D",(1+SUP_VOLUMEN!$C$26),(1+SUP_VOLUMEN!$C$27)))*INDEX(SUP_C3_EXPANSION!$C$6:$F$6,MIN(4,COUNTIF(CAPA3_EXPANSION!$D$56:CD$56,"&gt;="&amp;6)))*CAPA3_EXPANSION!CD$36)</f>
        <v>2828.2799999999997</v>
      </c>
      <c r="CE13" s="88">
        <f>IF(COUNTIF(CAPA3_EXPANSION!$D$56:CE$56,"&gt;="&amp;6)=0,0,SUP_CONTROL!$C$8*IF($B13="V",1,IF($B13="D",(1+SUP_VOLUMEN!$C$26),(1+SUP_VOLUMEN!$C$27)))*INDEX(SUP_C3_EXPANSION!$C$6:$F$6,MIN(4,COUNTIF(CAPA3_EXPANSION!$D$56:CE$56,"&gt;="&amp;6)))*CAPA3_EXPANSION!CE$36)</f>
        <v>2828.2799999999997</v>
      </c>
      <c r="CF13" s="88">
        <f>IF(COUNTIF(CAPA3_EXPANSION!$D$56:CF$56,"&gt;="&amp;6)=0,0,SUP_CONTROL!$C$8*IF($B13="V",1,IF($B13="D",(1+SUP_VOLUMEN!$C$26),(1+SUP_VOLUMEN!$C$27)))*INDEX(SUP_C3_EXPANSION!$C$6:$F$6,MIN(4,COUNTIF(CAPA3_EXPANSION!$D$56:CF$56,"&gt;="&amp;6)))*CAPA3_EXPANSION!CF$36)</f>
        <v>2828.2799999999997</v>
      </c>
      <c r="CG13" s="88">
        <f>IF(COUNTIF(CAPA3_EXPANSION!$D$56:CG$56,"&gt;="&amp;6)=0,0,SUP_CONTROL!$C$8*IF($B13="V",1,IF($B13="D",(1+SUP_VOLUMEN!$C$26),(1+SUP_VOLUMEN!$C$27)))*INDEX(SUP_C3_EXPANSION!$C$6:$F$6,MIN(4,COUNTIF(CAPA3_EXPANSION!$D$56:CG$56,"&gt;="&amp;6)))*CAPA3_EXPANSION!CG$36)</f>
        <v>2828.2799999999997</v>
      </c>
      <c r="CH13" s="88">
        <f>IF(COUNTIF(CAPA3_EXPANSION!$D$56:CH$56,"&gt;="&amp;6)=0,0,SUP_CONTROL!$C$8*IF($B13="V",1,IF($B13="D",(1+SUP_VOLUMEN!$C$26),(1+SUP_VOLUMEN!$C$27)))*INDEX(SUP_C3_EXPANSION!$C$6:$F$6,MIN(4,COUNTIF(CAPA3_EXPANSION!$D$56:CH$56,"&gt;="&amp;6)))*CAPA3_EXPANSION!CH$36)</f>
        <v>2828.2799999999997</v>
      </c>
      <c r="CI13" s="88">
        <f>IF(COUNTIF(CAPA3_EXPANSION!$D$56:CI$56,"&gt;="&amp;6)=0,0,SUP_CONTROL!$C$8*IF($B13="V",1,IF($B13="D",(1+SUP_VOLUMEN!$C$26),(1+SUP_VOLUMEN!$C$27)))*INDEX(SUP_C3_EXPANSION!$C$6:$F$6,MIN(4,COUNTIF(CAPA3_EXPANSION!$D$56:CI$56,"&gt;="&amp;6)))*CAPA3_EXPANSION!CI$36)</f>
        <v>2828.2799999999997</v>
      </c>
      <c r="CJ13" s="88">
        <f>IF(COUNTIF(CAPA3_EXPANSION!$D$56:CJ$56,"&gt;="&amp;6)=0,0,SUP_CONTROL!$C$8*IF($B13="V",1,IF($B13="D",(1+SUP_VOLUMEN!$C$26),(1+SUP_VOLUMEN!$C$27)))*INDEX(SUP_C3_EXPANSION!$C$6:$F$6,MIN(4,COUNTIF(CAPA3_EXPANSION!$D$56:CJ$56,"&gt;="&amp;6)))*CAPA3_EXPANSION!CJ$36)</f>
        <v>2828.2799999999997</v>
      </c>
      <c r="CK13" s="88">
        <f>IF(COUNTIF(CAPA3_EXPANSION!$D$56:CK$56,"&gt;="&amp;6)=0,0,SUP_CONTROL!$C$8*IF($B13="V",1,IF($B13="D",(1+SUP_VOLUMEN!$C$26),(1+SUP_VOLUMEN!$C$27)))*INDEX(SUP_C3_EXPANSION!$C$6:$F$6,MIN(4,COUNTIF(CAPA3_EXPANSION!$D$56:CK$56,"&gt;="&amp;6)))*CAPA3_EXPANSION!CK$36)</f>
        <v>2828.2799999999997</v>
      </c>
      <c r="CL13" s="88">
        <f>IF(COUNTIF(CAPA3_EXPANSION!$D$56:CL$56,"&gt;="&amp;6)=0,0,SUP_CONTROL!$C$8*IF($B13="V",1,IF($B13="D",(1+SUP_VOLUMEN!$C$26),(1+SUP_VOLUMEN!$C$27)))*INDEX(SUP_C3_EXPANSION!$C$6:$F$6,MIN(4,COUNTIF(CAPA3_EXPANSION!$D$56:CL$56,"&gt;="&amp;6)))*CAPA3_EXPANSION!CL$36)</f>
        <v>2828.2799999999997</v>
      </c>
      <c r="CM13" s="88">
        <f>IF(COUNTIF(CAPA3_EXPANSION!$D$56:CM$56,"&gt;="&amp;6)=0,0,SUP_CONTROL!$C$8*IF($B13="V",1,IF($B13="D",(1+SUP_VOLUMEN!$C$26),(1+SUP_VOLUMEN!$C$27)))*INDEX(SUP_C3_EXPANSION!$C$6:$F$6,MIN(4,COUNTIF(CAPA3_EXPANSION!$D$56:CM$56,"&gt;="&amp;6)))*CAPA3_EXPANSION!CM$36)</f>
        <v>2828.2799999999997</v>
      </c>
      <c r="CN13" s="88">
        <f>IF(COUNTIF(CAPA3_EXPANSION!$D$56:CN$56,"&gt;="&amp;6)=0,0,SUP_CONTROL!$C$8*IF($B13="V",1,IF($B13="D",(1+SUP_VOLUMEN!$C$26),(1+SUP_VOLUMEN!$C$27)))*INDEX(SUP_C3_EXPANSION!$C$6:$F$6,MIN(4,COUNTIF(CAPA3_EXPANSION!$D$56:CN$56,"&gt;="&amp;6)))*CAPA3_EXPANSION!CN$36)</f>
        <v>2828.2799999999997</v>
      </c>
      <c r="CO13" s="88">
        <f>IF(COUNTIF(CAPA3_EXPANSION!$D$56:CO$56,"&gt;="&amp;6)=0,0,SUP_CONTROL!$C$8*IF($B13="V",1,IF($B13="D",(1+SUP_VOLUMEN!$C$26),(1+SUP_VOLUMEN!$C$27)))*INDEX(SUP_C3_EXPANSION!$C$6:$F$6,MIN(4,COUNTIF(CAPA3_EXPANSION!$D$56:CO$56,"&gt;="&amp;6)))*CAPA3_EXPANSION!CO$36)</f>
        <v>2828.2799999999997</v>
      </c>
      <c r="CP13" s="88">
        <f>IF(COUNTIF(CAPA3_EXPANSION!$D$56:CP$56,"&gt;="&amp;6)=0,0,SUP_CONTROL!$C$8*IF($B13="V",1,IF($B13="D",(1+SUP_VOLUMEN!$C$26),(1+SUP_VOLUMEN!$C$27)))*INDEX(SUP_C3_EXPANSION!$C$6:$F$6,MIN(4,COUNTIF(CAPA3_EXPANSION!$D$56:CP$56,"&gt;="&amp;6)))*CAPA3_EXPANSION!CP$36)</f>
        <v>2828.2799999999997</v>
      </c>
      <c r="CQ13" s="88">
        <f>IF(COUNTIF(CAPA3_EXPANSION!$D$56:CQ$56,"&gt;="&amp;6)=0,0,SUP_CONTROL!$C$8*IF($B13="V",1,IF($B13="D",(1+SUP_VOLUMEN!$C$26),(1+SUP_VOLUMEN!$C$27)))*INDEX(SUP_C3_EXPANSION!$C$6:$F$6,MIN(4,COUNTIF(CAPA3_EXPANSION!$D$56:CQ$56,"&gt;="&amp;6)))*CAPA3_EXPANSION!CQ$36)</f>
        <v>2828.2799999999997</v>
      </c>
      <c r="CR13" s="88">
        <f>IF(COUNTIF(CAPA3_EXPANSION!$D$56:CR$56,"&gt;="&amp;6)=0,0,SUP_CONTROL!$C$8*IF($B13="V",1,IF($B13="D",(1+SUP_VOLUMEN!$C$26),(1+SUP_VOLUMEN!$C$27)))*INDEX(SUP_C3_EXPANSION!$C$6:$F$6,MIN(4,COUNTIF(CAPA3_EXPANSION!$D$56:CR$56,"&gt;="&amp;6)))*CAPA3_EXPANSION!CR$36)</f>
        <v>2828.2799999999997</v>
      </c>
      <c r="CS13" s="88">
        <f>IF(COUNTIF(CAPA3_EXPANSION!$D$56:CS$56,"&gt;="&amp;6)=0,0,SUP_CONTROL!$C$8*IF($B13="V",1,IF($B13="D",(1+SUP_VOLUMEN!$C$26),(1+SUP_VOLUMEN!$C$27)))*INDEX(SUP_C3_EXPANSION!$C$6:$F$6,MIN(4,COUNTIF(CAPA3_EXPANSION!$D$56:CS$56,"&gt;="&amp;6)))*CAPA3_EXPANSION!CS$36)</f>
        <v>2828.2799999999997</v>
      </c>
      <c r="CT13" s="88">
        <f>IF(COUNTIF(CAPA3_EXPANSION!$D$56:CT$56,"&gt;="&amp;6)=0,0,SUP_CONTROL!$C$8*IF($B13="V",1,IF($B13="D",(1+SUP_VOLUMEN!$C$26),(1+SUP_VOLUMEN!$C$27)))*INDEX(SUP_C3_EXPANSION!$C$6:$F$6,MIN(4,COUNTIF(CAPA3_EXPANSION!$D$56:CT$56,"&gt;="&amp;6)))*CAPA3_EXPANSION!CT$36)</f>
        <v>2828.2799999999997</v>
      </c>
      <c r="CU13" s="88">
        <f>IF(COUNTIF(CAPA3_EXPANSION!$D$56:CU$56,"&gt;="&amp;6)=0,0,SUP_CONTROL!$C$8*IF($B13="V",1,IF($B13="D",(1+SUP_VOLUMEN!$C$26),(1+SUP_VOLUMEN!$C$27)))*INDEX(SUP_C3_EXPANSION!$C$6:$F$6,MIN(4,COUNTIF(CAPA3_EXPANSION!$D$56:CU$56,"&gt;="&amp;6)))*CAPA3_EXPANSION!CU$36)</f>
        <v>2828.2799999999997</v>
      </c>
      <c r="CV13" s="88">
        <f>IF(COUNTIF(CAPA3_EXPANSION!$D$56:CV$56,"&gt;="&amp;6)=0,0,SUP_CONTROL!$C$8*IF($B13="V",1,IF($B13="D",(1+SUP_VOLUMEN!$C$26),(1+SUP_VOLUMEN!$C$27)))*INDEX(SUP_C3_EXPANSION!$C$6:$F$6,MIN(4,COUNTIF(CAPA3_EXPANSION!$D$56:CV$56,"&gt;="&amp;6)))*CAPA3_EXPANSION!CV$36)</f>
        <v>2828.2799999999997</v>
      </c>
      <c r="CW13" s="88">
        <f>IF(COUNTIF(CAPA3_EXPANSION!$D$56:CW$56,"&gt;="&amp;6)=0,0,SUP_CONTROL!$C$8*IF($B13="V",1,IF($B13="D",(1+SUP_VOLUMEN!$C$26),(1+SUP_VOLUMEN!$C$27)))*INDEX(SUP_C3_EXPANSION!$C$6:$F$6,MIN(4,COUNTIF(CAPA3_EXPANSION!$D$56:CW$56,"&gt;="&amp;6)))*CAPA3_EXPANSION!CW$36)</f>
        <v>2828.2799999999997</v>
      </c>
      <c r="CX13" s="88">
        <f>IF(COUNTIF(CAPA3_EXPANSION!$D$56:CX$56,"&gt;="&amp;6)=0,0,SUP_CONTROL!$C$8*IF($B13="V",1,IF($B13="D",(1+SUP_VOLUMEN!$C$26),(1+SUP_VOLUMEN!$C$27)))*INDEX(SUP_C3_EXPANSION!$C$6:$F$6,MIN(4,COUNTIF(CAPA3_EXPANSION!$D$56:CX$56,"&gt;="&amp;6)))*CAPA3_EXPANSION!CX$36)</f>
        <v>2828.2799999999997</v>
      </c>
      <c r="CY13" s="88">
        <f>IF(COUNTIF(CAPA3_EXPANSION!$D$56:CY$56,"&gt;="&amp;6)=0,0,SUP_CONTROL!$C$8*IF($B13="V",1,IF($B13="D",(1+SUP_VOLUMEN!$C$26),(1+SUP_VOLUMEN!$C$27)))*INDEX(SUP_C3_EXPANSION!$C$6:$F$6,MIN(4,COUNTIF(CAPA3_EXPANSION!$D$56:CY$56,"&gt;="&amp;6)))*CAPA3_EXPANSION!CY$36)</f>
        <v>2828.2799999999997</v>
      </c>
      <c r="CZ13" s="88">
        <f>IF(COUNTIF(CAPA3_EXPANSION!$D$56:CZ$56,"&gt;="&amp;6)=0,0,SUP_CONTROL!$C$8*IF($B13="V",1,IF($B13="D",(1+SUP_VOLUMEN!$C$26),(1+SUP_VOLUMEN!$C$27)))*INDEX(SUP_C3_EXPANSION!$C$6:$F$6,MIN(4,COUNTIF(CAPA3_EXPANSION!$D$56:CZ$56,"&gt;="&amp;6)))*CAPA3_EXPANSION!CZ$36)</f>
        <v>2828.2799999999997</v>
      </c>
      <c r="DA13" s="88">
        <f>IF(COUNTIF(CAPA3_EXPANSION!$D$56:DA$56,"&gt;="&amp;6)=0,0,SUP_CONTROL!$C$8*IF($B13="V",1,IF($B13="D",(1+SUP_VOLUMEN!$C$26),(1+SUP_VOLUMEN!$C$27)))*INDEX(SUP_C3_EXPANSION!$C$6:$F$6,MIN(4,COUNTIF(CAPA3_EXPANSION!$D$56:DA$56,"&gt;="&amp;6)))*CAPA3_EXPANSION!DA$36)</f>
        <v>2828.2799999999997</v>
      </c>
      <c r="DB13" s="88">
        <f>IF(COUNTIF(CAPA3_EXPANSION!$D$56:DB$56,"&gt;="&amp;6)=0,0,SUP_CONTROL!$C$8*IF($B13="V",1,IF($B13="D",(1+SUP_VOLUMEN!$C$26),(1+SUP_VOLUMEN!$C$27)))*INDEX(SUP_C3_EXPANSION!$C$6:$F$6,MIN(4,COUNTIF(CAPA3_EXPANSION!$D$56:DB$56,"&gt;="&amp;6)))*CAPA3_EXPANSION!DB$36)</f>
        <v>2828.2799999999997</v>
      </c>
      <c r="DC13" s="88">
        <f>IF(COUNTIF(CAPA3_EXPANSION!$D$56:DC$56,"&gt;="&amp;6)=0,0,SUP_CONTROL!$C$8*IF($B13="V",1,IF($B13="D",(1+SUP_VOLUMEN!$C$26),(1+SUP_VOLUMEN!$C$27)))*INDEX(SUP_C3_EXPANSION!$C$6:$F$6,MIN(4,COUNTIF(CAPA3_EXPANSION!$D$56:DC$56,"&gt;="&amp;6)))*CAPA3_EXPANSION!DC$36)</f>
        <v>2828.2799999999997</v>
      </c>
      <c r="DD13" s="88">
        <f>IF(COUNTIF(CAPA3_EXPANSION!$D$56:DD$56,"&gt;="&amp;6)=0,0,SUP_CONTROL!$C$8*IF($B13="V",1,IF($B13="D",(1+SUP_VOLUMEN!$C$26),(1+SUP_VOLUMEN!$C$27)))*INDEX(SUP_C3_EXPANSION!$C$6:$F$6,MIN(4,COUNTIF(CAPA3_EXPANSION!$D$56:DD$56,"&gt;="&amp;6)))*CAPA3_EXPANSION!DD$36)</f>
        <v>2828.2799999999997</v>
      </c>
      <c r="DE13" s="88">
        <f>IF(COUNTIF(CAPA3_EXPANSION!$D$56:DE$56,"&gt;="&amp;6)=0,0,SUP_CONTROL!$C$8*IF($B13="V",1,IF($B13="D",(1+SUP_VOLUMEN!$C$26),(1+SUP_VOLUMEN!$C$27)))*INDEX(SUP_C3_EXPANSION!$C$6:$F$6,MIN(4,COUNTIF(CAPA3_EXPANSION!$D$56:DE$56,"&gt;="&amp;6)))*CAPA3_EXPANSION!DE$36)</f>
        <v>2828.2799999999997</v>
      </c>
      <c r="DF13" s="88">
        <f>IF(COUNTIF(CAPA3_EXPANSION!$D$56:DF$56,"&gt;="&amp;6)=0,0,SUP_CONTROL!$C$8*IF($B13="V",1,IF($B13="D",(1+SUP_VOLUMEN!$C$26),(1+SUP_VOLUMEN!$C$27)))*INDEX(SUP_C3_EXPANSION!$C$6:$F$6,MIN(4,COUNTIF(CAPA3_EXPANSION!$D$56:DF$56,"&gt;="&amp;6)))*CAPA3_EXPANSION!DF$36)</f>
        <v>2828.2799999999997</v>
      </c>
      <c r="DG13" s="88">
        <f>IF(COUNTIF(CAPA3_EXPANSION!$D$56:DG$56,"&gt;="&amp;6)=0,0,SUP_CONTROL!$C$8*IF($B13="V",1,IF($B13="D",(1+SUP_VOLUMEN!$C$26),(1+SUP_VOLUMEN!$C$27)))*INDEX(SUP_C3_EXPANSION!$C$6:$F$6,MIN(4,COUNTIF(CAPA3_EXPANSION!$D$56:DG$56,"&gt;="&amp;6)))*CAPA3_EXPANSION!DG$36)</f>
        <v>2828.2799999999997</v>
      </c>
      <c r="DH13" s="88">
        <f>IF(COUNTIF(CAPA3_EXPANSION!$D$56:DH$56,"&gt;="&amp;6)=0,0,SUP_CONTROL!$C$8*IF($B13="V",1,IF($B13="D",(1+SUP_VOLUMEN!$C$26),(1+SUP_VOLUMEN!$C$27)))*INDEX(SUP_C3_EXPANSION!$C$6:$F$6,MIN(4,COUNTIF(CAPA3_EXPANSION!$D$56:DH$56,"&gt;="&amp;6)))*CAPA3_EXPANSION!DH$36)</f>
        <v>2828.2799999999997</v>
      </c>
      <c r="DI13" s="88">
        <f>IF(COUNTIF(CAPA3_EXPANSION!$D$56:DI$56,"&gt;="&amp;6)=0,0,SUP_CONTROL!$C$8*IF($B13="V",1,IF($B13="D",(1+SUP_VOLUMEN!$C$26),(1+SUP_VOLUMEN!$C$27)))*INDEX(SUP_C3_EXPANSION!$C$6:$F$6,MIN(4,COUNTIF(CAPA3_EXPANSION!$D$56:DI$56,"&gt;="&amp;6)))*CAPA3_EXPANSION!DI$36)</f>
        <v>2828.2799999999997</v>
      </c>
      <c r="DJ13" s="88">
        <f>IF(COUNTIF(CAPA3_EXPANSION!$D$56:DJ$56,"&gt;="&amp;6)=0,0,SUP_CONTROL!$C$8*IF($B13="V",1,IF($B13="D",(1+SUP_VOLUMEN!$C$26),(1+SUP_VOLUMEN!$C$27)))*INDEX(SUP_C3_EXPANSION!$C$6:$F$6,MIN(4,COUNTIF(CAPA3_EXPANSION!$D$56:DJ$56,"&gt;="&amp;6)))*CAPA3_EXPANSION!DJ$36)</f>
        <v>2828.2799999999997</v>
      </c>
      <c r="DK13" s="88">
        <f>IF(COUNTIF(CAPA3_EXPANSION!$D$56:DK$56,"&gt;="&amp;6)=0,0,SUP_CONTROL!$C$8*IF($B13="V",1,IF($B13="D",(1+SUP_VOLUMEN!$C$26),(1+SUP_VOLUMEN!$C$27)))*INDEX(SUP_C3_EXPANSION!$C$6:$F$6,MIN(4,COUNTIF(CAPA3_EXPANSION!$D$56:DK$56,"&gt;="&amp;6)))*CAPA3_EXPANSION!DK$36)</f>
        <v>2828.2799999999997</v>
      </c>
      <c r="DL13" s="88">
        <f>IF(COUNTIF(CAPA3_EXPANSION!$D$56:DL$56,"&gt;="&amp;6)=0,0,SUP_CONTROL!$C$8*IF($B13="V",1,IF($B13="D",(1+SUP_VOLUMEN!$C$26),(1+SUP_VOLUMEN!$C$27)))*INDEX(SUP_C3_EXPANSION!$C$6:$F$6,MIN(4,COUNTIF(CAPA3_EXPANSION!$D$56:DL$56,"&gt;="&amp;6)))*CAPA3_EXPANSION!DL$36)</f>
        <v>2828.2799999999997</v>
      </c>
      <c r="DM13" s="88">
        <f>IF(COUNTIF(CAPA3_EXPANSION!$D$56:DM$56,"&gt;="&amp;6)=0,0,SUP_CONTROL!$C$8*IF($B13="V",1,IF($B13="D",(1+SUP_VOLUMEN!$C$26),(1+SUP_VOLUMEN!$C$27)))*INDEX(SUP_C3_EXPANSION!$C$6:$F$6,MIN(4,COUNTIF(CAPA3_EXPANSION!$D$56:DM$56,"&gt;="&amp;6)))*CAPA3_EXPANSION!DM$36)</f>
        <v>2828.2799999999997</v>
      </c>
      <c r="DN13" s="88">
        <f>IF(COUNTIF(CAPA3_EXPANSION!$D$56:DN$56,"&gt;="&amp;6)=0,0,SUP_CONTROL!$C$8*IF($B13="V",1,IF($B13="D",(1+SUP_VOLUMEN!$C$26),(1+SUP_VOLUMEN!$C$27)))*INDEX(SUP_C3_EXPANSION!$C$6:$F$6,MIN(4,COUNTIF(CAPA3_EXPANSION!$D$56:DN$56,"&gt;="&amp;6)))*CAPA3_EXPANSION!DN$36)</f>
        <v>2828.2799999999997</v>
      </c>
      <c r="DO13" s="88">
        <f>IF(COUNTIF(CAPA3_EXPANSION!$D$56:DO$56,"&gt;="&amp;6)=0,0,SUP_CONTROL!$C$8*IF($B13="V",1,IF($B13="D",(1+SUP_VOLUMEN!$C$26),(1+SUP_VOLUMEN!$C$27)))*INDEX(SUP_C3_EXPANSION!$C$6:$F$6,MIN(4,COUNTIF(CAPA3_EXPANSION!$D$56:DO$56,"&gt;="&amp;6)))*CAPA3_EXPANSION!DO$36)</f>
        <v>2828.2799999999997</v>
      </c>
      <c r="DP13" s="88">
        <f>IF(COUNTIF(CAPA3_EXPANSION!$D$56:DP$56,"&gt;="&amp;6)=0,0,SUP_CONTROL!$C$8*IF($B13="V",1,IF($B13="D",(1+SUP_VOLUMEN!$C$26),(1+SUP_VOLUMEN!$C$27)))*INDEX(SUP_C3_EXPANSION!$C$6:$F$6,MIN(4,COUNTIF(CAPA3_EXPANSION!$D$56:DP$56,"&gt;="&amp;6)))*CAPA3_EXPANSION!DP$36)</f>
        <v>2828.2799999999997</v>
      </c>
      <c r="DQ13" s="88">
        <f>IF(COUNTIF(CAPA3_EXPANSION!$D$56:DQ$56,"&gt;="&amp;6)=0,0,SUP_CONTROL!$C$8*IF($B13="V",1,IF($B13="D",(1+SUP_VOLUMEN!$C$26),(1+SUP_VOLUMEN!$C$27)))*INDEX(SUP_C3_EXPANSION!$C$6:$F$6,MIN(4,COUNTIF(CAPA3_EXPANSION!$D$56:DQ$56,"&gt;="&amp;6)))*CAPA3_EXPANSION!DQ$36)</f>
        <v>2828.2799999999997</v>
      </c>
      <c r="DR13" s="88">
        <f>IF(COUNTIF(CAPA3_EXPANSION!$D$56:DR$56,"&gt;="&amp;6)=0,0,SUP_CONTROL!$C$8*IF($B13="V",1,IF($B13="D",(1+SUP_VOLUMEN!$C$26),(1+SUP_VOLUMEN!$C$27)))*INDEX(SUP_C3_EXPANSION!$C$6:$F$6,MIN(4,COUNTIF(CAPA3_EXPANSION!$D$56:DR$56,"&gt;="&amp;6)))*CAPA3_EXPANSION!DR$36)</f>
        <v>2828.2799999999997</v>
      </c>
      <c r="DS13" s="88">
        <f>IF(COUNTIF(CAPA3_EXPANSION!$D$56:DS$56,"&gt;="&amp;6)=0,0,SUP_CONTROL!$C$8*IF($B13="V",1,IF($B13="D",(1+SUP_VOLUMEN!$C$26),(1+SUP_VOLUMEN!$C$27)))*INDEX(SUP_C3_EXPANSION!$C$6:$F$6,MIN(4,COUNTIF(CAPA3_EXPANSION!$D$56:DS$56,"&gt;="&amp;6)))*CAPA3_EXPANSION!DS$36)</f>
        <v>2828.2799999999997</v>
      </c>
    </row>
    <row r="14" spans="1:123" ht="15" customHeight="1" x14ac:dyDescent="0.2">
      <c r="A14" s="88">
        <v>17</v>
      </c>
      <c r="B14" s="104" t="str">
        <f>SUP_C3_EXPANSION!B26</f>
        <v>V</v>
      </c>
      <c r="C14" s="73">
        <f>SUP_C3_EXPANSION!G26</f>
        <v>30</v>
      </c>
      <c r="D14" s="88">
        <f>IF(COUNTIF(CAPA3_EXPANSION!$D$56:D$56,"&gt;="&amp;7)=0,0,SUP_CONTROL!$C$8*IF($B14="V",1,IF($B14="D",(1+SUP_VOLUMEN!$C$26),(1+SUP_VOLUMEN!$C$27)))*INDEX(SUP_C3_EXPANSION!$C$6:$F$6,MIN(4,COUNTIF(CAPA3_EXPANSION!$D$56:D$56,"&gt;="&amp;7)))*CAPA3_EXPANSION!D$36)</f>
        <v>0</v>
      </c>
      <c r="E14" s="88">
        <f>IF(COUNTIF(CAPA3_EXPANSION!$D$56:E$56,"&gt;="&amp;7)=0,0,SUP_CONTROL!$C$8*IF($B14="V",1,IF($B14="D",(1+SUP_VOLUMEN!$C$26),(1+SUP_VOLUMEN!$C$27)))*INDEX(SUP_C3_EXPANSION!$C$6:$F$6,MIN(4,COUNTIF(CAPA3_EXPANSION!$D$56:E$56,"&gt;="&amp;7)))*CAPA3_EXPANSION!E$36)</f>
        <v>0</v>
      </c>
      <c r="F14" s="88">
        <f>IF(COUNTIF(CAPA3_EXPANSION!$D$56:F$56,"&gt;="&amp;7)=0,0,SUP_CONTROL!$C$8*IF($B14="V",1,IF($B14="D",(1+SUP_VOLUMEN!$C$26),(1+SUP_VOLUMEN!$C$27)))*INDEX(SUP_C3_EXPANSION!$C$6:$F$6,MIN(4,COUNTIF(CAPA3_EXPANSION!$D$56:F$56,"&gt;="&amp;7)))*CAPA3_EXPANSION!F$36)</f>
        <v>0</v>
      </c>
      <c r="G14" s="88">
        <f>IF(COUNTIF(CAPA3_EXPANSION!$D$56:G$56,"&gt;="&amp;7)=0,0,SUP_CONTROL!$C$8*IF($B14="V",1,IF($B14="D",(1+SUP_VOLUMEN!$C$26),(1+SUP_VOLUMEN!$C$27)))*INDEX(SUP_C3_EXPANSION!$C$6:$F$6,MIN(4,COUNTIF(CAPA3_EXPANSION!$D$56:G$56,"&gt;="&amp;7)))*CAPA3_EXPANSION!G$36)</f>
        <v>0</v>
      </c>
      <c r="H14" s="88">
        <f>IF(COUNTIF(CAPA3_EXPANSION!$D$56:H$56,"&gt;="&amp;7)=0,0,SUP_CONTROL!$C$8*IF($B14="V",1,IF($B14="D",(1+SUP_VOLUMEN!$C$26),(1+SUP_VOLUMEN!$C$27)))*INDEX(SUP_C3_EXPANSION!$C$6:$F$6,MIN(4,COUNTIF(CAPA3_EXPANSION!$D$56:H$56,"&gt;="&amp;7)))*CAPA3_EXPANSION!H$36)</f>
        <v>0</v>
      </c>
      <c r="I14" s="88">
        <f>IF(COUNTIF(CAPA3_EXPANSION!$D$56:I$56,"&gt;="&amp;7)=0,0,SUP_CONTROL!$C$8*IF($B14="V",1,IF($B14="D",(1+SUP_VOLUMEN!$C$26),(1+SUP_VOLUMEN!$C$27)))*INDEX(SUP_C3_EXPANSION!$C$6:$F$6,MIN(4,COUNTIF(CAPA3_EXPANSION!$D$56:I$56,"&gt;="&amp;7)))*CAPA3_EXPANSION!I$36)</f>
        <v>0</v>
      </c>
      <c r="J14" s="88">
        <f>IF(COUNTIF(CAPA3_EXPANSION!$D$56:J$56,"&gt;="&amp;7)=0,0,SUP_CONTROL!$C$8*IF($B14="V",1,IF($B14="D",(1+SUP_VOLUMEN!$C$26),(1+SUP_VOLUMEN!$C$27)))*INDEX(SUP_C3_EXPANSION!$C$6:$F$6,MIN(4,COUNTIF(CAPA3_EXPANSION!$D$56:J$56,"&gt;="&amp;7)))*CAPA3_EXPANSION!J$36)</f>
        <v>0</v>
      </c>
      <c r="K14" s="88">
        <f>IF(COUNTIF(CAPA3_EXPANSION!$D$56:K$56,"&gt;="&amp;7)=0,0,SUP_CONTROL!$C$8*IF($B14="V",1,IF($B14="D",(1+SUP_VOLUMEN!$C$26),(1+SUP_VOLUMEN!$C$27)))*INDEX(SUP_C3_EXPANSION!$C$6:$F$6,MIN(4,COUNTIF(CAPA3_EXPANSION!$D$56:K$56,"&gt;="&amp;7)))*CAPA3_EXPANSION!K$36)</f>
        <v>0</v>
      </c>
      <c r="L14" s="88">
        <f>IF(COUNTIF(CAPA3_EXPANSION!$D$56:L$56,"&gt;="&amp;7)=0,0,SUP_CONTROL!$C$8*IF($B14="V",1,IF($B14="D",(1+SUP_VOLUMEN!$C$26),(1+SUP_VOLUMEN!$C$27)))*INDEX(SUP_C3_EXPANSION!$C$6:$F$6,MIN(4,COUNTIF(CAPA3_EXPANSION!$D$56:L$56,"&gt;="&amp;7)))*CAPA3_EXPANSION!L$36)</f>
        <v>0</v>
      </c>
      <c r="M14" s="88">
        <f>IF(COUNTIF(CAPA3_EXPANSION!$D$56:M$56,"&gt;="&amp;7)=0,0,SUP_CONTROL!$C$8*IF($B14="V",1,IF($B14="D",(1+SUP_VOLUMEN!$C$26),(1+SUP_VOLUMEN!$C$27)))*INDEX(SUP_C3_EXPANSION!$C$6:$F$6,MIN(4,COUNTIF(CAPA3_EXPANSION!$D$56:M$56,"&gt;="&amp;7)))*CAPA3_EXPANSION!M$36)</f>
        <v>0</v>
      </c>
      <c r="N14" s="88">
        <f>IF(COUNTIF(CAPA3_EXPANSION!$D$56:N$56,"&gt;="&amp;7)=0,0,SUP_CONTROL!$C$8*IF($B14="V",1,IF($B14="D",(1+SUP_VOLUMEN!$C$26),(1+SUP_VOLUMEN!$C$27)))*INDEX(SUP_C3_EXPANSION!$C$6:$F$6,MIN(4,COUNTIF(CAPA3_EXPANSION!$D$56:N$56,"&gt;="&amp;7)))*CAPA3_EXPANSION!N$36)</f>
        <v>0</v>
      </c>
      <c r="O14" s="88">
        <f>IF(COUNTIF(CAPA3_EXPANSION!$D$56:O$56,"&gt;="&amp;7)=0,0,SUP_CONTROL!$C$8*IF($B14="V",1,IF($B14="D",(1+SUP_VOLUMEN!$C$26),(1+SUP_VOLUMEN!$C$27)))*INDEX(SUP_C3_EXPANSION!$C$6:$F$6,MIN(4,COUNTIF(CAPA3_EXPANSION!$D$56:O$56,"&gt;="&amp;7)))*CAPA3_EXPANSION!O$36)</f>
        <v>0</v>
      </c>
      <c r="P14" s="88">
        <f>IF(COUNTIF(CAPA3_EXPANSION!$D$56:P$56,"&gt;="&amp;7)=0,0,SUP_CONTROL!$C$8*IF($B14="V",1,IF($B14="D",(1+SUP_VOLUMEN!$C$26),(1+SUP_VOLUMEN!$C$27)))*INDEX(SUP_C3_EXPANSION!$C$6:$F$6,MIN(4,COUNTIF(CAPA3_EXPANSION!$D$56:P$56,"&gt;="&amp;7)))*CAPA3_EXPANSION!P$36)</f>
        <v>0</v>
      </c>
      <c r="Q14" s="88">
        <f>IF(COUNTIF(CAPA3_EXPANSION!$D$56:Q$56,"&gt;="&amp;7)=0,0,SUP_CONTROL!$C$8*IF($B14="V",1,IF($B14="D",(1+SUP_VOLUMEN!$C$26),(1+SUP_VOLUMEN!$C$27)))*INDEX(SUP_C3_EXPANSION!$C$6:$F$6,MIN(4,COUNTIF(CAPA3_EXPANSION!$D$56:Q$56,"&gt;="&amp;7)))*CAPA3_EXPANSION!Q$36)</f>
        <v>0</v>
      </c>
      <c r="R14" s="88">
        <f>IF(COUNTIF(CAPA3_EXPANSION!$D$56:R$56,"&gt;="&amp;7)=0,0,SUP_CONTROL!$C$8*IF($B14="V",1,IF($B14="D",(1+SUP_VOLUMEN!$C$26),(1+SUP_VOLUMEN!$C$27)))*INDEX(SUP_C3_EXPANSION!$C$6:$F$6,MIN(4,COUNTIF(CAPA3_EXPANSION!$D$56:R$56,"&gt;="&amp;7)))*CAPA3_EXPANSION!R$36)</f>
        <v>0</v>
      </c>
      <c r="S14" s="88">
        <f>IF(COUNTIF(CAPA3_EXPANSION!$D$56:S$56,"&gt;="&amp;7)=0,0,SUP_CONTROL!$C$8*IF($B14="V",1,IF($B14="D",(1+SUP_VOLUMEN!$C$26),(1+SUP_VOLUMEN!$C$27)))*INDEX(SUP_C3_EXPANSION!$C$6:$F$6,MIN(4,COUNTIF(CAPA3_EXPANSION!$D$56:S$56,"&gt;="&amp;7)))*CAPA3_EXPANSION!S$36)</f>
        <v>0</v>
      </c>
      <c r="T14" s="88">
        <f>IF(COUNTIF(CAPA3_EXPANSION!$D$56:T$56,"&gt;="&amp;7)=0,0,SUP_CONTROL!$C$8*IF($B14="V",1,IF($B14="D",(1+SUP_VOLUMEN!$C$26),(1+SUP_VOLUMEN!$C$27)))*INDEX(SUP_C3_EXPANSION!$C$6:$F$6,MIN(4,COUNTIF(CAPA3_EXPANSION!$D$56:T$56,"&gt;="&amp;7)))*CAPA3_EXPANSION!T$36)</f>
        <v>0</v>
      </c>
      <c r="U14" s="88">
        <f>IF(COUNTIF(CAPA3_EXPANSION!$D$56:U$56,"&gt;="&amp;7)=0,0,SUP_CONTROL!$C$8*IF($B14="V",1,IF($B14="D",(1+SUP_VOLUMEN!$C$26),(1+SUP_VOLUMEN!$C$27)))*INDEX(SUP_C3_EXPANSION!$C$6:$F$6,MIN(4,COUNTIF(CAPA3_EXPANSION!$D$56:U$56,"&gt;="&amp;7)))*CAPA3_EXPANSION!U$36)</f>
        <v>0</v>
      </c>
      <c r="V14" s="88">
        <f>IF(COUNTIF(CAPA3_EXPANSION!$D$56:V$56,"&gt;="&amp;7)=0,0,SUP_CONTROL!$C$8*IF($B14="V",1,IF($B14="D",(1+SUP_VOLUMEN!$C$26),(1+SUP_VOLUMEN!$C$27)))*INDEX(SUP_C3_EXPANSION!$C$6:$F$6,MIN(4,COUNTIF(CAPA3_EXPANSION!$D$56:V$56,"&gt;="&amp;7)))*CAPA3_EXPANSION!V$36)</f>
        <v>0</v>
      </c>
      <c r="W14" s="88">
        <f>IF(COUNTIF(CAPA3_EXPANSION!$D$56:W$56,"&gt;="&amp;7)=0,0,SUP_CONTROL!$C$8*IF($B14="V",1,IF($B14="D",(1+SUP_VOLUMEN!$C$26),(1+SUP_VOLUMEN!$C$27)))*INDEX(SUP_C3_EXPANSION!$C$6:$F$6,MIN(4,COUNTIF(CAPA3_EXPANSION!$D$56:W$56,"&gt;="&amp;7)))*CAPA3_EXPANSION!W$36)</f>
        <v>0</v>
      </c>
      <c r="X14" s="88">
        <f>IF(COUNTIF(CAPA3_EXPANSION!$D$56:X$56,"&gt;="&amp;7)=0,0,SUP_CONTROL!$C$8*IF($B14="V",1,IF($B14="D",(1+SUP_VOLUMEN!$C$26),(1+SUP_VOLUMEN!$C$27)))*INDEX(SUP_C3_EXPANSION!$C$6:$F$6,MIN(4,COUNTIF(CAPA3_EXPANSION!$D$56:X$56,"&gt;="&amp;7)))*CAPA3_EXPANSION!X$36)</f>
        <v>0</v>
      </c>
      <c r="Y14" s="88">
        <f>IF(COUNTIF(CAPA3_EXPANSION!$D$56:Y$56,"&gt;="&amp;7)=0,0,SUP_CONTROL!$C$8*IF($B14="V",1,IF($B14="D",(1+SUP_VOLUMEN!$C$26),(1+SUP_VOLUMEN!$C$27)))*INDEX(SUP_C3_EXPANSION!$C$6:$F$6,MIN(4,COUNTIF(CAPA3_EXPANSION!$D$56:Y$56,"&gt;="&amp;7)))*CAPA3_EXPANSION!Y$36)</f>
        <v>0</v>
      </c>
      <c r="Z14" s="88">
        <f>IF(COUNTIF(CAPA3_EXPANSION!$D$56:Z$56,"&gt;="&amp;7)=0,0,SUP_CONTROL!$C$8*IF($B14="V",1,IF($B14="D",(1+SUP_VOLUMEN!$C$26),(1+SUP_VOLUMEN!$C$27)))*INDEX(SUP_C3_EXPANSION!$C$6:$F$6,MIN(4,COUNTIF(CAPA3_EXPANSION!$D$56:Z$56,"&gt;="&amp;7)))*CAPA3_EXPANSION!Z$36)</f>
        <v>0</v>
      </c>
      <c r="AA14" s="88">
        <f>IF(COUNTIF(CAPA3_EXPANSION!$D$56:AA$56,"&gt;="&amp;7)=0,0,SUP_CONTROL!$C$8*IF($B14="V",1,IF($B14="D",(1+SUP_VOLUMEN!$C$26),(1+SUP_VOLUMEN!$C$27)))*INDEX(SUP_C3_EXPANSION!$C$6:$F$6,MIN(4,COUNTIF(CAPA3_EXPANSION!$D$56:AA$56,"&gt;="&amp;7)))*CAPA3_EXPANSION!AA$36)</f>
        <v>0</v>
      </c>
      <c r="AB14" s="88">
        <f>IF(COUNTIF(CAPA3_EXPANSION!$D$56:AB$56,"&gt;="&amp;7)=0,0,SUP_CONTROL!$C$8*IF($B14="V",1,IF($B14="D",(1+SUP_VOLUMEN!$C$26),(1+SUP_VOLUMEN!$C$27)))*INDEX(SUP_C3_EXPANSION!$C$6:$F$6,MIN(4,COUNTIF(CAPA3_EXPANSION!$D$56:AB$56,"&gt;="&amp;7)))*CAPA3_EXPANSION!AB$36)</f>
        <v>0</v>
      </c>
      <c r="AC14" s="88">
        <f>IF(COUNTIF(CAPA3_EXPANSION!$D$56:AC$56,"&gt;="&amp;7)=0,0,SUP_CONTROL!$C$8*IF($B14="V",1,IF($B14="D",(1+SUP_VOLUMEN!$C$26),(1+SUP_VOLUMEN!$C$27)))*INDEX(SUP_C3_EXPANSION!$C$6:$F$6,MIN(4,COUNTIF(CAPA3_EXPANSION!$D$56:AC$56,"&gt;="&amp;7)))*CAPA3_EXPANSION!AC$36)</f>
        <v>0</v>
      </c>
      <c r="AD14" s="88">
        <f>IF(COUNTIF(CAPA3_EXPANSION!$D$56:AD$56,"&gt;="&amp;7)=0,0,SUP_CONTROL!$C$8*IF($B14="V",1,IF($B14="D",(1+SUP_VOLUMEN!$C$26),(1+SUP_VOLUMEN!$C$27)))*INDEX(SUP_C3_EXPANSION!$C$6:$F$6,MIN(4,COUNTIF(CAPA3_EXPANSION!$D$56:AD$56,"&gt;="&amp;7)))*CAPA3_EXPANSION!AD$36)</f>
        <v>0</v>
      </c>
      <c r="AE14" s="88">
        <f>IF(COUNTIF(CAPA3_EXPANSION!$D$56:AE$56,"&gt;="&amp;7)=0,0,SUP_CONTROL!$C$8*IF($B14="V",1,IF($B14="D",(1+SUP_VOLUMEN!$C$26),(1+SUP_VOLUMEN!$C$27)))*INDEX(SUP_C3_EXPANSION!$C$6:$F$6,MIN(4,COUNTIF(CAPA3_EXPANSION!$D$56:AE$56,"&gt;="&amp;7)))*CAPA3_EXPANSION!AE$36)</f>
        <v>0</v>
      </c>
      <c r="AF14" s="88">
        <f>IF(COUNTIF(CAPA3_EXPANSION!$D$56:AF$56,"&gt;="&amp;7)=0,0,SUP_CONTROL!$C$8*IF($B14="V",1,IF($B14="D",(1+SUP_VOLUMEN!$C$26),(1+SUP_VOLUMEN!$C$27)))*INDEX(SUP_C3_EXPANSION!$C$6:$F$6,MIN(4,COUNTIF(CAPA3_EXPANSION!$D$56:AF$56,"&gt;="&amp;7)))*CAPA3_EXPANSION!AF$36)</f>
        <v>0</v>
      </c>
      <c r="AG14" s="88">
        <f>IF(COUNTIF(CAPA3_EXPANSION!$D$56:AG$56,"&gt;="&amp;7)=0,0,SUP_CONTROL!$C$8*IF($B14="V",1,IF($B14="D",(1+SUP_VOLUMEN!$C$26),(1+SUP_VOLUMEN!$C$27)))*INDEX(SUP_C3_EXPANSION!$C$6:$F$6,MIN(4,COUNTIF(CAPA3_EXPANSION!$D$56:AG$56,"&gt;="&amp;7)))*CAPA3_EXPANSION!AG$36)</f>
        <v>0</v>
      </c>
      <c r="AH14" s="88">
        <f>IF(COUNTIF(CAPA3_EXPANSION!$D$56:AH$56,"&gt;="&amp;7)=0,0,SUP_CONTROL!$C$8*IF($B14="V",1,IF($B14="D",(1+SUP_VOLUMEN!$C$26),(1+SUP_VOLUMEN!$C$27)))*INDEX(SUP_C3_EXPANSION!$C$6:$F$6,MIN(4,COUNTIF(CAPA3_EXPANSION!$D$56:AH$56,"&gt;="&amp;7)))*CAPA3_EXPANSION!AH$36)</f>
        <v>0</v>
      </c>
      <c r="AI14" s="88">
        <f>IF(COUNTIF(CAPA3_EXPANSION!$D$56:AI$56,"&gt;="&amp;7)=0,0,SUP_CONTROL!$C$8*IF($B14="V",1,IF($B14="D",(1+SUP_VOLUMEN!$C$26),(1+SUP_VOLUMEN!$C$27)))*INDEX(SUP_C3_EXPANSION!$C$6:$F$6,MIN(4,COUNTIF(CAPA3_EXPANSION!$D$56:AI$56,"&gt;="&amp;7)))*CAPA3_EXPANSION!AI$36)</f>
        <v>0</v>
      </c>
      <c r="AJ14" s="88">
        <f>IF(COUNTIF(CAPA3_EXPANSION!$D$56:AJ$56,"&gt;="&amp;7)=0,0,SUP_CONTROL!$C$8*IF($B14="V",1,IF($B14="D",(1+SUP_VOLUMEN!$C$26),(1+SUP_VOLUMEN!$C$27)))*INDEX(SUP_C3_EXPANSION!$C$6:$F$6,MIN(4,COUNTIF(CAPA3_EXPANSION!$D$56:AJ$56,"&gt;="&amp;7)))*CAPA3_EXPANSION!AJ$36)</f>
        <v>2122.8935000000001</v>
      </c>
      <c r="AK14" s="88">
        <f>IF(COUNTIF(CAPA3_EXPANSION!$D$56:AK$56,"&gt;="&amp;7)=0,0,SUP_CONTROL!$C$8*IF($B14="V",1,IF($B14="D",(1+SUP_VOLUMEN!$C$26),(1+SUP_VOLUMEN!$C$27)))*INDEX(SUP_C3_EXPANSION!$C$6:$F$6,MIN(4,COUNTIF(CAPA3_EXPANSION!$D$56:AK$56,"&gt;="&amp;7)))*CAPA3_EXPANSION!AK$36)</f>
        <v>2612.7920000000004</v>
      </c>
      <c r="AL14" s="88">
        <f>IF(COUNTIF(CAPA3_EXPANSION!$D$56:AL$56,"&gt;="&amp;7)=0,0,SUP_CONTROL!$C$8*IF($B14="V",1,IF($B14="D",(1+SUP_VOLUMEN!$C$26),(1+SUP_VOLUMEN!$C$27)))*INDEX(SUP_C3_EXPANSION!$C$6:$F$6,MIN(4,COUNTIF(CAPA3_EXPANSION!$D$56:AL$56,"&gt;="&amp;7)))*CAPA3_EXPANSION!AL$36)</f>
        <v>2863.6334999999999</v>
      </c>
      <c r="AM14" s="88">
        <f>IF(COUNTIF(CAPA3_EXPANSION!$D$56:AM$56,"&gt;="&amp;7)=0,0,SUP_CONTROL!$C$8*IF($B14="V",1,IF($B14="D",(1+SUP_VOLUMEN!$C$26),(1+SUP_VOLUMEN!$C$27)))*INDEX(SUP_C3_EXPANSION!$C$6:$F$6,MIN(4,COUNTIF(CAPA3_EXPANSION!$D$56:AM$56,"&gt;="&amp;7)))*CAPA3_EXPANSION!AM$36)</f>
        <v>3181.8150000000001</v>
      </c>
      <c r="AN14" s="88">
        <f>IF(COUNTIF(CAPA3_EXPANSION!$D$56:AN$56,"&gt;="&amp;7)=0,0,SUP_CONTROL!$C$8*IF($B14="V",1,IF($B14="D",(1+SUP_VOLUMEN!$C$26),(1+SUP_VOLUMEN!$C$27)))*INDEX(SUP_C3_EXPANSION!$C$6:$F$6,MIN(4,COUNTIF(CAPA3_EXPANSION!$D$56:AN$56,"&gt;="&amp;7)))*CAPA3_EXPANSION!AN$36)</f>
        <v>3181.8150000000001</v>
      </c>
      <c r="AO14" s="88">
        <f>IF(COUNTIF(CAPA3_EXPANSION!$D$56:AO$56,"&gt;="&amp;7)=0,0,SUP_CONTROL!$C$8*IF($B14="V",1,IF($B14="D",(1+SUP_VOLUMEN!$C$26),(1+SUP_VOLUMEN!$C$27)))*INDEX(SUP_C3_EXPANSION!$C$6:$F$6,MIN(4,COUNTIF(CAPA3_EXPANSION!$D$56:AO$56,"&gt;="&amp;7)))*CAPA3_EXPANSION!AO$36)</f>
        <v>3181.8150000000001</v>
      </c>
      <c r="AP14" s="88">
        <f>IF(COUNTIF(CAPA3_EXPANSION!$D$56:AP$56,"&gt;="&amp;7)=0,0,SUP_CONTROL!$C$8*IF($B14="V",1,IF($B14="D",(1+SUP_VOLUMEN!$C$26),(1+SUP_VOLUMEN!$C$27)))*INDEX(SUP_C3_EXPANSION!$C$6:$F$6,MIN(4,COUNTIF(CAPA3_EXPANSION!$D$56:AP$56,"&gt;="&amp;7)))*CAPA3_EXPANSION!AP$36)</f>
        <v>3181.8150000000001</v>
      </c>
      <c r="AQ14" s="88">
        <f>IF(COUNTIF(CAPA3_EXPANSION!$D$56:AQ$56,"&gt;="&amp;7)=0,0,SUP_CONTROL!$C$8*IF($B14="V",1,IF($B14="D",(1+SUP_VOLUMEN!$C$26),(1+SUP_VOLUMEN!$C$27)))*INDEX(SUP_C3_EXPANSION!$C$6:$F$6,MIN(4,COUNTIF(CAPA3_EXPANSION!$D$56:AQ$56,"&gt;="&amp;7)))*CAPA3_EXPANSION!AQ$36)</f>
        <v>3181.8150000000001</v>
      </c>
      <c r="AR14" s="88">
        <f>IF(COUNTIF(CAPA3_EXPANSION!$D$56:AR$56,"&gt;="&amp;7)=0,0,SUP_CONTROL!$C$8*IF($B14="V",1,IF($B14="D",(1+SUP_VOLUMEN!$C$26),(1+SUP_VOLUMEN!$C$27)))*INDEX(SUP_C3_EXPANSION!$C$6:$F$6,MIN(4,COUNTIF(CAPA3_EXPANSION!$D$56:AR$56,"&gt;="&amp;7)))*CAPA3_EXPANSION!AR$36)</f>
        <v>3181.8150000000001</v>
      </c>
      <c r="AS14" s="88">
        <f>IF(COUNTIF(CAPA3_EXPANSION!$D$56:AS$56,"&gt;="&amp;7)=0,0,SUP_CONTROL!$C$8*IF($B14="V",1,IF($B14="D",(1+SUP_VOLUMEN!$C$26),(1+SUP_VOLUMEN!$C$27)))*INDEX(SUP_C3_EXPANSION!$C$6:$F$6,MIN(4,COUNTIF(CAPA3_EXPANSION!$D$56:AS$56,"&gt;="&amp;7)))*CAPA3_EXPANSION!AS$36)</f>
        <v>3181.8150000000001</v>
      </c>
      <c r="AT14" s="88">
        <f>IF(COUNTIF(CAPA3_EXPANSION!$D$56:AT$56,"&gt;="&amp;7)=0,0,SUP_CONTROL!$C$8*IF($B14="V",1,IF($B14="D",(1+SUP_VOLUMEN!$C$26),(1+SUP_VOLUMEN!$C$27)))*INDEX(SUP_C3_EXPANSION!$C$6:$F$6,MIN(4,COUNTIF(CAPA3_EXPANSION!$D$56:AT$56,"&gt;="&amp;7)))*CAPA3_EXPANSION!AT$36)</f>
        <v>3181.8150000000001</v>
      </c>
      <c r="AU14" s="88">
        <f>IF(COUNTIF(CAPA3_EXPANSION!$D$56:AU$56,"&gt;="&amp;7)=0,0,SUP_CONTROL!$C$8*IF($B14="V",1,IF($B14="D",(1+SUP_VOLUMEN!$C$26),(1+SUP_VOLUMEN!$C$27)))*INDEX(SUP_C3_EXPANSION!$C$6:$F$6,MIN(4,COUNTIF(CAPA3_EXPANSION!$D$56:AU$56,"&gt;="&amp;7)))*CAPA3_EXPANSION!AU$36)</f>
        <v>3181.8150000000001</v>
      </c>
      <c r="AV14" s="88">
        <f>IF(COUNTIF(CAPA3_EXPANSION!$D$56:AV$56,"&gt;="&amp;7)=0,0,SUP_CONTROL!$C$8*IF($B14="V",1,IF($B14="D",(1+SUP_VOLUMEN!$C$26),(1+SUP_VOLUMEN!$C$27)))*INDEX(SUP_C3_EXPANSION!$C$6:$F$6,MIN(4,COUNTIF(CAPA3_EXPANSION!$D$56:AV$56,"&gt;="&amp;7)))*CAPA3_EXPANSION!AV$36)</f>
        <v>3181.8150000000001</v>
      </c>
      <c r="AW14" s="88">
        <f>IF(COUNTIF(CAPA3_EXPANSION!$D$56:AW$56,"&gt;="&amp;7)=0,0,SUP_CONTROL!$C$8*IF($B14="V",1,IF($B14="D",(1+SUP_VOLUMEN!$C$26),(1+SUP_VOLUMEN!$C$27)))*INDEX(SUP_C3_EXPANSION!$C$6:$F$6,MIN(4,COUNTIF(CAPA3_EXPANSION!$D$56:AW$56,"&gt;="&amp;7)))*CAPA3_EXPANSION!AW$36)</f>
        <v>3181.8150000000001</v>
      </c>
      <c r="AX14" s="88">
        <f>IF(COUNTIF(CAPA3_EXPANSION!$D$56:AX$56,"&gt;="&amp;7)=0,0,SUP_CONTROL!$C$8*IF($B14="V",1,IF($B14="D",(1+SUP_VOLUMEN!$C$26),(1+SUP_VOLUMEN!$C$27)))*INDEX(SUP_C3_EXPANSION!$C$6:$F$6,MIN(4,COUNTIF(CAPA3_EXPANSION!$D$56:AX$56,"&gt;="&amp;7)))*CAPA3_EXPANSION!AX$36)</f>
        <v>3181.8150000000001</v>
      </c>
      <c r="AY14" s="88">
        <f>IF(COUNTIF(CAPA3_EXPANSION!$D$56:AY$56,"&gt;="&amp;7)=0,0,SUP_CONTROL!$C$8*IF($B14="V",1,IF($B14="D",(1+SUP_VOLUMEN!$C$26),(1+SUP_VOLUMEN!$C$27)))*INDEX(SUP_C3_EXPANSION!$C$6:$F$6,MIN(4,COUNTIF(CAPA3_EXPANSION!$D$56:AY$56,"&gt;="&amp;7)))*CAPA3_EXPANSION!AY$36)</f>
        <v>3181.8150000000001</v>
      </c>
      <c r="AZ14" s="88">
        <f>IF(COUNTIF(CAPA3_EXPANSION!$D$56:AZ$56,"&gt;="&amp;7)=0,0,SUP_CONTROL!$C$8*IF($B14="V",1,IF($B14="D",(1+SUP_VOLUMEN!$C$26),(1+SUP_VOLUMEN!$C$27)))*INDEX(SUP_C3_EXPANSION!$C$6:$F$6,MIN(4,COUNTIF(CAPA3_EXPANSION!$D$56:AZ$56,"&gt;="&amp;7)))*CAPA3_EXPANSION!AZ$36)</f>
        <v>3181.8150000000001</v>
      </c>
      <c r="BA14" s="88">
        <f>IF(COUNTIF(CAPA3_EXPANSION!$D$56:BA$56,"&gt;="&amp;7)=0,0,SUP_CONTROL!$C$8*IF($B14="V",1,IF($B14="D",(1+SUP_VOLUMEN!$C$26),(1+SUP_VOLUMEN!$C$27)))*INDEX(SUP_C3_EXPANSION!$C$6:$F$6,MIN(4,COUNTIF(CAPA3_EXPANSION!$D$56:BA$56,"&gt;="&amp;7)))*CAPA3_EXPANSION!BA$36)</f>
        <v>3097.6400000000003</v>
      </c>
      <c r="BB14" s="88">
        <f>IF(COUNTIF(CAPA3_EXPANSION!$D$56:BB$56,"&gt;="&amp;7)=0,0,SUP_CONTROL!$C$8*IF($B14="V",1,IF($B14="D",(1+SUP_VOLUMEN!$C$26),(1+SUP_VOLUMEN!$C$27)))*INDEX(SUP_C3_EXPANSION!$C$6:$F$6,MIN(4,COUNTIF(CAPA3_EXPANSION!$D$56:BB$56,"&gt;="&amp;7)))*CAPA3_EXPANSION!BB$36)</f>
        <v>3097.6400000000003</v>
      </c>
      <c r="BC14" s="88">
        <f>IF(COUNTIF(CAPA3_EXPANSION!$D$56:BC$56,"&gt;="&amp;7)=0,0,SUP_CONTROL!$C$8*IF($B14="V",1,IF($B14="D",(1+SUP_VOLUMEN!$C$26),(1+SUP_VOLUMEN!$C$27)))*INDEX(SUP_C3_EXPANSION!$C$6:$F$6,MIN(4,COUNTIF(CAPA3_EXPANSION!$D$56:BC$56,"&gt;="&amp;7)))*CAPA3_EXPANSION!BC$36)</f>
        <v>3097.6400000000003</v>
      </c>
      <c r="BD14" s="88">
        <f>IF(COUNTIF(CAPA3_EXPANSION!$D$56:BD$56,"&gt;="&amp;7)=0,0,SUP_CONTROL!$C$8*IF($B14="V",1,IF($B14="D",(1+SUP_VOLUMEN!$C$26),(1+SUP_VOLUMEN!$C$27)))*INDEX(SUP_C3_EXPANSION!$C$6:$F$6,MIN(4,COUNTIF(CAPA3_EXPANSION!$D$56:BD$56,"&gt;="&amp;7)))*CAPA3_EXPANSION!BD$36)</f>
        <v>3097.6400000000003</v>
      </c>
      <c r="BE14" s="88">
        <f>IF(COUNTIF(CAPA3_EXPANSION!$D$56:BE$56,"&gt;="&amp;7)=0,0,SUP_CONTROL!$C$8*IF($B14="V",1,IF($B14="D",(1+SUP_VOLUMEN!$C$26),(1+SUP_VOLUMEN!$C$27)))*INDEX(SUP_C3_EXPANSION!$C$6:$F$6,MIN(4,COUNTIF(CAPA3_EXPANSION!$D$56:BE$56,"&gt;="&amp;7)))*CAPA3_EXPANSION!BE$36)</f>
        <v>3097.6400000000003</v>
      </c>
      <c r="BF14" s="88">
        <f>IF(COUNTIF(CAPA3_EXPANSION!$D$56:BF$56,"&gt;="&amp;7)=0,0,SUP_CONTROL!$C$8*IF($B14="V",1,IF($B14="D",(1+SUP_VOLUMEN!$C$26),(1+SUP_VOLUMEN!$C$27)))*INDEX(SUP_C3_EXPANSION!$C$6:$F$6,MIN(4,COUNTIF(CAPA3_EXPANSION!$D$56:BF$56,"&gt;="&amp;7)))*CAPA3_EXPANSION!BF$36)</f>
        <v>3030.3</v>
      </c>
      <c r="BG14" s="88">
        <f>IF(COUNTIF(CAPA3_EXPANSION!$D$56:BG$56,"&gt;="&amp;7)=0,0,SUP_CONTROL!$C$8*IF($B14="V",1,IF($B14="D",(1+SUP_VOLUMEN!$C$26),(1+SUP_VOLUMEN!$C$27)))*INDEX(SUP_C3_EXPANSION!$C$6:$F$6,MIN(4,COUNTIF(CAPA3_EXPANSION!$D$56:BG$56,"&gt;="&amp;7)))*CAPA3_EXPANSION!BG$36)</f>
        <v>3030.3</v>
      </c>
      <c r="BH14" s="88">
        <f>IF(COUNTIF(CAPA3_EXPANSION!$D$56:BH$56,"&gt;="&amp;7)=0,0,SUP_CONTROL!$C$8*IF($B14="V",1,IF($B14="D",(1+SUP_VOLUMEN!$C$26),(1+SUP_VOLUMEN!$C$27)))*INDEX(SUP_C3_EXPANSION!$C$6:$F$6,MIN(4,COUNTIF(CAPA3_EXPANSION!$D$56:BH$56,"&gt;="&amp;7)))*CAPA3_EXPANSION!BH$36)</f>
        <v>3030.3</v>
      </c>
      <c r="BI14" s="88">
        <f>IF(COUNTIF(CAPA3_EXPANSION!$D$56:BI$56,"&gt;="&amp;7)=0,0,SUP_CONTROL!$C$8*IF($B14="V",1,IF($B14="D",(1+SUP_VOLUMEN!$C$26),(1+SUP_VOLUMEN!$C$27)))*INDEX(SUP_C3_EXPANSION!$C$6:$F$6,MIN(4,COUNTIF(CAPA3_EXPANSION!$D$56:BI$56,"&gt;="&amp;7)))*CAPA3_EXPANSION!BI$36)</f>
        <v>3030.3</v>
      </c>
      <c r="BJ14" s="88">
        <f>IF(COUNTIF(CAPA3_EXPANSION!$D$56:BJ$56,"&gt;="&amp;7)=0,0,SUP_CONTROL!$C$8*IF($B14="V",1,IF($B14="D",(1+SUP_VOLUMEN!$C$26),(1+SUP_VOLUMEN!$C$27)))*INDEX(SUP_C3_EXPANSION!$C$6:$F$6,MIN(4,COUNTIF(CAPA3_EXPANSION!$D$56:BJ$56,"&gt;="&amp;7)))*CAPA3_EXPANSION!BJ$36)</f>
        <v>3030.3</v>
      </c>
      <c r="BK14" s="88">
        <f>IF(COUNTIF(CAPA3_EXPANSION!$D$56:BK$56,"&gt;="&amp;7)=0,0,SUP_CONTROL!$C$8*IF($B14="V",1,IF($B14="D",(1+SUP_VOLUMEN!$C$26),(1+SUP_VOLUMEN!$C$27)))*INDEX(SUP_C3_EXPANSION!$C$6:$F$6,MIN(4,COUNTIF(CAPA3_EXPANSION!$D$56:BK$56,"&gt;="&amp;7)))*CAPA3_EXPANSION!BK$36)</f>
        <v>2962.96</v>
      </c>
      <c r="BL14" s="88">
        <f>IF(COUNTIF(CAPA3_EXPANSION!$D$56:BL$56,"&gt;="&amp;7)=0,0,SUP_CONTROL!$C$8*IF($B14="V",1,IF($B14="D",(1+SUP_VOLUMEN!$C$26),(1+SUP_VOLUMEN!$C$27)))*INDEX(SUP_C3_EXPANSION!$C$6:$F$6,MIN(4,COUNTIF(CAPA3_EXPANSION!$D$56:BL$56,"&gt;="&amp;7)))*CAPA3_EXPANSION!BL$36)</f>
        <v>2962.96</v>
      </c>
      <c r="BM14" s="88">
        <f>IF(COUNTIF(CAPA3_EXPANSION!$D$56:BM$56,"&gt;="&amp;7)=0,0,SUP_CONTROL!$C$8*IF($B14="V",1,IF($B14="D",(1+SUP_VOLUMEN!$C$26),(1+SUP_VOLUMEN!$C$27)))*INDEX(SUP_C3_EXPANSION!$C$6:$F$6,MIN(4,COUNTIF(CAPA3_EXPANSION!$D$56:BM$56,"&gt;="&amp;7)))*CAPA3_EXPANSION!BM$36)</f>
        <v>2962.96</v>
      </c>
      <c r="BN14" s="88">
        <f>IF(COUNTIF(CAPA3_EXPANSION!$D$56:BN$56,"&gt;="&amp;7)=0,0,SUP_CONTROL!$C$8*IF($B14="V",1,IF($B14="D",(1+SUP_VOLUMEN!$C$26),(1+SUP_VOLUMEN!$C$27)))*INDEX(SUP_C3_EXPANSION!$C$6:$F$6,MIN(4,COUNTIF(CAPA3_EXPANSION!$D$56:BN$56,"&gt;="&amp;7)))*CAPA3_EXPANSION!BN$36)</f>
        <v>2962.96</v>
      </c>
      <c r="BO14" s="88">
        <f>IF(COUNTIF(CAPA3_EXPANSION!$D$56:BO$56,"&gt;="&amp;7)=0,0,SUP_CONTROL!$C$8*IF($B14="V",1,IF($B14="D",(1+SUP_VOLUMEN!$C$26),(1+SUP_VOLUMEN!$C$27)))*INDEX(SUP_C3_EXPANSION!$C$6:$F$6,MIN(4,COUNTIF(CAPA3_EXPANSION!$D$56:BO$56,"&gt;="&amp;7)))*CAPA3_EXPANSION!BO$36)</f>
        <v>2962.96</v>
      </c>
      <c r="BP14" s="88">
        <f>IF(COUNTIF(CAPA3_EXPANSION!$D$56:BP$56,"&gt;="&amp;7)=0,0,SUP_CONTROL!$C$8*IF($B14="V",1,IF($B14="D",(1+SUP_VOLUMEN!$C$26),(1+SUP_VOLUMEN!$C$27)))*INDEX(SUP_C3_EXPANSION!$C$6:$F$6,MIN(4,COUNTIF(CAPA3_EXPANSION!$D$56:BP$56,"&gt;="&amp;7)))*CAPA3_EXPANSION!BP$36)</f>
        <v>2912.4549999999999</v>
      </c>
      <c r="BQ14" s="88">
        <f>IF(COUNTIF(CAPA3_EXPANSION!$D$56:BQ$56,"&gt;="&amp;7)=0,0,SUP_CONTROL!$C$8*IF($B14="V",1,IF($B14="D",(1+SUP_VOLUMEN!$C$26),(1+SUP_VOLUMEN!$C$27)))*INDEX(SUP_C3_EXPANSION!$C$6:$F$6,MIN(4,COUNTIF(CAPA3_EXPANSION!$D$56:BQ$56,"&gt;="&amp;7)))*CAPA3_EXPANSION!BQ$36)</f>
        <v>2912.4549999999999</v>
      </c>
      <c r="BR14" s="88">
        <f>IF(COUNTIF(CAPA3_EXPANSION!$D$56:BR$56,"&gt;="&amp;7)=0,0,SUP_CONTROL!$C$8*IF($B14="V",1,IF($B14="D",(1+SUP_VOLUMEN!$C$26),(1+SUP_VOLUMEN!$C$27)))*INDEX(SUP_C3_EXPANSION!$C$6:$F$6,MIN(4,COUNTIF(CAPA3_EXPANSION!$D$56:BR$56,"&gt;="&amp;7)))*CAPA3_EXPANSION!BR$36)</f>
        <v>2912.4549999999999</v>
      </c>
      <c r="BS14" s="88">
        <f>IF(COUNTIF(CAPA3_EXPANSION!$D$56:BS$56,"&gt;="&amp;7)=0,0,SUP_CONTROL!$C$8*IF($B14="V",1,IF($B14="D",(1+SUP_VOLUMEN!$C$26),(1+SUP_VOLUMEN!$C$27)))*INDEX(SUP_C3_EXPANSION!$C$6:$F$6,MIN(4,COUNTIF(CAPA3_EXPANSION!$D$56:BS$56,"&gt;="&amp;7)))*CAPA3_EXPANSION!BS$36)</f>
        <v>2912.4549999999999</v>
      </c>
      <c r="BT14" s="88">
        <f>IF(COUNTIF(CAPA3_EXPANSION!$D$56:BT$56,"&gt;="&amp;7)=0,0,SUP_CONTROL!$C$8*IF($B14="V",1,IF($B14="D",(1+SUP_VOLUMEN!$C$26),(1+SUP_VOLUMEN!$C$27)))*INDEX(SUP_C3_EXPANSION!$C$6:$F$6,MIN(4,COUNTIF(CAPA3_EXPANSION!$D$56:BT$56,"&gt;="&amp;7)))*CAPA3_EXPANSION!BT$36)</f>
        <v>2912.4549999999999</v>
      </c>
      <c r="BU14" s="88">
        <f>IF(COUNTIF(CAPA3_EXPANSION!$D$56:BU$56,"&gt;="&amp;7)=0,0,SUP_CONTROL!$C$8*IF($B14="V",1,IF($B14="D",(1+SUP_VOLUMEN!$C$26),(1+SUP_VOLUMEN!$C$27)))*INDEX(SUP_C3_EXPANSION!$C$6:$F$6,MIN(4,COUNTIF(CAPA3_EXPANSION!$D$56:BU$56,"&gt;="&amp;7)))*CAPA3_EXPANSION!BU$36)</f>
        <v>2861.95</v>
      </c>
      <c r="BV14" s="88">
        <f>IF(COUNTIF(CAPA3_EXPANSION!$D$56:BV$56,"&gt;="&amp;7)=0,0,SUP_CONTROL!$C$8*IF($B14="V",1,IF($B14="D",(1+SUP_VOLUMEN!$C$26),(1+SUP_VOLUMEN!$C$27)))*INDEX(SUP_C3_EXPANSION!$C$6:$F$6,MIN(4,COUNTIF(CAPA3_EXPANSION!$D$56:BV$56,"&gt;="&amp;7)))*CAPA3_EXPANSION!BV$36)</f>
        <v>2861.95</v>
      </c>
      <c r="BW14" s="88">
        <f>IF(COUNTIF(CAPA3_EXPANSION!$D$56:BW$56,"&gt;="&amp;7)=0,0,SUP_CONTROL!$C$8*IF($B14="V",1,IF($B14="D",(1+SUP_VOLUMEN!$C$26),(1+SUP_VOLUMEN!$C$27)))*INDEX(SUP_C3_EXPANSION!$C$6:$F$6,MIN(4,COUNTIF(CAPA3_EXPANSION!$D$56:BW$56,"&gt;="&amp;7)))*CAPA3_EXPANSION!BW$36)</f>
        <v>2861.95</v>
      </c>
      <c r="BX14" s="88">
        <f>IF(COUNTIF(CAPA3_EXPANSION!$D$56:BX$56,"&gt;="&amp;7)=0,0,SUP_CONTROL!$C$8*IF($B14="V",1,IF($B14="D",(1+SUP_VOLUMEN!$C$26),(1+SUP_VOLUMEN!$C$27)))*INDEX(SUP_C3_EXPANSION!$C$6:$F$6,MIN(4,COUNTIF(CAPA3_EXPANSION!$D$56:BX$56,"&gt;="&amp;7)))*CAPA3_EXPANSION!BX$36)</f>
        <v>2861.95</v>
      </c>
      <c r="BY14" s="88">
        <f>IF(COUNTIF(CAPA3_EXPANSION!$D$56:BY$56,"&gt;="&amp;7)=0,0,SUP_CONTROL!$C$8*IF($B14="V",1,IF($B14="D",(1+SUP_VOLUMEN!$C$26),(1+SUP_VOLUMEN!$C$27)))*INDEX(SUP_C3_EXPANSION!$C$6:$F$6,MIN(4,COUNTIF(CAPA3_EXPANSION!$D$56:BY$56,"&gt;="&amp;7)))*CAPA3_EXPANSION!BY$36)</f>
        <v>2861.95</v>
      </c>
      <c r="BZ14" s="88">
        <f>IF(COUNTIF(CAPA3_EXPANSION!$D$56:BZ$56,"&gt;="&amp;7)=0,0,SUP_CONTROL!$C$8*IF($B14="V",1,IF($B14="D",(1+SUP_VOLUMEN!$C$26),(1+SUP_VOLUMEN!$C$27)))*INDEX(SUP_C3_EXPANSION!$C$6:$F$6,MIN(4,COUNTIF(CAPA3_EXPANSION!$D$56:BZ$56,"&gt;="&amp;7)))*CAPA3_EXPANSION!BZ$36)</f>
        <v>2828.2799999999997</v>
      </c>
      <c r="CA14" s="88">
        <f>IF(COUNTIF(CAPA3_EXPANSION!$D$56:CA$56,"&gt;="&amp;7)=0,0,SUP_CONTROL!$C$8*IF($B14="V",1,IF($B14="D",(1+SUP_VOLUMEN!$C$26),(1+SUP_VOLUMEN!$C$27)))*INDEX(SUP_C3_EXPANSION!$C$6:$F$6,MIN(4,COUNTIF(CAPA3_EXPANSION!$D$56:CA$56,"&gt;="&amp;7)))*CAPA3_EXPANSION!CA$36)</f>
        <v>2828.2799999999997</v>
      </c>
      <c r="CB14" s="88">
        <f>IF(COUNTIF(CAPA3_EXPANSION!$D$56:CB$56,"&gt;="&amp;7)=0,0,SUP_CONTROL!$C$8*IF($B14="V",1,IF($B14="D",(1+SUP_VOLUMEN!$C$26),(1+SUP_VOLUMEN!$C$27)))*INDEX(SUP_C3_EXPANSION!$C$6:$F$6,MIN(4,COUNTIF(CAPA3_EXPANSION!$D$56:CB$56,"&gt;="&amp;7)))*CAPA3_EXPANSION!CB$36)</f>
        <v>2828.2799999999997</v>
      </c>
      <c r="CC14" s="88">
        <f>IF(COUNTIF(CAPA3_EXPANSION!$D$56:CC$56,"&gt;="&amp;7)=0,0,SUP_CONTROL!$C$8*IF($B14="V",1,IF($B14="D",(1+SUP_VOLUMEN!$C$26),(1+SUP_VOLUMEN!$C$27)))*INDEX(SUP_C3_EXPANSION!$C$6:$F$6,MIN(4,COUNTIF(CAPA3_EXPANSION!$D$56:CC$56,"&gt;="&amp;7)))*CAPA3_EXPANSION!CC$36)</f>
        <v>2828.2799999999997</v>
      </c>
      <c r="CD14" s="88">
        <f>IF(COUNTIF(CAPA3_EXPANSION!$D$56:CD$56,"&gt;="&amp;7)=0,0,SUP_CONTROL!$C$8*IF($B14="V",1,IF($B14="D",(1+SUP_VOLUMEN!$C$26),(1+SUP_VOLUMEN!$C$27)))*INDEX(SUP_C3_EXPANSION!$C$6:$F$6,MIN(4,COUNTIF(CAPA3_EXPANSION!$D$56:CD$56,"&gt;="&amp;7)))*CAPA3_EXPANSION!CD$36)</f>
        <v>2828.2799999999997</v>
      </c>
      <c r="CE14" s="88">
        <f>IF(COUNTIF(CAPA3_EXPANSION!$D$56:CE$56,"&gt;="&amp;7)=0,0,SUP_CONTROL!$C$8*IF($B14="V",1,IF($B14="D",(1+SUP_VOLUMEN!$C$26),(1+SUP_VOLUMEN!$C$27)))*INDEX(SUP_C3_EXPANSION!$C$6:$F$6,MIN(4,COUNTIF(CAPA3_EXPANSION!$D$56:CE$56,"&gt;="&amp;7)))*CAPA3_EXPANSION!CE$36)</f>
        <v>2828.2799999999997</v>
      </c>
      <c r="CF14" s="88">
        <f>IF(COUNTIF(CAPA3_EXPANSION!$D$56:CF$56,"&gt;="&amp;7)=0,0,SUP_CONTROL!$C$8*IF($B14="V",1,IF($B14="D",(1+SUP_VOLUMEN!$C$26),(1+SUP_VOLUMEN!$C$27)))*INDEX(SUP_C3_EXPANSION!$C$6:$F$6,MIN(4,COUNTIF(CAPA3_EXPANSION!$D$56:CF$56,"&gt;="&amp;7)))*CAPA3_EXPANSION!CF$36)</f>
        <v>2828.2799999999997</v>
      </c>
      <c r="CG14" s="88">
        <f>IF(COUNTIF(CAPA3_EXPANSION!$D$56:CG$56,"&gt;="&amp;7)=0,0,SUP_CONTROL!$C$8*IF($B14="V",1,IF($B14="D",(1+SUP_VOLUMEN!$C$26),(1+SUP_VOLUMEN!$C$27)))*INDEX(SUP_C3_EXPANSION!$C$6:$F$6,MIN(4,COUNTIF(CAPA3_EXPANSION!$D$56:CG$56,"&gt;="&amp;7)))*CAPA3_EXPANSION!CG$36)</f>
        <v>2828.2799999999997</v>
      </c>
      <c r="CH14" s="88">
        <f>IF(COUNTIF(CAPA3_EXPANSION!$D$56:CH$56,"&gt;="&amp;7)=0,0,SUP_CONTROL!$C$8*IF($B14="V",1,IF($B14="D",(1+SUP_VOLUMEN!$C$26),(1+SUP_VOLUMEN!$C$27)))*INDEX(SUP_C3_EXPANSION!$C$6:$F$6,MIN(4,COUNTIF(CAPA3_EXPANSION!$D$56:CH$56,"&gt;="&amp;7)))*CAPA3_EXPANSION!CH$36)</f>
        <v>2828.2799999999997</v>
      </c>
      <c r="CI14" s="88">
        <f>IF(COUNTIF(CAPA3_EXPANSION!$D$56:CI$56,"&gt;="&amp;7)=0,0,SUP_CONTROL!$C$8*IF($B14="V",1,IF($B14="D",(1+SUP_VOLUMEN!$C$26),(1+SUP_VOLUMEN!$C$27)))*INDEX(SUP_C3_EXPANSION!$C$6:$F$6,MIN(4,COUNTIF(CAPA3_EXPANSION!$D$56:CI$56,"&gt;="&amp;7)))*CAPA3_EXPANSION!CI$36)</f>
        <v>2828.2799999999997</v>
      </c>
      <c r="CJ14" s="88">
        <f>IF(COUNTIF(CAPA3_EXPANSION!$D$56:CJ$56,"&gt;="&amp;7)=0,0,SUP_CONTROL!$C$8*IF($B14="V",1,IF($B14="D",(1+SUP_VOLUMEN!$C$26),(1+SUP_VOLUMEN!$C$27)))*INDEX(SUP_C3_EXPANSION!$C$6:$F$6,MIN(4,COUNTIF(CAPA3_EXPANSION!$D$56:CJ$56,"&gt;="&amp;7)))*CAPA3_EXPANSION!CJ$36)</f>
        <v>2828.2799999999997</v>
      </c>
      <c r="CK14" s="88">
        <f>IF(COUNTIF(CAPA3_EXPANSION!$D$56:CK$56,"&gt;="&amp;7)=0,0,SUP_CONTROL!$C$8*IF($B14="V",1,IF($B14="D",(1+SUP_VOLUMEN!$C$26),(1+SUP_VOLUMEN!$C$27)))*INDEX(SUP_C3_EXPANSION!$C$6:$F$6,MIN(4,COUNTIF(CAPA3_EXPANSION!$D$56:CK$56,"&gt;="&amp;7)))*CAPA3_EXPANSION!CK$36)</f>
        <v>2828.2799999999997</v>
      </c>
      <c r="CL14" s="88">
        <f>IF(COUNTIF(CAPA3_EXPANSION!$D$56:CL$56,"&gt;="&amp;7)=0,0,SUP_CONTROL!$C$8*IF($B14="V",1,IF($B14="D",(1+SUP_VOLUMEN!$C$26),(1+SUP_VOLUMEN!$C$27)))*INDEX(SUP_C3_EXPANSION!$C$6:$F$6,MIN(4,COUNTIF(CAPA3_EXPANSION!$D$56:CL$56,"&gt;="&amp;7)))*CAPA3_EXPANSION!CL$36)</f>
        <v>2828.2799999999997</v>
      </c>
      <c r="CM14" s="88">
        <f>IF(COUNTIF(CAPA3_EXPANSION!$D$56:CM$56,"&gt;="&amp;7)=0,0,SUP_CONTROL!$C$8*IF($B14="V",1,IF($B14="D",(1+SUP_VOLUMEN!$C$26),(1+SUP_VOLUMEN!$C$27)))*INDEX(SUP_C3_EXPANSION!$C$6:$F$6,MIN(4,COUNTIF(CAPA3_EXPANSION!$D$56:CM$56,"&gt;="&amp;7)))*CAPA3_EXPANSION!CM$36)</f>
        <v>2828.2799999999997</v>
      </c>
      <c r="CN14" s="88">
        <f>IF(COUNTIF(CAPA3_EXPANSION!$D$56:CN$56,"&gt;="&amp;7)=0,0,SUP_CONTROL!$C$8*IF($B14="V",1,IF($B14="D",(1+SUP_VOLUMEN!$C$26),(1+SUP_VOLUMEN!$C$27)))*INDEX(SUP_C3_EXPANSION!$C$6:$F$6,MIN(4,COUNTIF(CAPA3_EXPANSION!$D$56:CN$56,"&gt;="&amp;7)))*CAPA3_EXPANSION!CN$36)</f>
        <v>2828.2799999999997</v>
      </c>
      <c r="CO14" s="88">
        <f>IF(COUNTIF(CAPA3_EXPANSION!$D$56:CO$56,"&gt;="&amp;7)=0,0,SUP_CONTROL!$C$8*IF($B14="V",1,IF($B14="D",(1+SUP_VOLUMEN!$C$26),(1+SUP_VOLUMEN!$C$27)))*INDEX(SUP_C3_EXPANSION!$C$6:$F$6,MIN(4,COUNTIF(CAPA3_EXPANSION!$D$56:CO$56,"&gt;="&amp;7)))*CAPA3_EXPANSION!CO$36)</f>
        <v>2828.2799999999997</v>
      </c>
      <c r="CP14" s="88">
        <f>IF(COUNTIF(CAPA3_EXPANSION!$D$56:CP$56,"&gt;="&amp;7)=0,0,SUP_CONTROL!$C$8*IF($B14="V",1,IF($B14="D",(1+SUP_VOLUMEN!$C$26),(1+SUP_VOLUMEN!$C$27)))*INDEX(SUP_C3_EXPANSION!$C$6:$F$6,MIN(4,COUNTIF(CAPA3_EXPANSION!$D$56:CP$56,"&gt;="&amp;7)))*CAPA3_EXPANSION!CP$36)</f>
        <v>2828.2799999999997</v>
      </c>
      <c r="CQ14" s="88">
        <f>IF(COUNTIF(CAPA3_EXPANSION!$D$56:CQ$56,"&gt;="&amp;7)=0,0,SUP_CONTROL!$C$8*IF($B14="V",1,IF($B14="D",(1+SUP_VOLUMEN!$C$26),(1+SUP_VOLUMEN!$C$27)))*INDEX(SUP_C3_EXPANSION!$C$6:$F$6,MIN(4,COUNTIF(CAPA3_EXPANSION!$D$56:CQ$56,"&gt;="&amp;7)))*CAPA3_EXPANSION!CQ$36)</f>
        <v>2828.2799999999997</v>
      </c>
      <c r="CR14" s="88">
        <f>IF(COUNTIF(CAPA3_EXPANSION!$D$56:CR$56,"&gt;="&amp;7)=0,0,SUP_CONTROL!$C$8*IF($B14="V",1,IF($B14="D",(1+SUP_VOLUMEN!$C$26),(1+SUP_VOLUMEN!$C$27)))*INDEX(SUP_C3_EXPANSION!$C$6:$F$6,MIN(4,COUNTIF(CAPA3_EXPANSION!$D$56:CR$56,"&gt;="&amp;7)))*CAPA3_EXPANSION!CR$36)</f>
        <v>2828.2799999999997</v>
      </c>
      <c r="CS14" s="88">
        <f>IF(COUNTIF(CAPA3_EXPANSION!$D$56:CS$56,"&gt;="&amp;7)=0,0,SUP_CONTROL!$C$8*IF($B14="V",1,IF($B14="D",(1+SUP_VOLUMEN!$C$26),(1+SUP_VOLUMEN!$C$27)))*INDEX(SUP_C3_EXPANSION!$C$6:$F$6,MIN(4,COUNTIF(CAPA3_EXPANSION!$D$56:CS$56,"&gt;="&amp;7)))*CAPA3_EXPANSION!CS$36)</f>
        <v>2828.2799999999997</v>
      </c>
      <c r="CT14" s="88">
        <f>IF(COUNTIF(CAPA3_EXPANSION!$D$56:CT$56,"&gt;="&amp;7)=0,0,SUP_CONTROL!$C$8*IF($B14="V",1,IF($B14="D",(1+SUP_VOLUMEN!$C$26),(1+SUP_VOLUMEN!$C$27)))*INDEX(SUP_C3_EXPANSION!$C$6:$F$6,MIN(4,COUNTIF(CAPA3_EXPANSION!$D$56:CT$56,"&gt;="&amp;7)))*CAPA3_EXPANSION!CT$36)</f>
        <v>2828.2799999999997</v>
      </c>
      <c r="CU14" s="88">
        <f>IF(COUNTIF(CAPA3_EXPANSION!$D$56:CU$56,"&gt;="&amp;7)=0,0,SUP_CONTROL!$C$8*IF($B14="V",1,IF($B14="D",(1+SUP_VOLUMEN!$C$26),(1+SUP_VOLUMEN!$C$27)))*INDEX(SUP_C3_EXPANSION!$C$6:$F$6,MIN(4,COUNTIF(CAPA3_EXPANSION!$D$56:CU$56,"&gt;="&amp;7)))*CAPA3_EXPANSION!CU$36)</f>
        <v>2828.2799999999997</v>
      </c>
      <c r="CV14" s="88">
        <f>IF(COUNTIF(CAPA3_EXPANSION!$D$56:CV$56,"&gt;="&amp;7)=0,0,SUP_CONTROL!$C$8*IF($B14="V",1,IF($B14="D",(1+SUP_VOLUMEN!$C$26),(1+SUP_VOLUMEN!$C$27)))*INDEX(SUP_C3_EXPANSION!$C$6:$F$6,MIN(4,COUNTIF(CAPA3_EXPANSION!$D$56:CV$56,"&gt;="&amp;7)))*CAPA3_EXPANSION!CV$36)</f>
        <v>2828.2799999999997</v>
      </c>
      <c r="CW14" s="88">
        <f>IF(COUNTIF(CAPA3_EXPANSION!$D$56:CW$56,"&gt;="&amp;7)=0,0,SUP_CONTROL!$C$8*IF($B14="V",1,IF($B14="D",(1+SUP_VOLUMEN!$C$26),(1+SUP_VOLUMEN!$C$27)))*INDEX(SUP_C3_EXPANSION!$C$6:$F$6,MIN(4,COUNTIF(CAPA3_EXPANSION!$D$56:CW$56,"&gt;="&amp;7)))*CAPA3_EXPANSION!CW$36)</f>
        <v>2828.2799999999997</v>
      </c>
      <c r="CX14" s="88">
        <f>IF(COUNTIF(CAPA3_EXPANSION!$D$56:CX$56,"&gt;="&amp;7)=0,0,SUP_CONTROL!$C$8*IF($B14="V",1,IF($B14="D",(1+SUP_VOLUMEN!$C$26),(1+SUP_VOLUMEN!$C$27)))*INDEX(SUP_C3_EXPANSION!$C$6:$F$6,MIN(4,COUNTIF(CAPA3_EXPANSION!$D$56:CX$56,"&gt;="&amp;7)))*CAPA3_EXPANSION!CX$36)</f>
        <v>2828.2799999999997</v>
      </c>
      <c r="CY14" s="88">
        <f>IF(COUNTIF(CAPA3_EXPANSION!$D$56:CY$56,"&gt;="&amp;7)=0,0,SUP_CONTROL!$C$8*IF($B14="V",1,IF($B14="D",(1+SUP_VOLUMEN!$C$26),(1+SUP_VOLUMEN!$C$27)))*INDEX(SUP_C3_EXPANSION!$C$6:$F$6,MIN(4,COUNTIF(CAPA3_EXPANSION!$D$56:CY$56,"&gt;="&amp;7)))*CAPA3_EXPANSION!CY$36)</f>
        <v>2828.2799999999997</v>
      </c>
      <c r="CZ14" s="88">
        <f>IF(COUNTIF(CAPA3_EXPANSION!$D$56:CZ$56,"&gt;="&amp;7)=0,0,SUP_CONTROL!$C$8*IF($B14="V",1,IF($B14="D",(1+SUP_VOLUMEN!$C$26),(1+SUP_VOLUMEN!$C$27)))*INDEX(SUP_C3_EXPANSION!$C$6:$F$6,MIN(4,COUNTIF(CAPA3_EXPANSION!$D$56:CZ$56,"&gt;="&amp;7)))*CAPA3_EXPANSION!CZ$36)</f>
        <v>2828.2799999999997</v>
      </c>
      <c r="DA14" s="88">
        <f>IF(COUNTIF(CAPA3_EXPANSION!$D$56:DA$56,"&gt;="&amp;7)=0,0,SUP_CONTROL!$C$8*IF($B14="V",1,IF($B14="D",(1+SUP_VOLUMEN!$C$26),(1+SUP_VOLUMEN!$C$27)))*INDEX(SUP_C3_EXPANSION!$C$6:$F$6,MIN(4,COUNTIF(CAPA3_EXPANSION!$D$56:DA$56,"&gt;="&amp;7)))*CAPA3_EXPANSION!DA$36)</f>
        <v>2828.2799999999997</v>
      </c>
      <c r="DB14" s="88">
        <f>IF(COUNTIF(CAPA3_EXPANSION!$D$56:DB$56,"&gt;="&amp;7)=0,0,SUP_CONTROL!$C$8*IF($B14="V",1,IF($B14="D",(1+SUP_VOLUMEN!$C$26),(1+SUP_VOLUMEN!$C$27)))*INDEX(SUP_C3_EXPANSION!$C$6:$F$6,MIN(4,COUNTIF(CAPA3_EXPANSION!$D$56:DB$56,"&gt;="&amp;7)))*CAPA3_EXPANSION!DB$36)</f>
        <v>2828.2799999999997</v>
      </c>
      <c r="DC14" s="88">
        <f>IF(COUNTIF(CAPA3_EXPANSION!$D$56:DC$56,"&gt;="&amp;7)=0,0,SUP_CONTROL!$C$8*IF($B14="V",1,IF($B14="D",(1+SUP_VOLUMEN!$C$26),(1+SUP_VOLUMEN!$C$27)))*INDEX(SUP_C3_EXPANSION!$C$6:$F$6,MIN(4,COUNTIF(CAPA3_EXPANSION!$D$56:DC$56,"&gt;="&amp;7)))*CAPA3_EXPANSION!DC$36)</f>
        <v>2828.2799999999997</v>
      </c>
      <c r="DD14" s="88">
        <f>IF(COUNTIF(CAPA3_EXPANSION!$D$56:DD$56,"&gt;="&amp;7)=0,0,SUP_CONTROL!$C$8*IF($B14="V",1,IF($B14="D",(1+SUP_VOLUMEN!$C$26),(1+SUP_VOLUMEN!$C$27)))*INDEX(SUP_C3_EXPANSION!$C$6:$F$6,MIN(4,COUNTIF(CAPA3_EXPANSION!$D$56:DD$56,"&gt;="&amp;7)))*CAPA3_EXPANSION!DD$36)</f>
        <v>2828.2799999999997</v>
      </c>
      <c r="DE14" s="88">
        <f>IF(COUNTIF(CAPA3_EXPANSION!$D$56:DE$56,"&gt;="&amp;7)=0,0,SUP_CONTROL!$C$8*IF($B14="V",1,IF($B14="D",(1+SUP_VOLUMEN!$C$26),(1+SUP_VOLUMEN!$C$27)))*INDEX(SUP_C3_EXPANSION!$C$6:$F$6,MIN(4,COUNTIF(CAPA3_EXPANSION!$D$56:DE$56,"&gt;="&amp;7)))*CAPA3_EXPANSION!DE$36)</f>
        <v>2828.2799999999997</v>
      </c>
      <c r="DF14" s="88">
        <f>IF(COUNTIF(CAPA3_EXPANSION!$D$56:DF$56,"&gt;="&amp;7)=0,0,SUP_CONTROL!$C$8*IF($B14="V",1,IF($B14="D",(1+SUP_VOLUMEN!$C$26),(1+SUP_VOLUMEN!$C$27)))*INDEX(SUP_C3_EXPANSION!$C$6:$F$6,MIN(4,COUNTIF(CAPA3_EXPANSION!$D$56:DF$56,"&gt;="&amp;7)))*CAPA3_EXPANSION!DF$36)</f>
        <v>2828.2799999999997</v>
      </c>
      <c r="DG14" s="88">
        <f>IF(COUNTIF(CAPA3_EXPANSION!$D$56:DG$56,"&gt;="&amp;7)=0,0,SUP_CONTROL!$C$8*IF($B14="V",1,IF($B14="D",(1+SUP_VOLUMEN!$C$26),(1+SUP_VOLUMEN!$C$27)))*INDEX(SUP_C3_EXPANSION!$C$6:$F$6,MIN(4,COUNTIF(CAPA3_EXPANSION!$D$56:DG$56,"&gt;="&amp;7)))*CAPA3_EXPANSION!DG$36)</f>
        <v>2828.2799999999997</v>
      </c>
      <c r="DH14" s="88">
        <f>IF(COUNTIF(CAPA3_EXPANSION!$D$56:DH$56,"&gt;="&amp;7)=0,0,SUP_CONTROL!$C$8*IF($B14="V",1,IF($B14="D",(1+SUP_VOLUMEN!$C$26),(1+SUP_VOLUMEN!$C$27)))*INDEX(SUP_C3_EXPANSION!$C$6:$F$6,MIN(4,COUNTIF(CAPA3_EXPANSION!$D$56:DH$56,"&gt;="&amp;7)))*CAPA3_EXPANSION!DH$36)</f>
        <v>2828.2799999999997</v>
      </c>
      <c r="DI14" s="88">
        <f>IF(COUNTIF(CAPA3_EXPANSION!$D$56:DI$56,"&gt;="&amp;7)=0,0,SUP_CONTROL!$C$8*IF($B14="V",1,IF($B14="D",(1+SUP_VOLUMEN!$C$26),(1+SUP_VOLUMEN!$C$27)))*INDEX(SUP_C3_EXPANSION!$C$6:$F$6,MIN(4,COUNTIF(CAPA3_EXPANSION!$D$56:DI$56,"&gt;="&amp;7)))*CAPA3_EXPANSION!DI$36)</f>
        <v>2828.2799999999997</v>
      </c>
      <c r="DJ14" s="88">
        <f>IF(COUNTIF(CAPA3_EXPANSION!$D$56:DJ$56,"&gt;="&amp;7)=0,0,SUP_CONTROL!$C$8*IF($B14="V",1,IF($B14="D",(1+SUP_VOLUMEN!$C$26),(1+SUP_VOLUMEN!$C$27)))*INDEX(SUP_C3_EXPANSION!$C$6:$F$6,MIN(4,COUNTIF(CAPA3_EXPANSION!$D$56:DJ$56,"&gt;="&amp;7)))*CAPA3_EXPANSION!DJ$36)</f>
        <v>2828.2799999999997</v>
      </c>
      <c r="DK14" s="88">
        <f>IF(COUNTIF(CAPA3_EXPANSION!$D$56:DK$56,"&gt;="&amp;7)=0,0,SUP_CONTROL!$C$8*IF($B14="V",1,IF($B14="D",(1+SUP_VOLUMEN!$C$26),(1+SUP_VOLUMEN!$C$27)))*INDEX(SUP_C3_EXPANSION!$C$6:$F$6,MIN(4,COUNTIF(CAPA3_EXPANSION!$D$56:DK$56,"&gt;="&amp;7)))*CAPA3_EXPANSION!DK$36)</f>
        <v>2828.2799999999997</v>
      </c>
      <c r="DL14" s="88">
        <f>IF(COUNTIF(CAPA3_EXPANSION!$D$56:DL$56,"&gt;="&amp;7)=0,0,SUP_CONTROL!$C$8*IF($B14="V",1,IF($B14="D",(1+SUP_VOLUMEN!$C$26),(1+SUP_VOLUMEN!$C$27)))*INDEX(SUP_C3_EXPANSION!$C$6:$F$6,MIN(4,COUNTIF(CAPA3_EXPANSION!$D$56:DL$56,"&gt;="&amp;7)))*CAPA3_EXPANSION!DL$36)</f>
        <v>2828.2799999999997</v>
      </c>
      <c r="DM14" s="88">
        <f>IF(COUNTIF(CAPA3_EXPANSION!$D$56:DM$56,"&gt;="&amp;7)=0,0,SUP_CONTROL!$C$8*IF($B14="V",1,IF($B14="D",(1+SUP_VOLUMEN!$C$26),(1+SUP_VOLUMEN!$C$27)))*INDEX(SUP_C3_EXPANSION!$C$6:$F$6,MIN(4,COUNTIF(CAPA3_EXPANSION!$D$56:DM$56,"&gt;="&amp;7)))*CAPA3_EXPANSION!DM$36)</f>
        <v>2828.2799999999997</v>
      </c>
      <c r="DN14" s="88">
        <f>IF(COUNTIF(CAPA3_EXPANSION!$D$56:DN$56,"&gt;="&amp;7)=0,0,SUP_CONTROL!$C$8*IF($B14="V",1,IF($B14="D",(1+SUP_VOLUMEN!$C$26),(1+SUP_VOLUMEN!$C$27)))*INDEX(SUP_C3_EXPANSION!$C$6:$F$6,MIN(4,COUNTIF(CAPA3_EXPANSION!$D$56:DN$56,"&gt;="&amp;7)))*CAPA3_EXPANSION!DN$36)</f>
        <v>2828.2799999999997</v>
      </c>
      <c r="DO14" s="88">
        <f>IF(COUNTIF(CAPA3_EXPANSION!$D$56:DO$56,"&gt;="&amp;7)=0,0,SUP_CONTROL!$C$8*IF($B14="V",1,IF($B14="D",(1+SUP_VOLUMEN!$C$26),(1+SUP_VOLUMEN!$C$27)))*INDEX(SUP_C3_EXPANSION!$C$6:$F$6,MIN(4,COUNTIF(CAPA3_EXPANSION!$D$56:DO$56,"&gt;="&amp;7)))*CAPA3_EXPANSION!DO$36)</f>
        <v>2828.2799999999997</v>
      </c>
      <c r="DP14" s="88">
        <f>IF(COUNTIF(CAPA3_EXPANSION!$D$56:DP$56,"&gt;="&amp;7)=0,0,SUP_CONTROL!$C$8*IF($B14="V",1,IF($B14="D",(1+SUP_VOLUMEN!$C$26),(1+SUP_VOLUMEN!$C$27)))*INDEX(SUP_C3_EXPANSION!$C$6:$F$6,MIN(4,COUNTIF(CAPA3_EXPANSION!$D$56:DP$56,"&gt;="&amp;7)))*CAPA3_EXPANSION!DP$36)</f>
        <v>2828.2799999999997</v>
      </c>
      <c r="DQ14" s="88">
        <f>IF(COUNTIF(CAPA3_EXPANSION!$D$56:DQ$56,"&gt;="&amp;7)=0,0,SUP_CONTROL!$C$8*IF($B14="V",1,IF($B14="D",(1+SUP_VOLUMEN!$C$26),(1+SUP_VOLUMEN!$C$27)))*INDEX(SUP_C3_EXPANSION!$C$6:$F$6,MIN(4,COUNTIF(CAPA3_EXPANSION!$D$56:DQ$56,"&gt;="&amp;7)))*CAPA3_EXPANSION!DQ$36)</f>
        <v>2828.2799999999997</v>
      </c>
      <c r="DR14" s="88">
        <f>IF(COUNTIF(CAPA3_EXPANSION!$D$56:DR$56,"&gt;="&amp;7)=0,0,SUP_CONTROL!$C$8*IF($B14="V",1,IF($B14="D",(1+SUP_VOLUMEN!$C$26),(1+SUP_VOLUMEN!$C$27)))*INDEX(SUP_C3_EXPANSION!$C$6:$F$6,MIN(4,COUNTIF(CAPA3_EXPANSION!$D$56:DR$56,"&gt;="&amp;7)))*CAPA3_EXPANSION!DR$36)</f>
        <v>2828.2799999999997</v>
      </c>
      <c r="DS14" s="88">
        <f>IF(COUNTIF(CAPA3_EXPANSION!$D$56:DS$56,"&gt;="&amp;7)=0,0,SUP_CONTROL!$C$8*IF($B14="V",1,IF($B14="D",(1+SUP_VOLUMEN!$C$26),(1+SUP_VOLUMEN!$C$27)))*INDEX(SUP_C3_EXPANSION!$C$6:$F$6,MIN(4,COUNTIF(CAPA3_EXPANSION!$D$56:DS$56,"&gt;="&amp;7)))*CAPA3_EXPANSION!DS$36)</f>
        <v>2828.2799999999997</v>
      </c>
    </row>
    <row r="15" spans="1:123" ht="15" customHeight="1" x14ac:dyDescent="0.2">
      <c r="A15" s="88">
        <v>18</v>
      </c>
      <c r="B15" s="104" t="str">
        <f>SUP_C3_EXPANSION!B27</f>
        <v>D</v>
      </c>
      <c r="C15" s="73">
        <f>SUP_C3_EXPANSION!G27</f>
        <v>33</v>
      </c>
      <c r="D15" s="88">
        <f>IF(COUNTIF(CAPA3_EXPANSION!$D$56:D$56,"&gt;="&amp;8)=0,0,SUP_CONTROL!$C$8*IF($B15="V",1,IF($B15="D",(1+SUP_VOLUMEN!$C$26),(1+SUP_VOLUMEN!$C$27)))*INDEX(SUP_C3_EXPANSION!$C$6:$F$6,MIN(4,COUNTIF(CAPA3_EXPANSION!$D$56:D$56,"&gt;="&amp;8)))*CAPA3_EXPANSION!D$36)</f>
        <v>0</v>
      </c>
      <c r="E15" s="88">
        <f>IF(COUNTIF(CAPA3_EXPANSION!$D$56:E$56,"&gt;="&amp;8)=0,0,SUP_CONTROL!$C$8*IF($B15="V",1,IF($B15="D",(1+SUP_VOLUMEN!$C$26),(1+SUP_VOLUMEN!$C$27)))*INDEX(SUP_C3_EXPANSION!$C$6:$F$6,MIN(4,COUNTIF(CAPA3_EXPANSION!$D$56:E$56,"&gt;="&amp;8)))*CAPA3_EXPANSION!E$36)</f>
        <v>0</v>
      </c>
      <c r="F15" s="88">
        <f>IF(COUNTIF(CAPA3_EXPANSION!$D$56:F$56,"&gt;="&amp;8)=0,0,SUP_CONTROL!$C$8*IF($B15="V",1,IF($B15="D",(1+SUP_VOLUMEN!$C$26),(1+SUP_VOLUMEN!$C$27)))*INDEX(SUP_C3_EXPANSION!$C$6:$F$6,MIN(4,COUNTIF(CAPA3_EXPANSION!$D$56:F$56,"&gt;="&amp;8)))*CAPA3_EXPANSION!F$36)</f>
        <v>0</v>
      </c>
      <c r="G15" s="88">
        <f>IF(COUNTIF(CAPA3_EXPANSION!$D$56:G$56,"&gt;="&amp;8)=0,0,SUP_CONTROL!$C$8*IF($B15="V",1,IF($B15="D",(1+SUP_VOLUMEN!$C$26),(1+SUP_VOLUMEN!$C$27)))*INDEX(SUP_C3_EXPANSION!$C$6:$F$6,MIN(4,COUNTIF(CAPA3_EXPANSION!$D$56:G$56,"&gt;="&amp;8)))*CAPA3_EXPANSION!G$36)</f>
        <v>0</v>
      </c>
      <c r="H15" s="88">
        <f>IF(COUNTIF(CAPA3_EXPANSION!$D$56:H$56,"&gt;="&amp;8)=0,0,SUP_CONTROL!$C$8*IF($B15="V",1,IF($B15="D",(1+SUP_VOLUMEN!$C$26),(1+SUP_VOLUMEN!$C$27)))*INDEX(SUP_C3_EXPANSION!$C$6:$F$6,MIN(4,COUNTIF(CAPA3_EXPANSION!$D$56:H$56,"&gt;="&amp;8)))*CAPA3_EXPANSION!H$36)</f>
        <v>0</v>
      </c>
      <c r="I15" s="88">
        <f>IF(COUNTIF(CAPA3_EXPANSION!$D$56:I$56,"&gt;="&amp;8)=0,0,SUP_CONTROL!$C$8*IF($B15="V",1,IF($B15="D",(1+SUP_VOLUMEN!$C$26),(1+SUP_VOLUMEN!$C$27)))*INDEX(SUP_C3_EXPANSION!$C$6:$F$6,MIN(4,COUNTIF(CAPA3_EXPANSION!$D$56:I$56,"&gt;="&amp;8)))*CAPA3_EXPANSION!I$36)</f>
        <v>0</v>
      </c>
      <c r="J15" s="88">
        <f>IF(COUNTIF(CAPA3_EXPANSION!$D$56:J$56,"&gt;="&amp;8)=0,0,SUP_CONTROL!$C$8*IF($B15="V",1,IF($B15="D",(1+SUP_VOLUMEN!$C$26),(1+SUP_VOLUMEN!$C$27)))*INDEX(SUP_C3_EXPANSION!$C$6:$F$6,MIN(4,COUNTIF(CAPA3_EXPANSION!$D$56:J$56,"&gt;="&amp;8)))*CAPA3_EXPANSION!J$36)</f>
        <v>0</v>
      </c>
      <c r="K15" s="88">
        <f>IF(COUNTIF(CAPA3_EXPANSION!$D$56:K$56,"&gt;="&amp;8)=0,0,SUP_CONTROL!$C$8*IF($B15="V",1,IF($B15="D",(1+SUP_VOLUMEN!$C$26),(1+SUP_VOLUMEN!$C$27)))*INDEX(SUP_C3_EXPANSION!$C$6:$F$6,MIN(4,COUNTIF(CAPA3_EXPANSION!$D$56:K$56,"&gt;="&amp;8)))*CAPA3_EXPANSION!K$36)</f>
        <v>0</v>
      </c>
      <c r="L15" s="88">
        <f>IF(COUNTIF(CAPA3_EXPANSION!$D$56:L$56,"&gt;="&amp;8)=0,0,SUP_CONTROL!$C$8*IF($B15="V",1,IF($B15="D",(1+SUP_VOLUMEN!$C$26),(1+SUP_VOLUMEN!$C$27)))*INDEX(SUP_C3_EXPANSION!$C$6:$F$6,MIN(4,COUNTIF(CAPA3_EXPANSION!$D$56:L$56,"&gt;="&amp;8)))*CAPA3_EXPANSION!L$36)</f>
        <v>0</v>
      </c>
      <c r="M15" s="88">
        <f>IF(COUNTIF(CAPA3_EXPANSION!$D$56:M$56,"&gt;="&amp;8)=0,0,SUP_CONTROL!$C$8*IF($B15="V",1,IF($B15="D",(1+SUP_VOLUMEN!$C$26),(1+SUP_VOLUMEN!$C$27)))*INDEX(SUP_C3_EXPANSION!$C$6:$F$6,MIN(4,COUNTIF(CAPA3_EXPANSION!$D$56:M$56,"&gt;="&amp;8)))*CAPA3_EXPANSION!M$36)</f>
        <v>0</v>
      </c>
      <c r="N15" s="88">
        <f>IF(COUNTIF(CAPA3_EXPANSION!$D$56:N$56,"&gt;="&amp;8)=0,0,SUP_CONTROL!$C$8*IF($B15="V",1,IF($B15="D",(1+SUP_VOLUMEN!$C$26),(1+SUP_VOLUMEN!$C$27)))*INDEX(SUP_C3_EXPANSION!$C$6:$F$6,MIN(4,COUNTIF(CAPA3_EXPANSION!$D$56:N$56,"&gt;="&amp;8)))*CAPA3_EXPANSION!N$36)</f>
        <v>0</v>
      </c>
      <c r="O15" s="88">
        <f>IF(COUNTIF(CAPA3_EXPANSION!$D$56:O$56,"&gt;="&amp;8)=0,0,SUP_CONTROL!$C$8*IF($B15="V",1,IF($B15="D",(1+SUP_VOLUMEN!$C$26),(1+SUP_VOLUMEN!$C$27)))*INDEX(SUP_C3_EXPANSION!$C$6:$F$6,MIN(4,COUNTIF(CAPA3_EXPANSION!$D$56:O$56,"&gt;="&amp;8)))*CAPA3_EXPANSION!O$36)</f>
        <v>0</v>
      </c>
      <c r="P15" s="88">
        <f>IF(COUNTIF(CAPA3_EXPANSION!$D$56:P$56,"&gt;="&amp;8)=0,0,SUP_CONTROL!$C$8*IF($B15="V",1,IF($B15="D",(1+SUP_VOLUMEN!$C$26),(1+SUP_VOLUMEN!$C$27)))*INDEX(SUP_C3_EXPANSION!$C$6:$F$6,MIN(4,COUNTIF(CAPA3_EXPANSION!$D$56:P$56,"&gt;="&amp;8)))*CAPA3_EXPANSION!P$36)</f>
        <v>0</v>
      </c>
      <c r="Q15" s="88">
        <f>IF(COUNTIF(CAPA3_EXPANSION!$D$56:Q$56,"&gt;="&amp;8)=0,0,SUP_CONTROL!$C$8*IF($B15="V",1,IF($B15="D",(1+SUP_VOLUMEN!$C$26),(1+SUP_VOLUMEN!$C$27)))*INDEX(SUP_C3_EXPANSION!$C$6:$F$6,MIN(4,COUNTIF(CAPA3_EXPANSION!$D$56:Q$56,"&gt;="&amp;8)))*CAPA3_EXPANSION!Q$36)</f>
        <v>0</v>
      </c>
      <c r="R15" s="88">
        <f>IF(COUNTIF(CAPA3_EXPANSION!$D$56:R$56,"&gt;="&amp;8)=0,0,SUP_CONTROL!$C$8*IF($B15="V",1,IF($B15="D",(1+SUP_VOLUMEN!$C$26),(1+SUP_VOLUMEN!$C$27)))*INDEX(SUP_C3_EXPANSION!$C$6:$F$6,MIN(4,COUNTIF(CAPA3_EXPANSION!$D$56:R$56,"&gt;="&amp;8)))*CAPA3_EXPANSION!R$36)</f>
        <v>0</v>
      </c>
      <c r="S15" s="88">
        <f>IF(COUNTIF(CAPA3_EXPANSION!$D$56:S$56,"&gt;="&amp;8)=0,0,SUP_CONTROL!$C$8*IF($B15="V",1,IF($B15="D",(1+SUP_VOLUMEN!$C$26),(1+SUP_VOLUMEN!$C$27)))*INDEX(SUP_C3_EXPANSION!$C$6:$F$6,MIN(4,COUNTIF(CAPA3_EXPANSION!$D$56:S$56,"&gt;="&amp;8)))*CAPA3_EXPANSION!S$36)</f>
        <v>0</v>
      </c>
      <c r="T15" s="88">
        <f>IF(COUNTIF(CAPA3_EXPANSION!$D$56:T$56,"&gt;="&amp;8)=0,0,SUP_CONTROL!$C$8*IF($B15="V",1,IF($B15="D",(1+SUP_VOLUMEN!$C$26),(1+SUP_VOLUMEN!$C$27)))*INDEX(SUP_C3_EXPANSION!$C$6:$F$6,MIN(4,COUNTIF(CAPA3_EXPANSION!$D$56:T$56,"&gt;="&amp;8)))*CAPA3_EXPANSION!T$36)</f>
        <v>0</v>
      </c>
      <c r="U15" s="88">
        <f>IF(COUNTIF(CAPA3_EXPANSION!$D$56:U$56,"&gt;="&amp;8)=0,0,SUP_CONTROL!$C$8*IF($B15="V",1,IF($B15="D",(1+SUP_VOLUMEN!$C$26),(1+SUP_VOLUMEN!$C$27)))*INDEX(SUP_C3_EXPANSION!$C$6:$F$6,MIN(4,COUNTIF(CAPA3_EXPANSION!$D$56:U$56,"&gt;="&amp;8)))*CAPA3_EXPANSION!U$36)</f>
        <v>0</v>
      </c>
      <c r="V15" s="88">
        <f>IF(COUNTIF(CAPA3_EXPANSION!$D$56:V$56,"&gt;="&amp;8)=0,0,SUP_CONTROL!$C$8*IF($B15="V",1,IF($B15="D",(1+SUP_VOLUMEN!$C$26),(1+SUP_VOLUMEN!$C$27)))*INDEX(SUP_C3_EXPANSION!$C$6:$F$6,MIN(4,COUNTIF(CAPA3_EXPANSION!$D$56:V$56,"&gt;="&amp;8)))*CAPA3_EXPANSION!V$36)</f>
        <v>0</v>
      </c>
      <c r="W15" s="88">
        <f>IF(COUNTIF(CAPA3_EXPANSION!$D$56:W$56,"&gt;="&amp;8)=0,0,SUP_CONTROL!$C$8*IF($B15="V",1,IF($B15="D",(1+SUP_VOLUMEN!$C$26),(1+SUP_VOLUMEN!$C$27)))*INDEX(SUP_C3_EXPANSION!$C$6:$F$6,MIN(4,COUNTIF(CAPA3_EXPANSION!$D$56:W$56,"&gt;="&amp;8)))*CAPA3_EXPANSION!W$36)</f>
        <v>0</v>
      </c>
      <c r="X15" s="88">
        <f>IF(COUNTIF(CAPA3_EXPANSION!$D$56:X$56,"&gt;="&amp;8)=0,0,SUP_CONTROL!$C$8*IF($B15="V",1,IF($B15="D",(1+SUP_VOLUMEN!$C$26),(1+SUP_VOLUMEN!$C$27)))*INDEX(SUP_C3_EXPANSION!$C$6:$F$6,MIN(4,COUNTIF(CAPA3_EXPANSION!$D$56:X$56,"&gt;="&amp;8)))*CAPA3_EXPANSION!X$36)</f>
        <v>0</v>
      </c>
      <c r="Y15" s="88">
        <f>IF(COUNTIF(CAPA3_EXPANSION!$D$56:Y$56,"&gt;="&amp;8)=0,0,SUP_CONTROL!$C$8*IF($B15="V",1,IF($B15="D",(1+SUP_VOLUMEN!$C$26),(1+SUP_VOLUMEN!$C$27)))*INDEX(SUP_C3_EXPANSION!$C$6:$F$6,MIN(4,COUNTIF(CAPA3_EXPANSION!$D$56:Y$56,"&gt;="&amp;8)))*CAPA3_EXPANSION!Y$36)</f>
        <v>0</v>
      </c>
      <c r="Z15" s="88">
        <f>IF(COUNTIF(CAPA3_EXPANSION!$D$56:Z$56,"&gt;="&amp;8)=0,0,SUP_CONTROL!$C$8*IF($B15="V",1,IF($B15="D",(1+SUP_VOLUMEN!$C$26),(1+SUP_VOLUMEN!$C$27)))*INDEX(SUP_C3_EXPANSION!$C$6:$F$6,MIN(4,COUNTIF(CAPA3_EXPANSION!$D$56:Z$56,"&gt;="&amp;8)))*CAPA3_EXPANSION!Z$36)</f>
        <v>0</v>
      </c>
      <c r="AA15" s="88">
        <f>IF(COUNTIF(CAPA3_EXPANSION!$D$56:AA$56,"&gt;="&amp;8)=0,0,SUP_CONTROL!$C$8*IF($B15="V",1,IF($B15="D",(1+SUP_VOLUMEN!$C$26),(1+SUP_VOLUMEN!$C$27)))*INDEX(SUP_C3_EXPANSION!$C$6:$F$6,MIN(4,COUNTIF(CAPA3_EXPANSION!$D$56:AA$56,"&gt;="&amp;8)))*CAPA3_EXPANSION!AA$36)</f>
        <v>0</v>
      </c>
      <c r="AB15" s="88">
        <f>IF(COUNTIF(CAPA3_EXPANSION!$D$56:AB$56,"&gt;="&amp;8)=0,0,SUP_CONTROL!$C$8*IF($B15="V",1,IF($B15="D",(1+SUP_VOLUMEN!$C$26),(1+SUP_VOLUMEN!$C$27)))*INDEX(SUP_C3_EXPANSION!$C$6:$F$6,MIN(4,COUNTIF(CAPA3_EXPANSION!$D$56:AB$56,"&gt;="&amp;8)))*CAPA3_EXPANSION!AB$36)</f>
        <v>0</v>
      </c>
      <c r="AC15" s="88">
        <f>IF(COUNTIF(CAPA3_EXPANSION!$D$56:AC$56,"&gt;="&amp;8)=0,0,SUP_CONTROL!$C$8*IF($B15="V",1,IF($B15="D",(1+SUP_VOLUMEN!$C$26),(1+SUP_VOLUMEN!$C$27)))*INDEX(SUP_C3_EXPANSION!$C$6:$F$6,MIN(4,COUNTIF(CAPA3_EXPANSION!$D$56:AC$56,"&gt;="&amp;8)))*CAPA3_EXPANSION!AC$36)</f>
        <v>0</v>
      </c>
      <c r="AD15" s="88">
        <f>IF(COUNTIF(CAPA3_EXPANSION!$D$56:AD$56,"&gt;="&amp;8)=0,0,SUP_CONTROL!$C$8*IF($B15="V",1,IF($B15="D",(1+SUP_VOLUMEN!$C$26),(1+SUP_VOLUMEN!$C$27)))*INDEX(SUP_C3_EXPANSION!$C$6:$F$6,MIN(4,COUNTIF(CAPA3_EXPANSION!$D$56:AD$56,"&gt;="&amp;8)))*CAPA3_EXPANSION!AD$36)</f>
        <v>0</v>
      </c>
      <c r="AE15" s="88">
        <f>IF(COUNTIF(CAPA3_EXPANSION!$D$56:AE$56,"&gt;="&amp;8)=0,0,SUP_CONTROL!$C$8*IF($B15="V",1,IF($B15="D",(1+SUP_VOLUMEN!$C$26),(1+SUP_VOLUMEN!$C$27)))*INDEX(SUP_C3_EXPANSION!$C$6:$F$6,MIN(4,COUNTIF(CAPA3_EXPANSION!$D$56:AE$56,"&gt;="&amp;8)))*CAPA3_EXPANSION!AE$36)</f>
        <v>0</v>
      </c>
      <c r="AF15" s="88">
        <f>IF(COUNTIF(CAPA3_EXPANSION!$D$56:AF$56,"&gt;="&amp;8)=0,0,SUP_CONTROL!$C$8*IF($B15="V",1,IF($B15="D",(1+SUP_VOLUMEN!$C$26),(1+SUP_VOLUMEN!$C$27)))*INDEX(SUP_C3_EXPANSION!$C$6:$F$6,MIN(4,COUNTIF(CAPA3_EXPANSION!$D$56:AF$56,"&gt;="&amp;8)))*CAPA3_EXPANSION!AF$36)</f>
        <v>0</v>
      </c>
      <c r="AG15" s="88">
        <f>IF(COUNTIF(CAPA3_EXPANSION!$D$56:AG$56,"&gt;="&amp;8)=0,0,SUP_CONTROL!$C$8*IF($B15="V",1,IF($B15="D",(1+SUP_VOLUMEN!$C$26),(1+SUP_VOLUMEN!$C$27)))*INDEX(SUP_C3_EXPANSION!$C$6:$F$6,MIN(4,COUNTIF(CAPA3_EXPANSION!$D$56:AG$56,"&gt;="&amp;8)))*CAPA3_EXPANSION!AG$36)</f>
        <v>0</v>
      </c>
      <c r="AH15" s="88">
        <f>IF(COUNTIF(CAPA3_EXPANSION!$D$56:AH$56,"&gt;="&amp;8)=0,0,SUP_CONTROL!$C$8*IF($B15="V",1,IF($B15="D",(1+SUP_VOLUMEN!$C$26),(1+SUP_VOLUMEN!$C$27)))*INDEX(SUP_C3_EXPANSION!$C$6:$F$6,MIN(4,COUNTIF(CAPA3_EXPANSION!$D$56:AH$56,"&gt;="&amp;8)))*CAPA3_EXPANSION!AH$36)</f>
        <v>0</v>
      </c>
      <c r="AI15" s="88">
        <f>IF(COUNTIF(CAPA3_EXPANSION!$D$56:AI$56,"&gt;="&amp;8)=0,0,SUP_CONTROL!$C$8*IF($B15="V",1,IF($B15="D",(1+SUP_VOLUMEN!$C$26),(1+SUP_VOLUMEN!$C$27)))*INDEX(SUP_C3_EXPANSION!$C$6:$F$6,MIN(4,COUNTIF(CAPA3_EXPANSION!$D$56:AI$56,"&gt;="&amp;8)))*CAPA3_EXPANSION!AI$36)</f>
        <v>0</v>
      </c>
      <c r="AJ15" s="88">
        <f>IF(COUNTIF(CAPA3_EXPANSION!$D$56:AJ$56,"&gt;="&amp;8)=0,0,SUP_CONTROL!$C$8*IF($B15="V",1,IF($B15="D",(1+SUP_VOLUMEN!$C$26),(1+SUP_VOLUMEN!$C$27)))*INDEX(SUP_C3_EXPANSION!$C$6:$F$6,MIN(4,COUNTIF(CAPA3_EXPANSION!$D$56:AJ$56,"&gt;="&amp;8)))*CAPA3_EXPANSION!AJ$36)</f>
        <v>0</v>
      </c>
      <c r="AK15" s="88">
        <f>IF(COUNTIF(CAPA3_EXPANSION!$D$56:AK$56,"&gt;="&amp;8)=0,0,SUP_CONTROL!$C$8*IF($B15="V",1,IF($B15="D",(1+SUP_VOLUMEN!$C$26),(1+SUP_VOLUMEN!$C$27)))*INDEX(SUP_C3_EXPANSION!$C$6:$F$6,MIN(4,COUNTIF(CAPA3_EXPANSION!$D$56:AK$56,"&gt;="&amp;8)))*CAPA3_EXPANSION!AK$36)</f>
        <v>0</v>
      </c>
      <c r="AL15" s="88">
        <f>IF(COUNTIF(CAPA3_EXPANSION!$D$56:AL$56,"&gt;="&amp;8)=0,0,SUP_CONTROL!$C$8*IF($B15="V",1,IF($B15="D",(1+SUP_VOLUMEN!$C$26),(1+SUP_VOLUMEN!$C$27)))*INDEX(SUP_C3_EXPANSION!$C$6:$F$6,MIN(4,COUNTIF(CAPA3_EXPANSION!$D$56:AL$56,"&gt;="&amp;8)))*CAPA3_EXPANSION!AL$36)</f>
        <v>0</v>
      </c>
      <c r="AM15" s="88">
        <f>IF(COUNTIF(CAPA3_EXPANSION!$D$56:AM$56,"&gt;="&amp;8)=0,0,SUP_CONTROL!$C$8*IF($B15="V",1,IF($B15="D",(1+SUP_VOLUMEN!$C$26),(1+SUP_VOLUMEN!$C$27)))*INDEX(SUP_C3_EXPANSION!$C$6:$F$6,MIN(4,COUNTIF(CAPA3_EXPANSION!$D$56:AM$56,"&gt;="&amp;8)))*CAPA3_EXPANSION!AM$36)</f>
        <v>2688.633675</v>
      </c>
      <c r="AN15" s="88">
        <f>IF(COUNTIF(CAPA3_EXPANSION!$D$56:AN$56,"&gt;="&amp;8)=0,0,SUP_CONTROL!$C$8*IF($B15="V",1,IF($B15="D",(1+SUP_VOLUMEN!$C$26),(1+SUP_VOLUMEN!$C$27)))*INDEX(SUP_C3_EXPANSION!$C$6:$F$6,MIN(4,COUNTIF(CAPA3_EXPANSION!$D$56:AN$56,"&gt;="&amp;8)))*CAPA3_EXPANSION!AN$36)</f>
        <v>3309.0876000000003</v>
      </c>
      <c r="AO15" s="88">
        <f>IF(COUNTIF(CAPA3_EXPANSION!$D$56:AO$56,"&gt;="&amp;8)=0,0,SUP_CONTROL!$C$8*IF($B15="V",1,IF($B15="D",(1+SUP_VOLUMEN!$C$26),(1+SUP_VOLUMEN!$C$27)))*INDEX(SUP_C3_EXPANSION!$C$6:$F$6,MIN(4,COUNTIF(CAPA3_EXPANSION!$D$56:AO$56,"&gt;="&amp;8)))*CAPA3_EXPANSION!AO$36)</f>
        <v>3722.7235500000002</v>
      </c>
      <c r="AP15" s="88">
        <f>IF(COUNTIF(CAPA3_EXPANSION!$D$56:AP$56,"&gt;="&amp;8)=0,0,SUP_CONTROL!$C$8*IF($B15="V",1,IF($B15="D",(1+SUP_VOLUMEN!$C$26),(1+SUP_VOLUMEN!$C$27)))*INDEX(SUP_C3_EXPANSION!$C$6:$F$6,MIN(4,COUNTIF(CAPA3_EXPANSION!$D$56:AP$56,"&gt;="&amp;8)))*CAPA3_EXPANSION!AP$36)</f>
        <v>4136.3595000000005</v>
      </c>
      <c r="AQ15" s="88">
        <f>IF(COUNTIF(CAPA3_EXPANSION!$D$56:AQ$56,"&gt;="&amp;8)=0,0,SUP_CONTROL!$C$8*IF($B15="V",1,IF($B15="D",(1+SUP_VOLUMEN!$C$26),(1+SUP_VOLUMEN!$C$27)))*INDEX(SUP_C3_EXPANSION!$C$6:$F$6,MIN(4,COUNTIF(CAPA3_EXPANSION!$D$56:AQ$56,"&gt;="&amp;8)))*CAPA3_EXPANSION!AQ$36)</f>
        <v>4136.3595000000005</v>
      </c>
      <c r="AR15" s="88">
        <f>IF(COUNTIF(CAPA3_EXPANSION!$D$56:AR$56,"&gt;="&amp;8)=0,0,SUP_CONTROL!$C$8*IF($B15="V",1,IF($B15="D",(1+SUP_VOLUMEN!$C$26),(1+SUP_VOLUMEN!$C$27)))*INDEX(SUP_C3_EXPANSION!$C$6:$F$6,MIN(4,COUNTIF(CAPA3_EXPANSION!$D$56:AR$56,"&gt;="&amp;8)))*CAPA3_EXPANSION!AR$36)</f>
        <v>4136.3595000000005</v>
      </c>
      <c r="AS15" s="88">
        <f>IF(COUNTIF(CAPA3_EXPANSION!$D$56:AS$56,"&gt;="&amp;8)=0,0,SUP_CONTROL!$C$8*IF($B15="V",1,IF($B15="D",(1+SUP_VOLUMEN!$C$26),(1+SUP_VOLUMEN!$C$27)))*INDEX(SUP_C3_EXPANSION!$C$6:$F$6,MIN(4,COUNTIF(CAPA3_EXPANSION!$D$56:AS$56,"&gt;="&amp;8)))*CAPA3_EXPANSION!AS$36)</f>
        <v>4136.3595000000005</v>
      </c>
      <c r="AT15" s="88">
        <f>IF(COUNTIF(CAPA3_EXPANSION!$D$56:AT$56,"&gt;="&amp;8)=0,0,SUP_CONTROL!$C$8*IF($B15="V",1,IF($B15="D",(1+SUP_VOLUMEN!$C$26),(1+SUP_VOLUMEN!$C$27)))*INDEX(SUP_C3_EXPANSION!$C$6:$F$6,MIN(4,COUNTIF(CAPA3_EXPANSION!$D$56:AT$56,"&gt;="&amp;8)))*CAPA3_EXPANSION!AT$36)</f>
        <v>4136.3595000000005</v>
      </c>
      <c r="AU15" s="88">
        <f>IF(COUNTIF(CAPA3_EXPANSION!$D$56:AU$56,"&gt;="&amp;8)=0,0,SUP_CONTROL!$C$8*IF($B15="V",1,IF($B15="D",(1+SUP_VOLUMEN!$C$26),(1+SUP_VOLUMEN!$C$27)))*INDEX(SUP_C3_EXPANSION!$C$6:$F$6,MIN(4,COUNTIF(CAPA3_EXPANSION!$D$56:AU$56,"&gt;="&amp;8)))*CAPA3_EXPANSION!AU$36)</f>
        <v>4136.3595000000005</v>
      </c>
      <c r="AV15" s="88">
        <f>IF(COUNTIF(CAPA3_EXPANSION!$D$56:AV$56,"&gt;="&amp;8)=0,0,SUP_CONTROL!$C$8*IF($B15="V",1,IF($B15="D",(1+SUP_VOLUMEN!$C$26),(1+SUP_VOLUMEN!$C$27)))*INDEX(SUP_C3_EXPANSION!$C$6:$F$6,MIN(4,COUNTIF(CAPA3_EXPANSION!$D$56:AV$56,"&gt;="&amp;8)))*CAPA3_EXPANSION!AV$36)</f>
        <v>4136.3595000000005</v>
      </c>
      <c r="AW15" s="88">
        <f>IF(COUNTIF(CAPA3_EXPANSION!$D$56:AW$56,"&gt;="&amp;8)=0,0,SUP_CONTROL!$C$8*IF($B15="V",1,IF($B15="D",(1+SUP_VOLUMEN!$C$26),(1+SUP_VOLUMEN!$C$27)))*INDEX(SUP_C3_EXPANSION!$C$6:$F$6,MIN(4,COUNTIF(CAPA3_EXPANSION!$D$56:AW$56,"&gt;="&amp;8)))*CAPA3_EXPANSION!AW$36)</f>
        <v>4136.3595000000005</v>
      </c>
      <c r="AX15" s="88">
        <f>IF(COUNTIF(CAPA3_EXPANSION!$D$56:AX$56,"&gt;="&amp;8)=0,0,SUP_CONTROL!$C$8*IF($B15="V",1,IF($B15="D",(1+SUP_VOLUMEN!$C$26),(1+SUP_VOLUMEN!$C$27)))*INDEX(SUP_C3_EXPANSION!$C$6:$F$6,MIN(4,COUNTIF(CAPA3_EXPANSION!$D$56:AX$56,"&gt;="&amp;8)))*CAPA3_EXPANSION!AX$36)</f>
        <v>4136.3595000000005</v>
      </c>
      <c r="AY15" s="88">
        <f>IF(COUNTIF(CAPA3_EXPANSION!$D$56:AY$56,"&gt;="&amp;8)=0,0,SUP_CONTROL!$C$8*IF($B15="V",1,IF($B15="D",(1+SUP_VOLUMEN!$C$26),(1+SUP_VOLUMEN!$C$27)))*INDEX(SUP_C3_EXPANSION!$C$6:$F$6,MIN(4,COUNTIF(CAPA3_EXPANSION!$D$56:AY$56,"&gt;="&amp;8)))*CAPA3_EXPANSION!AY$36)</f>
        <v>4136.3595000000005</v>
      </c>
      <c r="AZ15" s="88">
        <f>IF(COUNTIF(CAPA3_EXPANSION!$D$56:AZ$56,"&gt;="&amp;8)=0,0,SUP_CONTROL!$C$8*IF($B15="V",1,IF($B15="D",(1+SUP_VOLUMEN!$C$26),(1+SUP_VOLUMEN!$C$27)))*INDEX(SUP_C3_EXPANSION!$C$6:$F$6,MIN(4,COUNTIF(CAPA3_EXPANSION!$D$56:AZ$56,"&gt;="&amp;8)))*CAPA3_EXPANSION!AZ$36)</f>
        <v>4136.3595000000005</v>
      </c>
      <c r="BA15" s="88">
        <f>IF(COUNTIF(CAPA3_EXPANSION!$D$56:BA$56,"&gt;="&amp;8)=0,0,SUP_CONTROL!$C$8*IF($B15="V",1,IF($B15="D",(1+SUP_VOLUMEN!$C$26),(1+SUP_VOLUMEN!$C$27)))*INDEX(SUP_C3_EXPANSION!$C$6:$F$6,MIN(4,COUNTIF(CAPA3_EXPANSION!$D$56:BA$56,"&gt;="&amp;8)))*CAPA3_EXPANSION!BA$36)</f>
        <v>4026.9320000000007</v>
      </c>
      <c r="BB15" s="88">
        <f>IF(COUNTIF(CAPA3_EXPANSION!$D$56:BB$56,"&gt;="&amp;8)=0,0,SUP_CONTROL!$C$8*IF($B15="V",1,IF($B15="D",(1+SUP_VOLUMEN!$C$26),(1+SUP_VOLUMEN!$C$27)))*INDEX(SUP_C3_EXPANSION!$C$6:$F$6,MIN(4,COUNTIF(CAPA3_EXPANSION!$D$56:BB$56,"&gt;="&amp;8)))*CAPA3_EXPANSION!BB$36)</f>
        <v>4026.9320000000007</v>
      </c>
      <c r="BC15" s="88">
        <f>IF(COUNTIF(CAPA3_EXPANSION!$D$56:BC$56,"&gt;="&amp;8)=0,0,SUP_CONTROL!$C$8*IF($B15="V",1,IF($B15="D",(1+SUP_VOLUMEN!$C$26),(1+SUP_VOLUMEN!$C$27)))*INDEX(SUP_C3_EXPANSION!$C$6:$F$6,MIN(4,COUNTIF(CAPA3_EXPANSION!$D$56:BC$56,"&gt;="&amp;8)))*CAPA3_EXPANSION!BC$36)</f>
        <v>4026.9320000000007</v>
      </c>
      <c r="BD15" s="88">
        <f>IF(COUNTIF(CAPA3_EXPANSION!$D$56:BD$56,"&gt;="&amp;8)=0,0,SUP_CONTROL!$C$8*IF($B15="V",1,IF($B15="D",(1+SUP_VOLUMEN!$C$26),(1+SUP_VOLUMEN!$C$27)))*INDEX(SUP_C3_EXPANSION!$C$6:$F$6,MIN(4,COUNTIF(CAPA3_EXPANSION!$D$56:BD$56,"&gt;="&amp;8)))*CAPA3_EXPANSION!BD$36)</f>
        <v>4026.9320000000007</v>
      </c>
      <c r="BE15" s="88">
        <f>IF(COUNTIF(CAPA3_EXPANSION!$D$56:BE$56,"&gt;="&amp;8)=0,0,SUP_CONTROL!$C$8*IF($B15="V",1,IF($B15="D",(1+SUP_VOLUMEN!$C$26),(1+SUP_VOLUMEN!$C$27)))*INDEX(SUP_C3_EXPANSION!$C$6:$F$6,MIN(4,COUNTIF(CAPA3_EXPANSION!$D$56:BE$56,"&gt;="&amp;8)))*CAPA3_EXPANSION!BE$36)</f>
        <v>4026.9320000000007</v>
      </c>
      <c r="BF15" s="88">
        <f>IF(COUNTIF(CAPA3_EXPANSION!$D$56:BF$56,"&gt;="&amp;8)=0,0,SUP_CONTROL!$C$8*IF($B15="V",1,IF($B15="D",(1+SUP_VOLUMEN!$C$26),(1+SUP_VOLUMEN!$C$27)))*INDEX(SUP_C3_EXPANSION!$C$6:$F$6,MIN(4,COUNTIF(CAPA3_EXPANSION!$D$56:BF$56,"&gt;="&amp;8)))*CAPA3_EXPANSION!BF$36)</f>
        <v>3939.3900000000003</v>
      </c>
      <c r="BG15" s="88">
        <f>IF(COUNTIF(CAPA3_EXPANSION!$D$56:BG$56,"&gt;="&amp;8)=0,0,SUP_CONTROL!$C$8*IF($B15="V",1,IF($B15="D",(1+SUP_VOLUMEN!$C$26),(1+SUP_VOLUMEN!$C$27)))*INDEX(SUP_C3_EXPANSION!$C$6:$F$6,MIN(4,COUNTIF(CAPA3_EXPANSION!$D$56:BG$56,"&gt;="&amp;8)))*CAPA3_EXPANSION!BG$36)</f>
        <v>3939.3900000000003</v>
      </c>
      <c r="BH15" s="88">
        <f>IF(COUNTIF(CAPA3_EXPANSION!$D$56:BH$56,"&gt;="&amp;8)=0,0,SUP_CONTROL!$C$8*IF($B15="V",1,IF($B15="D",(1+SUP_VOLUMEN!$C$26),(1+SUP_VOLUMEN!$C$27)))*INDEX(SUP_C3_EXPANSION!$C$6:$F$6,MIN(4,COUNTIF(CAPA3_EXPANSION!$D$56:BH$56,"&gt;="&amp;8)))*CAPA3_EXPANSION!BH$36)</f>
        <v>3939.3900000000003</v>
      </c>
      <c r="BI15" s="88">
        <f>IF(COUNTIF(CAPA3_EXPANSION!$D$56:BI$56,"&gt;="&amp;8)=0,0,SUP_CONTROL!$C$8*IF($B15="V",1,IF($B15="D",(1+SUP_VOLUMEN!$C$26),(1+SUP_VOLUMEN!$C$27)))*INDEX(SUP_C3_EXPANSION!$C$6:$F$6,MIN(4,COUNTIF(CAPA3_EXPANSION!$D$56:BI$56,"&gt;="&amp;8)))*CAPA3_EXPANSION!BI$36)</f>
        <v>3939.3900000000003</v>
      </c>
      <c r="BJ15" s="88">
        <f>IF(COUNTIF(CAPA3_EXPANSION!$D$56:BJ$56,"&gt;="&amp;8)=0,0,SUP_CONTROL!$C$8*IF($B15="V",1,IF($B15="D",(1+SUP_VOLUMEN!$C$26),(1+SUP_VOLUMEN!$C$27)))*INDEX(SUP_C3_EXPANSION!$C$6:$F$6,MIN(4,COUNTIF(CAPA3_EXPANSION!$D$56:BJ$56,"&gt;="&amp;8)))*CAPA3_EXPANSION!BJ$36)</f>
        <v>3939.3900000000003</v>
      </c>
      <c r="BK15" s="88">
        <f>IF(COUNTIF(CAPA3_EXPANSION!$D$56:BK$56,"&gt;="&amp;8)=0,0,SUP_CONTROL!$C$8*IF($B15="V",1,IF($B15="D",(1+SUP_VOLUMEN!$C$26),(1+SUP_VOLUMEN!$C$27)))*INDEX(SUP_C3_EXPANSION!$C$6:$F$6,MIN(4,COUNTIF(CAPA3_EXPANSION!$D$56:BK$56,"&gt;="&amp;8)))*CAPA3_EXPANSION!BK$36)</f>
        <v>3851.8480000000004</v>
      </c>
      <c r="BL15" s="88">
        <f>IF(COUNTIF(CAPA3_EXPANSION!$D$56:BL$56,"&gt;="&amp;8)=0,0,SUP_CONTROL!$C$8*IF($B15="V",1,IF($B15="D",(1+SUP_VOLUMEN!$C$26),(1+SUP_VOLUMEN!$C$27)))*INDEX(SUP_C3_EXPANSION!$C$6:$F$6,MIN(4,COUNTIF(CAPA3_EXPANSION!$D$56:BL$56,"&gt;="&amp;8)))*CAPA3_EXPANSION!BL$36)</f>
        <v>3851.8480000000004</v>
      </c>
      <c r="BM15" s="88">
        <f>IF(COUNTIF(CAPA3_EXPANSION!$D$56:BM$56,"&gt;="&amp;8)=0,0,SUP_CONTROL!$C$8*IF($B15="V",1,IF($B15="D",(1+SUP_VOLUMEN!$C$26),(1+SUP_VOLUMEN!$C$27)))*INDEX(SUP_C3_EXPANSION!$C$6:$F$6,MIN(4,COUNTIF(CAPA3_EXPANSION!$D$56:BM$56,"&gt;="&amp;8)))*CAPA3_EXPANSION!BM$36)</f>
        <v>3851.8480000000004</v>
      </c>
      <c r="BN15" s="88">
        <f>IF(COUNTIF(CAPA3_EXPANSION!$D$56:BN$56,"&gt;="&amp;8)=0,0,SUP_CONTROL!$C$8*IF($B15="V",1,IF($B15="D",(1+SUP_VOLUMEN!$C$26),(1+SUP_VOLUMEN!$C$27)))*INDEX(SUP_C3_EXPANSION!$C$6:$F$6,MIN(4,COUNTIF(CAPA3_EXPANSION!$D$56:BN$56,"&gt;="&amp;8)))*CAPA3_EXPANSION!BN$36)</f>
        <v>3851.8480000000004</v>
      </c>
      <c r="BO15" s="88">
        <f>IF(COUNTIF(CAPA3_EXPANSION!$D$56:BO$56,"&gt;="&amp;8)=0,0,SUP_CONTROL!$C$8*IF($B15="V",1,IF($B15="D",(1+SUP_VOLUMEN!$C$26),(1+SUP_VOLUMEN!$C$27)))*INDEX(SUP_C3_EXPANSION!$C$6:$F$6,MIN(4,COUNTIF(CAPA3_EXPANSION!$D$56:BO$56,"&gt;="&amp;8)))*CAPA3_EXPANSION!BO$36)</f>
        <v>3851.8480000000004</v>
      </c>
      <c r="BP15" s="88">
        <f>IF(COUNTIF(CAPA3_EXPANSION!$D$56:BP$56,"&gt;="&amp;8)=0,0,SUP_CONTROL!$C$8*IF($B15="V",1,IF($B15="D",(1+SUP_VOLUMEN!$C$26),(1+SUP_VOLUMEN!$C$27)))*INDEX(SUP_C3_EXPANSION!$C$6:$F$6,MIN(4,COUNTIF(CAPA3_EXPANSION!$D$56:BP$56,"&gt;="&amp;8)))*CAPA3_EXPANSION!BP$36)</f>
        <v>3786.1915000000004</v>
      </c>
      <c r="BQ15" s="88">
        <f>IF(COUNTIF(CAPA3_EXPANSION!$D$56:BQ$56,"&gt;="&amp;8)=0,0,SUP_CONTROL!$C$8*IF($B15="V",1,IF($B15="D",(1+SUP_VOLUMEN!$C$26),(1+SUP_VOLUMEN!$C$27)))*INDEX(SUP_C3_EXPANSION!$C$6:$F$6,MIN(4,COUNTIF(CAPA3_EXPANSION!$D$56:BQ$56,"&gt;="&amp;8)))*CAPA3_EXPANSION!BQ$36)</f>
        <v>3786.1915000000004</v>
      </c>
      <c r="BR15" s="88">
        <f>IF(COUNTIF(CAPA3_EXPANSION!$D$56:BR$56,"&gt;="&amp;8)=0,0,SUP_CONTROL!$C$8*IF($B15="V",1,IF($B15="D",(1+SUP_VOLUMEN!$C$26),(1+SUP_VOLUMEN!$C$27)))*INDEX(SUP_C3_EXPANSION!$C$6:$F$6,MIN(4,COUNTIF(CAPA3_EXPANSION!$D$56:BR$56,"&gt;="&amp;8)))*CAPA3_EXPANSION!BR$36)</f>
        <v>3786.1915000000004</v>
      </c>
      <c r="BS15" s="88">
        <f>IF(COUNTIF(CAPA3_EXPANSION!$D$56:BS$56,"&gt;="&amp;8)=0,0,SUP_CONTROL!$C$8*IF($B15="V",1,IF($B15="D",(1+SUP_VOLUMEN!$C$26),(1+SUP_VOLUMEN!$C$27)))*INDEX(SUP_C3_EXPANSION!$C$6:$F$6,MIN(4,COUNTIF(CAPA3_EXPANSION!$D$56:BS$56,"&gt;="&amp;8)))*CAPA3_EXPANSION!BS$36)</f>
        <v>3786.1915000000004</v>
      </c>
      <c r="BT15" s="88">
        <f>IF(COUNTIF(CAPA3_EXPANSION!$D$56:BT$56,"&gt;="&amp;8)=0,0,SUP_CONTROL!$C$8*IF($B15="V",1,IF($B15="D",(1+SUP_VOLUMEN!$C$26),(1+SUP_VOLUMEN!$C$27)))*INDEX(SUP_C3_EXPANSION!$C$6:$F$6,MIN(4,COUNTIF(CAPA3_EXPANSION!$D$56:BT$56,"&gt;="&amp;8)))*CAPA3_EXPANSION!BT$36)</f>
        <v>3786.1915000000004</v>
      </c>
      <c r="BU15" s="88">
        <f>IF(COUNTIF(CAPA3_EXPANSION!$D$56:BU$56,"&gt;="&amp;8)=0,0,SUP_CONTROL!$C$8*IF($B15="V",1,IF($B15="D",(1+SUP_VOLUMEN!$C$26),(1+SUP_VOLUMEN!$C$27)))*INDEX(SUP_C3_EXPANSION!$C$6:$F$6,MIN(4,COUNTIF(CAPA3_EXPANSION!$D$56:BU$56,"&gt;="&amp;8)))*CAPA3_EXPANSION!BU$36)</f>
        <v>3720.5350000000003</v>
      </c>
      <c r="BV15" s="88">
        <f>IF(COUNTIF(CAPA3_EXPANSION!$D$56:BV$56,"&gt;="&amp;8)=0,0,SUP_CONTROL!$C$8*IF($B15="V",1,IF($B15="D",(1+SUP_VOLUMEN!$C$26),(1+SUP_VOLUMEN!$C$27)))*INDEX(SUP_C3_EXPANSION!$C$6:$F$6,MIN(4,COUNTIF(CAPA3_EXPANSION!$D$56:BV$56,"&gt;="&amp;8)))*CAPA3_EXPANSION!BV$36)</f>
        <v>3720.5350000000003</v>
      </c>
      <c r="BW15" s="88">
        <f>IF(COUNTIF(CAPA3_EXPANSION!$D$56:BW$56,"&gt;="&amp;8)=0,0,SUP_CONTROL!$C$8*IF($B15="V",1,IF($B15="D",(1+SUP_VOLUMEN!$C$26),(1+SUP_VOLUMEN!$C$27)))*INDEX(SUP_C3_EXPANSION!$C$6:$F$6,MIN(4,COUNTIF(CAPA3_EXPANSION!$D$56:BW$56,"&gt;="&amp;8)))*CAPA3_EXPANSION!BW$36)</f>
        <v>3720.5350000000003</v>
      </c>
      <c r="BX15" s="88">
        <f>IF(COUNTIF(CAPA3_EXPANSION!$D$56:BX$56,"&gt;="&amp;8)=0,0,SUP_CONTROL!$C$8*IF($B15="V",1,IF($B15="D",(1+SUP_VOLUMEN!$C$26),(1+SUP_VOLUMEN!$C$27)))*INDEX(SUP_C3_EXPANSION!$C$6:$F$6,MIN(4,COUNTIF(CAPA3_EXPANSION!$D$56:BX$56,"&gt;="&amp;8)))*CAPA3_EXPANSION!BX$36)</f>
        <v>3720.5350000000003</v>
      </c>
      <c r="BY15" s="88">
        <f>IF(COUNTIF(CAPA3_EXPANSION!$D$56:BY$56,"&gt;="&amp;8)=0,0,SUP_CONTROL!$C$8*IF($B15="V",1,IF($B15="D",(1+SUP_VOLUMEN!$C$26),(1+SUP_VOLUMEN!$C$27)))*INDEX(SUP_C3_EXPANSION!$C$6:$F$6,MIN(4,COUNTIF(CAPA3_EXPANSION!$D$56:BY$56,"&gt;="&amp;8)))*CAPA3_EXPANSION!BY$36)</f>
        <v>3720.5350000000003</v>
      </c>
      <c r="BZ15" s="88">
        <f>IF(COUNTIF(CAPA3_EXPANSION!$D$56:BZ$56,"&gt;="&amp;8)=0,0,SUP_CONTROL!$C$8*IF($B15="V",1,IF($B15="D",(1+SUP_VOLUMEN!$C$26),(1+SUP_VOLUMEN!$C$27)))*INDEX(SUP_C3_EXPANSION!$C$6:$F$6,MIN(4,COUNTIF(CAPA3_EXPANSION!$D$56:BZ$56,"&gt;="&amp;8)))*CAPA3_EXPANSION!BZ$36)</f>
        <v>3676.7640000000001</v>
      </c>
      <c r="CA15" s="88">
        <f>IF(COUNTIF(CAPA3_EXPANSION!$D$56:CA$56,"&gt;="&amp;8)=0,0,SUP_CONTROL!$C$8*IF($B15="V",1,IF($B15="D",(1+SUP_VOLUMEN!$C$26),(1+SUP_VOLUMEN!$C$27)))*INDEX(SUP_C3_EXPANSION!$C$6:$F$6,MIN(4,COUNTIF(CAPA3_EXPANSION!$D$56:CA$56,"&gt;="&amp;8)))*CAPA3_EXPANSION!CA$36)</f>
        <v>3676.7640000000001</v>
      </c>
      <c r="CB15" s="88">
        <f>IF(COUNTIF(CAPA3_EXPANSION!$D$56:CB$56,"&gt;="&amp;8)=0,0,SUP_CONTROL!$C$8*IF($B15="V",1,IF($B15="D",(1+SUP_VOLUMEN!$C$26),(1+SUP_VOLUMEN!$C$27)))*INDEX(SUP_C3_EXPANSION!$C$6:$F$6,MIN(4,COUNTIF(CAPA3_EXPANSION!$D$56:CB$56,"&gt;="&amp;8)))*CAPA3_EXPANSION!CB$36)</f>
        <v>3676.7640000000001</v>
      </c>
      <c r="CC15" s="88">
        <f>IF(COUNTIF(CAPA3_EXPANSION!$D$56:CC$56,"&gt;="&amp;8)=0,0,SUP_CONTROL!$C$8*IF($B15="V",1,IF($B15="D",(1+SUP_VOLUMEN!$C$26),(1+SUP_VOLUMEN!$C$27)))*INDEX(SUP_C3_EXPANSION!$C$6:$F$6,MIN(4,COUNTIF(CAPA3_EXPANSION!$D$56:CC$56,"&gt;="&amp;8)))*CAPA3_EXPANSION!CC$36)</f>
        <v>3676.7640000000001</v>
      </c>
      <c r="CD15" s="88">
        <f>IF(COUNTIF(CAPA3_EXPANSION!$D$56:CD$56,"&gt;="&amp;8)=0,0,SUP_CONTROL!$C$8*IF($B15="V",1,IF($B15="D",(1+SUP_VOLUMEN!$C$26),(1+SUP_VOLUMEN!$C$27)))*INDEX(SUP_C3_EXPANSION!$C$6:$F$6,MIN(4,COUNTIF(CAPA3_EXPANSION!$D$56:CD$56,"&gt;="&amp;8)))*CAPA3_EXPANSION!CD$36)</f>
        <v>3676.7640000000001</v>
      </c>
      <c r="CE15" s="88">
        <f>IF(COUNTIF(CAPA3_EXPANSION!$D$56:CE$56,"&gt;="&amp;8)=0,0,SUP_CONTROL!$C$8*IF($B15="V",1,IF($B15="D",(1+SUP_VOLUMEN!$C$26),(1+SUP_VOLUMEN!$C$27)))*INDEX(SUP_C3_EXPANSION!$C$6:$F$6,MIN(4,COUNTIF(CAPA3_EXPANSION!$D$56:CE$56,"&gt;="&amp;8)))*CAPA3_EXPANSION!CE$36)</f>
        <v>3676.7640000000001</v>
      </c>
      <c r="CF15" s="88">
        <f>IF(COUNTIF(CAPA3_EXPANSION!$D$56:CF$56,"&gt;="&amp;8)=0,0,SUP_CONTROL!$C$8*IF($B15="V",1,IF($B15="D",(1+SUP_VOLUMEN!$C$26),(1+SUP_VOLUMEN!$C$27)))*INDEX(SUP_C3_EXPANSION!$C$6:$F$6,MIN(4,COUNTIF(CAPA3_EXPANSION!$D$56:CF$56,"&gt;="&amp;8)))*CAPA3_EXPANSION!CF$36)</f>
        <v>3676.7640000000001</v>
      </c>
      <c r="CG15" s="88">
        <f>IF(COUNTIF(CAPA3_EXPANSION!$D$56:CG$56,"&gt;="&amp;8)=0,0,SUP_CONTROL!$C$8*IF($B15="V",1,IF($B15="D",(1+SUP_VOLUMEN!$C$26),(1+SUP_VOLUMEN!$C$27)))*INDEX(SUP_C3_EXPANSION!$C$6:$F$6,MIN(4,COUNTIF(CAPA3_EXPANSION!$D$56:CG$56,"&gt;="&amp;8)))*CAPA3_EXPANSION!CG$36)</f>
        <v>3676.7640000000001</v>
      </c>
      <c r="CH15" s="88">
        <f>IF(COUNTIF(CAPA3_EXPANSION!$D$56:CH$56,"&gt;="&amp;8)=0,0,SUP_CONTROL!$C$8*IF($B15="V",1,IF($B15="D",(1+SUP_VOLUMEN!$C$26),(1+SUP_VOLUMEN!$C$27)))*INDEX(SUP_C3_EXPANSION!$C$6:$F$6,MIN(4,COUNTIF(CAPA3_EXPANSION!$D$56:CH$56,"&gt;="&amp;8)))*CAPA3_EXPANSION!CH$36)</f>
        <v>3676.7640000000001</v>
      </c>
      <c r="CI15" s="88">
        <f>IF(COUNTIF(CAPA3_EXPANSION!$D$56:CI$56,"&gt;="&amp;8)=0,0,SUP_CONTROL!$C$8*IF($B15="V",1,IF($B15="D",(1+SUP_VOLUMEN!$C$26),(1+SUP_VOLUMEN!$C$27)))*INDEX(SUP_C3_EXPANSION!$C$6:$F$6,MIN(4,COUNTIF(CAPA3_EXPANSION!$D$56:CI$56,"&gt;="&amp;8)))*CAPA3_EXPANSION!CI$36)</f>
        <v>3676.7640000000001</v>
      </c>
      <c r="CJ15" s="88">
        <f>IF(COUNTIF(CAPA3_EXPANSION!$D$56:CJ$56,"&gt;="&amp;8)=0,0,SUP_CONTROL!$C$8*IF($B15="V",1,IF($B15="D",(1+SUP_VOLUMEN!$C$26),(1+SUP_VOLUMEN!$C$27)))*INDEX(SUP_C3_EXPANSION!$C$6:$F$6,MIN(4,COUNTIF(CAPA3_EXPANSION!$D$56:CJ$56,"&gt;="&amp;8)))*CAPA3_EXPANSION!CJ$36)</f>
        <v>3676.7640000000001</v>
      </c>
      <c r="CK15" s="88">
        <f>IF(COUNTIF(CAPA3_EXPANSION!$D$56:CK$56,"&gt;="&amp;8)=0,0,SUP_CONTROL!$C$8*IF($B15="V",1,IF($B15="D",(1+SUP_VOLUMEN!$C$26),(1+SUP_VOLUMEN!$C$27)))*INDEX(SUP_C3_EXPANSION!$C$6:$F$6,MIN(4,COUNTIF(CAPA3_EXPANSION!$D$56:CK$56,"&gt;="&amp;8)))*CAPA3_EXPANSION!CK$36)</f>
        <v>3676.7640000000001</v>
      </c>
      <c r="CL15" s="88">
        <f>IF(COUNTIF(CAPA3_EXPANSION!$D$56:CL$56,"&gt;="&amp;8)=0,0,SUP_CONTROL!$C$8*IF($B15="V",1,IF($B15="D",(1+SUP_VOLUMEN!$C$26),(1+SUP_VOLUMEN!$C$27)))*INDEX(SUP_C3_EXPANSION!$C$6:$F$6,MIN(4,COUNTIF(CAPA3_EXPANSION!$D$56:CL$56,"&gt;="&amp;8)))*CAPA3_EXPANSION!CL$36)</f>
        <v>3676.7640000000001</v>
      </c>
      <c r="CM15" s="88">
        <f>IF(COUNTIF(CAPA3_EXPANSION!$D$56:CM$56,"&gt;="&amp;8)=0,0,SUP_CONTROL!$C$8*IF($B15="V",1,IF($B15="D",(1+SUP_VOLUMEN!$C$26),(1+SUP_VOLUMEN!$C$27)))*INDEX(SUP_C3_EXPANSION!$C$6:$F$6,MIN(4,COUNTIF(CAPA3_EXPANSION!$D$56:CM$56,"&gt;="&amp;8)))*CAPA3_EXPANSION!CM$36)</f>
        <v>3676.7640000000001</v>
      </c>
      <c r="CN15" s="88">
        <f>IF(COUNTIF(CAPA3_EXPANSION!$D$56:CN$56,"&gt;="&amp;8)=0,0,SUP_CONTROL!$C$8*IF($B15="V",1,IF($B15="D",(1+SUP_VOLUMEN!$C$26),(1+SUP_VOLUMEN!$C$27)))*INDEX(SUP_C3_EXPANSION!$C$6:$F$6,MIN(4,COUNTIF(CAPA3_EXPANSION!$D$56:CN$56,"&gt;="&amp;8)))*CAPA3_EXPANSION!CN$36)</f>
        <v>3676.7640000000001</v>
      </c>
      <c r="CO15" s="88">
        <f>IF(COUNTIF(CAPA3_EXPANSION!$D$56:CO$56,"&gt;="&amp;8)=0,0,SUP_CONTROL!$C$8*IF($B15="V",1,IF($B15="D",(1+SUP_VOLUMEN!$C$26),(1+SUP_VOLUMEN!$C$27)))*INDEX(SUP_C3_EXPANSION!$C$6:$F$6,MIN(4,COUNTIF(CAPA3_EXPANSION!$D$56:CO$56,"&gt;="&amp;8)))*CAPA3_EXPANSION!CO$36)</f>
        <v>3676.7640000000001</v>
      </c>
      <c r="CP15" s="88">
        <f>IF(COUNTIF(CAPA3_EXPANSION!$D$56:CP$56,"&gt;="&amp;8)=0,0,SUP_CONTROL!$C$8*IF($B15="V",1,IF($B15="D",(1+SUP_VOLUMEN!$C$26),(1+SUP_VOLUMEN!$C$27)))*INDEX(SUP_C3_EXPANSION!$C$6:$F$6,MIN(4,COUNTIF(CAPA3_EXPANSION!$D$56:CP$56,"&gt;="&amp;8)))*CAPA3_EXPANSION!CP$36)</f>
        <v>3676.7640000000001</v>
      </c>
      <c r="CQ15" s="88">
        <f>IF(COUNTIF(CAPA3_EXPANSION!$D$56:CQ$56,"&gt;="&amp;8)=0,0,SUP_CONTROL!$C$8*IF($B15="V",1,IF($B15="D",(1+SUP_VOLUMEN!$C$26),(1+SUP_VOLUMEN!$C$27)))*INDEX(SUP_C3_EXPANSION!$C$6:$F$6,MIN(4,COUNTIF(CAPA3_EXPANSION!$D$56:CQ$56,"&gt;="&amp;8)))*CAPA3_EXPANSION!CQ$36)</f>
        <v>3676.7640000000001</v>
      </c>
      <c r="CR15" s="88">
        <f>IF(COUNTIF(CAPA3_EXPANSION!$D$56:CR$56,"&gt;="&amp;8)=0,0,SUP_CONTROL!$C$8*IF($B15="V",1,IF($B15="D",(1+SUP_VOLUMEN!$C$26),(1+SUP_VOLUMEN!$C$27)))*INDEX(SUP_C3_EXPANSION!$C$6:$F$6,MIN(4,COUNTIF(CAPA3_EXPANSION!$D$56:CR$56,"&gt;="&amp;8)))*CAPA3_EXPANSION!CR$36)</f>
        <v>3676.7640000000001</v>
      </c>
      <c r="CS15" s="88">
        <f>IF(COUNTIF(CAPA3_EXPANSION!$D$56:CS$56,"&gt;="&amp;8)=0,0,SUP_CONTROL!$C$8*IF($B15="V",1,IF($B15="D",(1+SUP_VOLUMEN!$C$26),(1+SUP_VOLUMEN!$C$27)))*INDEX(SUP_C3_EXPANSION!$C$6:$F$6,MIN(4,COUNTIF(CAPA3_EXPANSION!$D$56:CS$56,"&gt;="&amp;8)))*CAPA3_EXPANSION!CS$36)</f>
        <v>3676.7640000000001</v>
      </c>
      <c r="CT15" s="88">
        <f>IF(COUNTIF(CAPA3_EXPANSION!$D$56:CT$56,"&gt;="&amp;8)=0,0,SUP_CONTROL!$C$8*IF($B15="V",1,IF($B15="D",(1+SUP_VOLUMEN!$C$26),(1+SUP_VOLUMEN!$C$27)))*INDEX(SUP_C3_EXPANSION!$C$6:$F$6,MIN(4,COUNTIF(CAPA3_EXPANSION!$D$56:CT$56,"&gt;="&amp;8)))*CAPA3_EXPANSION!CT$36)</f>
        <v>3676.7640000000001</v>
      </c>
      <c r="CU15" s="88">
        <f>IF(COUNTIF(CAPA3_EXPANSION!$D$56:CU$56,"&gt;="&amp;8)=0,0,SUP_CONTROL!$C$8*IF($B15="V",1,IF($B15="D",(1+SUP_VOLUMEN!$C$26),(1+SUP_VOLUMEN!$C$27)))*INDEX(SUP_C3_EXPANSION!$C$6:$F$6,MIN(4,COUNTIF(CAPA3_EXPANSION!$D$56:CU$56,"&gt;="&amp;8)))*CAPA3_EXPANSION!CU$36)</f>
        <v>3676.7640000000001</v>
      </c>
      <c r="CV15" s="88">
        <f>IF(COUNTIF(CAPA3_EXPANSION!$D$56:CV$56,"&gt;="&amp;8)=0,0,SUP_CONTROL!$C$8*IF($B15="V",1,IF($B15="D",(1+SUP_VOLUMEN!$C$26),(1+SUP_VOLUMEN!$C$27)))*INDEX(SUP_C3_EXPANSION!$C$6:$F$6,MIN(4,COUNTIF(CAPA3_EXPANSION!$D$56:CV$56,"&gt;="&amp;8)))*CAPA3_EXPANSION!CV$36)</f>
        <v>3676.7640000000001</v>
      </c>
      <c r="CW15" s="88">
        <f>IF(COUNTIF(CAPA3_EXPANSION!$D$56:CW$56,"&gt;="&amp;8)=0,0,SUP_CONTROL!$C$8*IF($B15="V",1,IF($B15="D",(1+SUP_VOLUMEN!$C$26),(1+SUP_VOLUMEN!$C$27)))*INDEX(SUP_C3_EXPANSION!$C$6:$F$6,MIN(4,COUNTIF(CAPA3_EXPANSION!$D$56:CW$56,"&gt;="&amp;8)))*CAPA3_EXPANSION!CW$36)</f>
        <v>3676.7640000000001</v>
      </c>
      <c r="CX15" s="88">
        <f>IF(COUNTIF(CAPA3_EXPANSION!$D$56:CX$56,"&gt;="&amp;8)=0,0,SUP_CONTROL!$C$8*IF($B15="V",1,IF($B15="D",(1+SUP_VOLUMEN!$C$26),(1+SUP_VOLUMEN!$C$27)))*INDEX(SUP_C3_EXPANSION!$C$6:$F$6,MIN(4,COUNTIF(CAPA3_EXPANSION!$D$56:CX$56,"&gt;="&amp;8)))*CAPA3_EXPANSION!CX$36)</f>
        <v>3676.7640000000001</v>
      </c>
      <c r="CY15" s="88">
        <f>IF(COUNTIF(CAPA3_EXPANSION!$D$56:CY$56,"&gt;="&amp;8)=0,0,SUP_CONTROL!$C$8*IF($B15="V",1,IF($B15="D",(1+SUP_VOLUMEN!$C$26),(1+SUP_VOLUMEN!$C$27)))*INDEX(SUP_C3_EXPANSION!$C$6:$F$6,MIN(4,COUNTIF(CAPA3_EXPANSION!$D$56:CY$56,"&gt;="&amp;8)))*CAPA3_EXPANSION!CY$36)</f>
        <v>3676.7640000000001</v>
      </c>
      <c r="CZ15" s="88">
        <f>IF(COUNTIF(CAPA3_EXPANSION!$D$56:CZ$56,"&gt;="&amp;8)=0,0,SUP_CONTROL!$C$8*IF($B15="V",1,IF($B15="D",(1+SUP_VOLUMEN!$C$26),(1+SUP_VOLUMEN!$C$27)))*INDEX(SUP_C3_EXPANSION!$C$6:$F$6,MIN(4,COUNTIF(CAPA3_EXPANSION!$D$56:CZ$56,"&gt;="&amp;8)))*CAPA3_EXPANSION!CZ$36)</f>
        <v>3676.7640000000001</v>
      </c>
      <c r="DA15" s="88">
        <f>IF(COUNTIF(CAPA3_EXPANSION!$D$56:DA$56,"&gt;="&amp;8)=0,0,SUP_CONTROL!$C$8*IF($B15="V",1,IF($B15="D",(1+SUP_VOLUMEN!$C$26),(1+SUP_VOLUMEN!$C$27)))*INDEX(SUP_C3_EXPANSION!$C$6:$F$6,MIN(4,COUNTIF(CAPA3_EXPANSION!$D$56:DA$56,"&gt;="&amp;8)))*CAPA3_EXPANSION!DA$36)</f>
        <v>3676.7640000000001</v>
      </c>
      <c r="DB15" s="88">
        <f>IF(COUNTIF(CAPA3_EXPANSION!$D$56:DB$56,"&gt;="&amp;8)=0,0,SUP_CONTROL!$C$8*IF($B15="V",1,IF($B15="D",(1+SUP_VOLUMEN!$C$26),(1+SUP_VOLUMEN!$C$27)))*INDEX(SUP_C3_EXPANSION!$C$6:$F$6,MIN(4,COUNTIF(CAPA3_EXPANSION!$D$56:DB$56,"&gt;="&amp;8)))*CAPA3_EXPANSION!DB$36)</f>
        <v>3676.7640000000001</v>
      </c>
      <c r="DC15" s="88">
        <f>IF(COUNTIF(CAPA3_EXPANSION!$D$56:DC$56,"&gt;="&amp;8)=0,0,SUP_CONTROL!$C$8*IF($B15="V",1,IF($B15="D",(1+SUP_VOLUMEN!$C$26),(1+SUP_VOLUMEN!$C$27)))*INDEX(SUP_C3_EXPANSION!$C$6:$F$6,MIN(4,COUNTIF(CAPA3_EXPANSION!$D$56:DC$56,"&gt;="&amp;8)))*CAPA3_EXPANSION!DC$36)</f>
        <v>3676.7640000000001</v>
      </c>
      <c r="DD15" s="88">
        <f>IF(COUNTIF(CAPA3_EXPANSION!$D$56:DD$56,"&gt;="&amp;8)=0,0,SUP_CONTROL!$C$8*IF($B15="V",1,IF($B15="D",(1+SUP_VOLUMEN!$C$26),(1+SUP_VOLUMEN!$C$27)))*INDEX(SUP_C3_EXPANSION!$C$6:$F$6,MIN(4,COUNTIF(CAPA3_EXPANSION!$D$56:DD$56,"&gt;="&amp;8)))*CAPA3_EXPANSION!DD$36)</f>
        <v>3676.7640000000001</v>
      </c>
      <c r="DE15" s="88">
        <f>IF(COUNTIF(CAPA3_EXPANSION!$D$56:DE$56,"&gt;="&amp;8)=0,0,SUP_CONTROL!$C$8*IF($B15="V",1,IF($B15="D",(1+SUP_VOLUMEN!$C$26),(1+SUP_VOLUMEN!$C$27)))*INDEX(SUP_C3_EXPANSION!$C$6:$F$6,MIN(4,COUNTIF(CAPA3_EXPANSION!$D$56:DE$56,"&gt;="&amp;8)))*CAPA3_EXPANSION!DE$36)</f>
        <v>3676.7640000000001</v>
      </c>
      <c r="DF15" s="88">
        <f>IF(COUNTIF(CAPA3_EXPANSION!$D$56:DF$56,"&gt;="&amp;8)=0,0,SUP_CONTROL!$C$8*IF($B15="V",1,IF($B15="D",(1+SUP_VOLUMEN!$C$26),(1+SUP_VOLUMEN!$C$27)))*INDEX(SUP_C3_EXPANSION!$C$6:$F$6,MIN(4,COUNTIF(CAPA3_EXPANSION!$D$56:DF$56,"&gt;="&amp;8)))*CAPA3_EXPANSION!DF$36)</f>
        <v>3676.7640000000001</v>
      </c>
      <c r="DG15" s="88">
        <f>IF(COUNTIF(CAPA3_EXPANSION!$D$56:DG$56,"&gt;="&amp;8)=0,0,SUP_CONTROL!$C$8*IF($B15="V",1,IF($B15="D",(1+SUP_VOLUMEN!$C$26),(1+SUP_VOLUMEN!$C$27)))*INDEX(SUP_C3_EXPANSION!$C$6:$F$6,MIN(4,COUNTIF(CAPA3_EXPANSION!$D$56:DG$56,"&gt;="&amp;8)))*CAPA3_EXPANSION!DG$36)</f>
        <v>3676.7640000000001</v>
      </c>
      <c r="DH15" s="88">
        <f>IF(COUNTIF(CAPA3_EXPANSION!$D$56:DH$56,"&gt;="&amp;8)=0,0,SUP_CONTROL!$C$8*IF($B15="V",1,IF($B15="D",(1+SUP_VOLUMEN!$C$26),(1+SUP_VOLUMEN!$C$27)))*INDEX(SUP_C3_EXPANSION!$C$6:$F$6,MIN(4,COUNTIF(CAPA3_EXPANSION!$D$56:DH$56,"&gt;="&amp;8)))*CAPA3_EXPANSION!DH$36)</f>
        <v>3676.7640000000001</v>
      </c>
      <c r="DI15" s="88">
        <f>IF(COUNTIF(CAPA3_EXPANSION!$D$56:DI$56,"&gt;="&amp;8)=0,0,SUP_CONTROL!$C$8*IF($B15="V",1,IF($B15="D",(1+SUP_VOLUMEN!$C$26),(1+SUP_VOLUMEN!$C$27)))*INDEX(SUP_C3_EXPANSION!$C$6:$F$6,MIN(4,COUNTIF(CAPA3_EXPANSION!$D$56:DI$56,"&gt;="&amp;8)))*CAPA3_EXPANSION!DI$36)</f>
        <v>3676.7640000000001</v>
      </c>
      <c r="DJ15" s="88">
        <f>IF(COUNTIF(CAPA3_EXPANSION!$D$56:DJ$56,"&gt;="&amp;8)=0,0,SUP_CONTROL!$C$8*IF($B15="V",1,IF($B15="D",(1+SUP_VOLUMEN!$C$26),(1+SUP_VOLUMEN!$C$27)))*INDEX(SUP_C3_EXPANSION!$C$6:$F$6,MIN(4,COUNTIF(CAPA3_EXPANSION!$D$56:DJ$56,"&gt;="&amp;8)))*CAPA3_EXPANSION!DJ$36)</f>
        <v>3676.7640000000001</v>
      </c>
      <c r="DK15" s="88">
        <f>IF(COUNTIF(CAPA3_EXPANSION!$D$56:DK$56,"&gt;="&amp;8)=0,0,SUP_CONTROL!$C$8*IF($B15="V",1,IF($B15="D",(1+SUP_VOLUMEN!$C$26),(1+SUP_VOLUMEN!$C$27)))*INDEX(SUP_C3_EXPANSION!$C$6:$F$6,MIN(4,COUNTIF(CAPA3_EXPANSION!$D$56:DK$56,"&gt;="&amp;8)))*CAPA3_EXPANSION!DK$36)</f>
        <v>3676.7640000000001</v>
      </c>
      <c r="DL15" s="88">
        <f>IF(COUNTIF(CAPA3_EXPANSION!$D$56:DL$56,"&gt;="&amp;8)=0,0,SUP_CONTROL!$C$8*IF($B15="V",1,IF($B15="D",(1+SUP_VOLUMEN!$C$26),(1+SUP_VOLUMEN!$C$27)))*INDEX(SUP_C3_EXPANSION!$C$6:$F$6,MIN(4,COUNTIF(CAPA3_EXPANSION!$D$56:DL$56,"&gt;="&amp;8)))*CAPA3_EXPANSION!DL$36)</f>
        <v>3676.7640000000001</v>
      </c>
      <c r="DM15" s="88">
        <f>IF(COUNTIF(CAPA3_EXPANSION!$D$56:DM$56,"&gt;="&amp;8)=0,0,SUP_CONTROL!$C$8*IF($B15="V",1,IF($B15="D",(1+SUP_VOLUMEN!$C$26),(1+SUP_VOLUMEN!$C$27)))*INDEX(SUP_C3_EXPANSION!$C$6:$F$6,MIN(4,COUNTIF(CAPA3_EXPANSION!$D$56:DM$56,"&gt;="&amp;8)))*CAPA3_EXPANSION!DM$36)</f>
        <v>3676.7640000000001</v>
      </c>
      <c r="DN15" s="88">
        <f>IF(COUNTIF(CAPA3_EXPANSION!$D$56:DN$56,"&gt;="&amp;8)=0,0,SUP_CONTROL!$C$8*IF($B15="V",1,IF($B15="D",(1+SUP_VOLUMEN!$C$26),(1+SUP_VOLUMEN!$C$27)))*INDEX(SUP_C3_EXPANSION!$C$6:$F$6,MIN(4,COUNTIF(CAPA3_EXPANSION!$D$56:DN$56,"&gt;="&amp;8)))*CAPA3_EXPANSION!DN$36)</f>
        <v>3676.7640000000001</v>
      </c>
      <c r="DO15" s="88">
        <f>IF(COUNTIF(CAPA3_EXPANSION!$D$56:DO$56,"&gt;="&amp;8)=0,0,SUP_CONTROL!$C$8*IF($B15="V",1,IF($B15="D",(1+SUP_VOLUMEN!$C$26),(1+SUP_VOLUMEN!$C$27)))*INDEX(SUP_C3_EXPANSION!$C$6:$F$6,MIN(4,COUNTIF(CAPA3_EXPANSION!$D$56:DO$56,"&gt;="&amp;8)))*CAPA3_EXPANSION!DO$36)</f>
        <v>3676.7640000000001</v>
      </c>
      <c r="DP15" s="88">
        <f>IF(COUNTIF(CAPA3_EXPANSION!$D$56:DP$56,"&gt;="&amp;8)=0,0,SUP_CONTROL!$C$8*IF($B15="V",1,IF($B15="D",(1+SUP_VOLUMEN!$C$26),(1+SUP_VOLUMEN!$C$27)))*INDEX(SUP_C3_EXPANSION!$C$6:$F$6,MIN(4,COUNTIF(CAPA3_EXPANSION!$D$56:DP$56,"&gt;="&amp;8)))*CAPA3_EXPANSION!DP$36)</f>
        <v>3676.7640000000001</v>
      </c>
      <c r="DQ15" s="88">
        <f>IF(COUNTIF(CAPA3_EXPANSION!$D$56:DQ$56,"&gt;="&amp;8)=0,0,SUP_CONTROL!$C$8*IF($B15="V",1,IF($B15="D",(1+SUP_VOLUMEN!$C$26),(1+SUP_VOLUMEN!$C$27)))*INDEX(SUP_C3_EXPANSION!$C$6:$F$6,MIN(4,COUNTIF(CAPA3_EXPANSION!$D$56:DQ$56,"&gt;="&amp;8)))*CAPA3_EXPANSION!DQ$36)</f>
        <v>3676.7640000000001</v>
      </c>
      <c r="DR15" s="88">
        <f>IF(COUNTIF(CAPA3_EXPANSION!$D$56:DR$56,"&gt;="&amp;8)=0,0,SUP_CONTROL!$C$8*IF($B15="V",1,IF($B15="D",(1+SUP_VOLUMEN!$C$26),(1+SUP_VOLUMEN!$C$27)))*INDEX(SUP_C3_EXPANSION!$C$6:$F$6,MIN(4,COUNTIF(CAPA3_EXPANSION!$D$56:DR$56,"&gt;="&amp;8)))*CAPA3_EXPANSION!DR$36)</f>
        <v>3676.7640000000001</v>
      </c>
      <c r="DS15" s="88">
        <f>IF(COUNTIF(CAPA3_EXPANSION!$D$56:DS$56,"&gt;="&amp;8)=0,0,SUP_CONTROL!$C$8*IF($B15="V",1,IF($B15="D",(1+SUP_VOLUMEN!$C$26),(1+SUP_VOLUMEN!$C$27)))*INDEX(SUP_C3_EXPANSION!$C$6:$F$6,MIN(4,COUNTIF(CAPA3_EXPANSION!$D$56:DS$56,"&gt;="&amp;8)))*CAPA3_EXPANSION!DS$36)</f>
        <v>3676.7640000000001</v>
      </c>
    </row>
    <row r="16" spans="1:123" ht="15" customHeight="1" x14ac:dyDescent="0.2">
      <c r="A16" s="88">
        <v>19</v>
      </c>
      <c r="B16" s="104" t="str">
        <f>SUP_C3_EXPANSION!B28</f>
        <v>V</v>
      </c>
      <c r="C16" s="73">
        <f>SUP_C3_EXPANSION!G28</f>
        <v>34</v>
      </c>
      <c r="D16" s="88">
        <f>IF(COUNTIF(CAPA3_EXPANSION!$D$56:D$56,"&gt;="&amp;9)=0,0,SUP_CONTROL!$C$8*IF($B16="V",1,IF($B16="D",(1+SUP_VOLUMEN!$C$26),(1+SUP_VOLUMEN!$C$27)))*INDEX(SUP_C3_EXPANSION!$C$6:$F$6,MIN(4,COUNTIF(CAPA3_EXPANSION!$D$56:D$56,"&gt;="&amp;9)))*CAPA3_EXPANSION!D$36)</f>
        <v>0</v>
      </c>
      <c r="E16" s="88">
        <f>IF(COUNTIF(CAPA3_EXPANSION!$D$56:E$56,"&gt;="&amp;9)=0,0,SUP_CONTROL!$C$8*IF($B16="V",1,IF($B16="D",(1+SUP_VOLUMEN!$C$26),(1+SUP_VOLUMEN!$C$27)))*INDEX(SUP_C3_EXPANSION!$C$6:$F$6,MIN(4,COUNTIF(CAPA3_EXPANSION!$D$56:E$56,"&gt;="&amp;9)))*CAPA3_EXPANSION!E$36)</f>
        <v>0</v>
      </c>
      <c r="F16" s="88">
        <f>IF(COUNTIF(CAPA3_EXPANSION!$D$56:F$56,"&gt;="&amp;9)=0,0,SUP_CONTROL!$C$8*IF($B16="V",1,IF($B16="D",(1+SUP_VOLUMEN!$C$26),(1+SUP_VOLUMEN!$C$27)))*INDEX(SUP_C3_EXPANSION!$C$6:$F$6,MIN(4,COUNTIF(CAPA3_EXPANSION!$D$56:F$56,"&gt;="&amp;9)))*CAPA3_EXPANSION!F$36)</f>
        <v>0</v>
      </c>
      <c r="G16" s="88">
        <f>IF(COUNTIF(CAPA3_EXPANSION!$D$56:G$56,"&gt;="&amp;9)=0,0,SUP_CONTROL!$C$8*IF($B16="V",1,IF($B16="D",(1+SUP_VOLUMEN!$C$26),(1+SUP_VOLUMEN!$C$27)))*INDEX(SUP_C3_EXPANSION!$C$6:$F$6,MIN(4,COUNTIF(CAPA3_EXPANSION!$D$56:G$56,"&gt;="&amp;9)))*CAPA3_EXPANSION!G$36)</f>
        <v>0</v>
      </c>
      <c r="H16" s="88">
        <f>IF(COUNTIF(CAPA3_EXPANSION!$D$56:H$56,"&gt;="&amp;9)=0,0,SUP_CONTROL!$C$8*IF($B16="V",1,IF($B16="D",(1+SUP_VOLUMEN!$C$26),(1+SUP_VOLUMEN!$C$27)))*INDEX(SUP_C3_EXPANSION!$C$6:$F$6,MIN(4,COUNTIF(CAPA3_EXPANSION!$D$56:H$56,"&gt;="&amp;9)))*CAPA3_EXPANSION!H$36)</f>
        <v>0</v>
      </c>
      <c r="I16" s="88">
        <f>IF(COUNTIF(CAPA3_EXPANSION!$D$56:I$56,"&gt;="&amp;9)=0,0,SUP_CONTROL!$C$8*IF($B16="V",1,IF($B16="D",(1+SUP_VOLUMEN!$C$26),(1+SUP_VOLUMEN!$C$27)))*INDEX(SUP_C3_EXPANSION!$C$6:$F$6,MIN(4,COUNTIF(CAPA3_EXPANSION!$D$56:I$56,"&gt;="&amp;9)))*CAPA3_EXPANSION!I$36)</f>
        <v>0</v>
      </c>
      <c r="J16" s="88">
        <f>IF(COUNTIF(CAPA3_EXPANSION!$D$56:J$56,"&gt;="&amp;9)=0,0,SUP_CONTROL!$C$8*IF($B16="V",1,IF($B16="D",(1+SUP_VOLUMEN!$C$26),(1+SUP_VOLUMEN!$C$27)))*INDEX(SUP_C3_EXPANSION!$C$6:$F$6,MIN(4,COUNTIF(CAPA3_EXPANSION!$D$56:J$56,"&gt;="&amp;9)))*CAPA3_EXPANSION!J$36)</f>
        <v>0</v>
      </c>
      <c r="K16" s="88">
        <f>IF(COUNTIF(CAPA3_EXPANSION!$D$56:K$56,"&gt;="&amp;9)=0,0,SUP_CONTROL!$C$8*IF($B16="V",1,IF($B16="D",(1+SUP_VOLUMEN!$C$26),(1+SUP_VOLUMEN!$C$27)))*INDEX(SUP_C3_EXPANSION!$C$6:$F$6,MIN(4,COUNTIF(CAPA3_EXPANSION!$D$56:K$56,"&gt;="&amp;9)))*CAPA3_EXPANSION!K$36)</f>
        <v>0</v>
      </c>
      <c r="L16" s="88">
        <f>IF(COUNTIF(CAPA3_EXPANSION!$D$56:L$56,"&gt;="&amp;9)=0,0,SUP_CONTROL!$C$8*IF($B16="V",1,IF($B16="D",(1+SUP_VOLUMEN!$C$26),(1+SUP_VOLUMEN!$C$27)))*INDEX(SUP_C3_EXPANSION!$C$6:$F$6,MIN(4,COUNTIF(CAPA3_EXPANSION!$D$56:L$56,"&gt;="&amp;9)))*CAPA3_EXPANSION!L$36)</f>
        <v>0</v>
      </c>
      <c r="M16" s="88">
        <f>IF(COUNTIF(CAPA3_EXPANSION!$D$56:M$56,"&gt;="&amp;9)=0,0,SUP_CONTROL!$C$8*IF($B16="V",1,IF($B16="D",(1+SUP_VOLUMEN!$C$26),(1+SUP_VOLUMEN!$C$27)))*INDEX(SUP_C3_EXPANSION!$C$6:$F$6,MIN(4,COUNTIF(CAPA3_EXPANSION!$D$56:M$56,"&gt;="&amp;9)))*CAPA3_EXPANSION!M$36)</f>
        <v>0</v>
      </c>
      <c r="N16" s="88">
        <f>IF(COUNTIF(CAPA3_EXPANSION!$D$56:N$56,"&gt;="&amp;9)=0,0,SUP_CONTROL!$C$8*IF($B16="V",1,IF($B16="D",(1+SUP_VOLUMEN!$C$26),(1+SUP_VOLUMEN!$C$27)))*INDEX(SUP_C3_EXPANSION!$C$6:$F$6,MIN(4,COUNTIF(CAPA3_EXPANSION!$D$56:N$56,"&gt;="&amp;9)))*CAPA3_EXPANSION!N$36)</f>
        <v>0</v>
      </c>
      <c r="O16" s="88">
        <f>IF(COUNTIF(CAPA3_EXPANSION!$D$56:O$56,"&gt;="&amp;9)=0,0,SUP_CONTROL!$C$8*IF($B16="V",1,IF($B16="D",(1+SUP_VOLUMEN!$C$26),(1+SUP_VOLUMEN!$C$27)))*INDEX(SUP_C3_EXPANSION!$C$6:$F$6,MIN(4,COUNTIF(CAPA3_EXPANSION!$D$56:O$56,"&gt;="&amp;9)))*CAPA3_EXPANSION!O$36)</f>
        <v>0</v>
      </c>
      <c r="P16" s="88">
        <f>IF(COUNTIF(CAPA3_EXPANSION!$D$56:P$56,"&gt;="&amp;9)=0,0,SUP_CONTROL!$C$8*IF($B16="V",1,IF($B16="D",(1+SUP_VOLUMEN!$C$26),(1+SUP_VOLUMEN!$C$27)))*INDEX(SUP_C3_EXPANSION!$C$6:$F$6,MIN(4,COUNTIF(CAPA3_EXPANSION!$D$56:P$56,"&gt;="&amp;9)))*CAPA3_EXPANSION!P$36)</f>
        <v>0</v>
      </c>
      <c r="Q16" s="88">
        <f>IF(COUNTIF(CAPA3_EXPANSION!$D$56:Q$56,"&gt;="&amp;9)=0,0,SUP_CONTROL!$C$8*IF($B16="V",1,IF($B16="D",(1+SUP_VOLUMEN!$C$26),(1+SUP_VOLUMEN!$C$27)))*INDEX(SUP_C3_EXPANSION!$C$6:$F$6,MIN(4,COUNTIF(CAPA3_EXPANSION!$D$56:Q$56,"&gt;="&amp;9)))*CAPA3_EXPANSION!Q$36)</f>
        <v>0</v>
      </c>
      <c r="R16" s="88">
        <f>IF(COUNTIF(CAPA3_EXPANSION!$D$56:R$56,"&gt;="&amp;9)=0,0,SUP_CONTROL!$C$8*IF($B16="V",1,IF($B16="D",(1+SUP_VOLUMEN!$C$26),(1+SUP_VOLUMEN!$C$27)))*INDEX(SUP_C3_EXPANSION!$C$6:$F$6,MIN(4,COUNTIF(CAPA3_EXPANSION!$D$56:R$56,"&gt;="&amp;9)))*CAPA3_EXPANSION!R$36)</f>
        <v>0</v>
      </c>
      <c r="S16" s="88">
        <f>IF(COUNTIF(CAPA3_EXPANSION!$D$56:S$56,"&gt;="&amp;9)=0,0,SUP_CONTROL!$C$8*IF($B16="V",1,IF($B16="D",(1+SUP_VOLUMEN!$C$26),(1+SUP_VOLUMEN!$C$27)))*INDEX(SUP_C3_EXPANSION!$C$6:$F$6,MIN(4,COUNTIF(CAPA3_EXPANSION!$D$56:S$56,"&gt;="&amp;9)))*CAPA3_EXPANSION!S$36)</f>
        <v>0</v>
      </c>
      <c r="T16" s="88">
        <f>IF(COUNTIF(CAPA3_EXPANSION!$D$56:T$56,"&gt;="&amp;9)=0,0,SUP_CONTROL!$C$8*IF($B16="V",1,IF($B16="D",(1+SUP_VOLUMEN!$C$26),(1+SUP_VOLUMEN!$C$27)))*INDEX(SUP_C3_EXPANSION!$C$6:$F$6,MIN(4,COUNTIF(CAPA3_EXPANSION!$D$56:T$56,"&gt;="&amp;9)))*CAPA3_EXPANSION!T$36)</f>
        <v>0</v>
      </c>
      <c r="U16" s="88">
        <f>IF(COUNTIF(CAPA3_EXPANSION!$D$56:U$56,"&gt;="&amp;9)=0,0,SUP_CONTROL!$C$8*IF($B16="V",1,IF($B16="D",(1+SUP_VOLUMEN!$C$26),(1+SUP_VOLUMEN!$C$27)))*INDEX(SUP_C3_EXPANSION!$C$6:$F$6,MIN(4,COUNTIF(CAPA3_EXPANSION!$D$56:U$56,"&gt;="&amp;9)))*CAPA3_EXPANSION!U$36)</f>
        <v>0</v>
      </c>
      <c r="V16" s="88">
        <f>IF(COUNTIF(CAPA3_EXPANSION!$D$56:V$56,"&gt;="&amp;9)=0,0,SUP_CONTROL!$C$8*IF($B16="V",1,IF($B16="D",(1+SUP_VOLUMEN!$C$26),(1+SUP_VOLUMEN!$C$27)))*INDEX(SUP_C3_EXPANSION!$C$6:$F$6,MIN(4,COUNTIF(CAPA3_EXPANSION!$D$56:V$56,"&gt;="&amp;9)))*CAPA3_EXPANSION!V$36)</f>
        <v>0</v>
      </c>
      <c r="W16" s="88">
        <f>IF(COUNTIF(CAPA3_EXPANSION!$D$56:W$56,"&gt;="&amp;9)=0,0,SUP_CONTROL!$C$8*IF($B16="V",1,IF($B16="D",(1+SUP_VOLUMEN!$C$26),(1+SUP_VOLUMEN!$C$27)))*INDEX(SUP_C3_EXPANSION!$C$6:$F$6,MIN(4,COUNTIF(CAPA3_EXPANSION!$D$56:W$56,"&gt;="&amp;9)))*CAPA3_EXPANSION!W$36)</f>
        <v>0</v>
      </c>
      <c r="X16" s="88">
        <f>IF(COUNTIF(CAPA3_EXPANSION!$D$56:X$56,"&gt;="&amp;9)=0,0,SUP_CONTROL!$C$8*IF($B16="V",1,IF($B16="D",(1+SUP_VOLUMEN!$C$26),(1+SUP_VOLUMEN!$C$27)))*INDEX(SUP_C3_EXPANSION!$C$6:$F$6,MIN(4,COUNTIF(CAPA3_EXPANSION!$D$56:X$56,"&gt;="&amp;9)))*CAPA3_EXPANSION!X$36)</f>
        <v>0</v>
      </c>
      <c r="Y16" s="88">
        <f>IF(COUNTIF(CAPA3_EXPANSION!$D$56:Y$56,"&gt;="&amp;9)=0,0,SUP_CONTROL!$C$8*IF($B16="V",1,IF($B16="D",(1+SUP_VOLUMEN!$C$26),(1+SUP_VOLUMEN!$C$27)))*INDEX(SUP_C3_EXPANSION!$C$6:$F$6,MIN(4,COUNTIF(CAPA3_EXPANSION!$D$56:Y$56,"&gt;="&amp;9)))*CAPA3_EXPANSION!Y$36)</f>
        <v>0</v>
      </c>
      <c r="Z16" s="88">
        <f>IF(COUNTIF(CAPA3_EXPANSION!$D$56:Z$56,"&gt;="&amp;9)=0,0,SUP_CONTROL!$C$8*IF($B16="V",1,IF($B16="D",(1+SUP_VOLUMEN!$C$26),(1+SUP_VOLUMEN!$C$27)))*INDEX(SUP_C3_EXPANSION!$C$6:$F$6,MIN(4,COUNTIF(CAPA3_EXPANSION!$D$56:Z$56,"&gt;="&amp;9)))*CAPA3_EXPANSION!Z$36)</f>
        <v>0</v>
      </c>
      <c r="AA16" s="88">
        <f>IF(COUNTIF(CAPA3_EXPANSION!$D$56:AA$56,"&gt;="&amp;9)=0,0,SUP_CONTROL!$C$8*IF($B16="V",1,IF($B16="D",(1+SUP_VOLUMEN!$C$26),(1+SUP_VOLUMEN!$C$27)))*INDEX(SUP_C3_EXPANSION!$C$6:$F$6,MIN(4,COUNTIF(CAPA3_EXPANSION!$D$56:AA$56,"&gt;="&amp;9)))*CAPA3_EXPANSION!AA$36)</f>
        <v>0</v>
      </c>
      <c r="AB16" s="88">
        <f>IF(COUNTIF(CAPA3_EXPANSION!$D$56:AB$56,"&gt;="&amp;9)=0,0,SUP_CONTROL!$C$8*IF($B16="V",1,IF($B16="D",(1+SUP_VOLUMEN!$C$26),(1+SUP_VOLUMEN!$C$27)))*INDEX(SUP_C3_EXPANSION!$C$6:$F$6,MIN(4,COUNTIF(CAPA3_EXPANSION!$D$56:AB$56,"&gt;="&amp;9)))*CAPA3_EXPANSION!AB$36)</f>
        <v>0</v>
      </c>
      <c r="AC16" s="88">
        <f>IF(COUNTIF(CAPA3_EXPANSION!$D$56:AC$56,"&gt;="&amp;9)=0,0,SUP_CONTROL!$C$8*IF($B16="V",1,IF($B16="D",(1+SUP_VOLUMEN!$C$26),(1+SUP_VOLUMEN!$C$27)))*INDEX(SUP_C3_EXPANSION!$C$6:$F$6,MIN(4,COUNTIF(CAPA3_EXPANSION!$D$56:AC$56,"&gt;="&amp;9)))*CAPA3_EXPANSION!AC$36)</f>
        <v>0</v>
      </c>
      <c r="AD16" s="88">
        <f>IF(COUNTIF(CAPA3_EXPANSION!$D$56:AD$56,"&gt;="&amp;9)=0,0,SUP_CONTROL!$C$8*IF($B16="V",1,IF($B16="D",(1+SUP_VOLUMEN!$C$26),(1+SUP_VOLUMEN!$C$27)))*INDEX(SUP_C3_EXPANSION!$C$6:$F$6,MIN(4,COUNTIF(CAPA3_EXPANSION!$D$56:AD$56,"&gt;="&amp;9)))*CAPA3_EXPANSION!AD$36)</f>
        <v>0</v>
      </c>
      <c r="AE16" s="88">
        <f>IF(COUNTIF(CAPA3_EXPANSION!$D$56:AE$56,"&gt;="&amp;9)=0,0,SUP_CONTROL!$C$8*IF($B16="V",1,IF($B16="D",(1+SUP_VOLUMEN!$C$26),(1+SUP_VOLUMEN!$C$27)))*INDEX(SUP_C3_EXPANSION!$C$6:$F$6,MIN(4,COUNTIF(CAPA3_EXPANSION!$D$56:AE$56,"&gt;="&amp;9)))*CAPA3_EXPANSION!AE$36)</f>
        <v>0</v>
      </c>
      <c r="AF16" s="88">
        <f>IF(COUNTIF(CAPA3_EXPANSION!$D$56:AF$56,"&gt;="&amp;9)=0,0,SUP_CONTROL!$C$8*IF($B16="V",1,IF($B16="D",(1+SUP_VOLUMEN!$C$26),(1+SUP_VOLUMEN!$C$27)))*INDEX(SUP_C3_EXPANSION!$C$6:$F$6,MIN(4,COUNTIF(CAPA3_EXPANSION!$D$56:AF$56,"&gt;="&amp;9)))*CAPA3_EXPANSION!AF$36)</f>
        <v>0</v>
      </c>
      <c r="AG16" s="88">
        <f>IF(COUNTIF(CAPA3_EXPANSION!$D$56:AG$56,"&gt;="&amp;9)=0,0,SUP_CONTROL!$C$8*IF($B16="V",1,IF($B16="D",(1+SUP_VOLUMEN!$C$26),(1+SUP_VOLUMEN!$C$27)))*INDEX(SUP_C3_EXPANSION!$C$6:$F$6,MIN(4,COUNTIF(CAPA3_EXPANSION!$D$56:AG$56,"&gt;="&amp;9)))*CAPA3_EXPANSION!AG$36)</f>
        <v>0</v>
      </c>
      <c r="AH16" s="88">
        <f>IF(COUNTIF(CAPA3_EXPANSION!$D$56:AH$56,"&gt;="&amp;9)=0,0,SUP_CONTROL!$C$8*IF($B16="V",1,IF($B16="D",(1+SUP_VOLUMEN!$C$26),(1+SUP_VOLUMEN!$C$27)))*INDEX(SUP_C3_EXPANSION!$C$6:$F$6,MIN(4,COUNTIF(CAPA3_EXPANSION!$D$56:AH$56,"&gt;="&amp;9)))*CAPA3_EXPANSION!AH$36)</f>
        <v>0</v>
      </c>
      <c r="AI16" s="88">
        <f>IF(COUNTIF(CAPA3_EXPANSION!$D$56:AI$56,"&gt;="&amp;9)=0,0,SUP_CONTROL!$C$8*IF($B16="V",1,IF($B16="D",(1+SUP_VOLUMEN!$C$26),(1+SUP_VOLUMEN!$C$27)))*INDEX(SUP_C3_EXPANSION!$C$6:$F$6,MIN(4,COUNTIF(CAPA3_EXPANSION!$D$56:AI$56,"&gt;="&amp;9)))*CAPA3_EXPANSION!AI$36)</f>
        <v>0</v>
      </c>
      <c r="AJ16" s="88">
        <f>IF(COUNTIF(CAPA3_EXPANSION!$D$56:AJ$56,"&gt;="&amp;9)=0,0,SUP_CONTROL!$C$8*IF($B16="V",1,IF($B16="D",(1+SUP_VOLUMEN!$C$26),(1+SUP_VOLUMEN!$C$27)))*INDEX(SUP_C3_EXPANSION!$C$6:$F$6,MIN(4,COUNTIF(CAPA3_EXPANSION!$D$56:AJ$56,"&gt;="&amp;9)))*CAPA3_EXPANSION!AJ$36)</f>
        <v>0</v>
      </c>
      <c r="AK16" s="88">
        <f>IF(COUNTIF(CAPA3_EXPANSION!$D$56:AK$56,"&gt;="&amp;9)=0,0,SUP_CONTROL!$C$8*IF($B16="V",1,IF($B16="D",(1+SUP_VOLUMEN!$C$26),(1+SUP_VOLUMEN!$C$27)))*INDEX(SUP_C3_EXPANSION!$C$6:$F$6,MIN(4,COUNTIF(CAPA3_EXPANSION!$D$56:AK$56,"&gt;="&amp;9)))*CAPA3_EXPANSION!AK$36)</f>
        <v>0</v>
      </c>
      <c r="AL16" s="88">
        <f>IF(COUNTIF(CAPA3_EXPANSION!$D$56:AL$56,"&gt;="&amp;9)=0,0,SUP_CONTROL!$C$8*IF($B16="V",1,IF($B16="D",(1+SUP_VOLUMEN!$C$26),(1+SUP_VOLUMEN!$C$27)))*INDEX(SUP_C3_EXPANSION!$C$6:$F$6,MIN(4,COUNTIF(CAPA3_EXPANSION!$D$56:AL$56,"&gt;="&amp;9)))*CAPA3_EXPANSION!AL$36)</f>
        <v>0</v>
      </c>
      <c r="AM16" s="88">
        <f>IF(COUNTIF(CAPA3_EXPANSION!$D$56:AM$56,"&gt;="&amp;9)=0,0,SUP_CONTROL!$C$8*IF($B16="V",1,IF($B16="D",(1+SUP_VOLUMEN!$C$26),(1+SUP_VOLUMEN!$C$27)))*INDEX(SUP_C3_EXPANSION!$C$6:$F$6,MIN(4,COUNTIF(CAPA3_EXPANSION!$D$56:AM$56,"&gt;="&amp;9)))*CAPA3_EXPANSION!AM$36)</f>
        <v>0</v>
      </c>
      <c r="AN16" s="88">
        <f>IF(COUNTIF(CAPA3_EXPANSION!$D$56:AN$56,"&gt;="&amp;9)=0,0,SUP_CONTROL!$C$8*IF($B16="V",1,IF($B16="D",(1+SUP_VOLUMEN!$C$26),(1+SUP_VOLUMEN!$C$27)))*INDEX(SUP_C3_EXPANSION!$C$6:$F$6,MIN(4,COUNTIF(CAPA3_EXPANSION!$D$56:AN$56,"&gt;="&amp;9)))*CAPA3_EXPANSION!AN$36)</f>
        <v>2068.1797500000002</v>
      </c>
      <c r="AO16" s="88">
        <f>IF(COUNTIF(CAPA3_EXPANSION!$D$56:AO$56,"&gt;="&amp;9)=0,0,SUP_CONTROL!$C$8*IF($B16="V",1,IF($B16="D",(1+SUP_VOLUMEN!$C$26),(1+SUP_VOLUMEN!$C$27)))*INDEX(SUP_C3_EXPANSION!$C$6:$F$6,MIN(4,COUNTIF(CAPA3_EXPANSION!$D$56:AO$56,"&gt;="&amp;9)))*CAPA3_EXPANSION!AO$36)</f>
        <v>2545.4520000000002</v>
      </c>
      <c r="AP16" s="88">
        <f>IF(COUNTIF(CAPA3_EXPANSION!$D$56:AP$56,"&gt;="&amp;9)=0,0,SUP_CONTROL!$C$8*IF($B16="V",1,IF($B16="D",(1+SUP_VOLUMEN!$C$26),(1+SUP_VOLUMEN!$C$27)))*INDEX(SUP_C3_EXPANSION!$C$6:$F$6,MIN(4,COUNTIF(CAPA3_EXPANSION!$D$56:AP$56,"&gt;="&amp;9)))*CAPA3_EXPANSION!AP$36)</f>
        <v>2863.6334999999999</v>
      </c>
      <c r="AQ16" s="88">
        <f>IF(COUNTIF(CAPA3_EXPANSION!$D$56:AQ$56,"&gt;="&amp;9)=0,0,SUP_CONTROL!$C$8*IF($B16="V",1,IF($B16="D",(1+SUP_VOLUMEN!$C$26),(1+SUP_VOLUMEN!$C$27)))*INDEX(SUP_C3_EXPANSION!$C$6:$F$6,MIN(4,COUNTIF(CAPA3_EXPANSION!$D$56:AQ$56,"&gt;="&amp;9)))*CAPA3_EXPANSION!AQ$36)</f>
        <v>3181.8150000000001</v>
      </c>
      <c r="AR16" s="88">
        <f>IF(COUNTIF(CAPA3_EXPANSION!$D$56:AR$56,"&gt;="&amp;9)=0,0,SUP_CONTROL!$C$8*IF($B16="V",1,IF($B16="D",(1+SUP_VOLUMEN!$C$26),(1+SUP_VOLUMEN!$C$27)))*INDEX(SUP_C3_EXPANSION!$C$6:$F$6,MIN(4,COUNTIF(CAPA3_EXPANSION!$D$56:AR$56,"&gt;="&amp;9)))*CAPA3_EXPANSION!AR$36)</f>
        <v>3181.8150000000001</v>
      </c>
      <c r="AS16" s="88">
        <f>IF(COUNTIF(CAPA3_EXPANSION!$D$56:AS$56,"&gt;="&amp;9)=0,0,SUP_CONTROL!$C$8*IF($B16="V",1,IF($B16="D",(1+SUP_VOLUMEN!$C$26),(1+SUP_VOLUMEN!$C$27)))*INDEX(SUP_C3_EXPANSION!$C$6:$F$6,MIN(4,COUNTIF(CAPA3_EXPANSION!$D$56:AS$56,"&gt;="&amp;9)))*CAPA3_EXPANSION!AS$36)</f>
        <v>3181.8150000000001</v>
      </c>
      <c r="AT16" s="88">
        <f>IF(COUNTIF(CAPA3_EXPANSION!$D$56:AT$56,"&gt;="&amp;9)=0,0,SUP_CONTROL!$C$8*IF($B16="V",1,IF($B16="D",(1+SUP_VOLUMEN!$C$26),(1+SUP_VOLUMEN!$C$27)))*INDEX(SUP_C3_EXPANSION!$C$6:$F$6,MIN(4,COUNTIF(CAPA3_EXPANSION!$D$56:AT$56,"&gt;="&amp;9)))*CAPA3_EXPANSION!AT$36)</f>
        <v>3181.8150000000001</v>
      </c>
      <c r="AU16" s="88">
        <f>IF(COUNTIF(CAPA3_EXPANSION!$D$56:AU$56,"&gt;="&amp;9)=0,0,SUP_CONTROL!$C$8*IF($B16="V",1,IF($B16="D",(1+SUP_VOLUMEN!$C$26),(1+SUP_VOLUMEN!$C$27)))*INDEX(SUP_C3_EXPANSION!$C$6:$F$6,MIN(4,COUNTIF(CAPA3_EXPANSION!$D$56:AU$56,"&gt;="&amp;9)))*CAPA3_EXPANSION!AU$36)</f>
        <v>3181.8150000000001</v>
      </c>
      <c r="AV16" s="88">
        <f>IF(COUNTIF(CAPA3_EXPANSION!$D$56:AV$56,"&gt;="&amp;9)=0,0,SUP_CONTROL!$C$8*IF($B16="V",1,IF($B16="D",(1+SUP_VOLUMEN!$C$26),(1+SUP_VOLUMEN!$C$27)))*INDEX(SUP_C3_EXPANSION!$C$6:$F$6,MIN(4,COUNTIF(CAPA3_EXPANSION!$D$56:AV$56,"&gt;="&amp;9)))*CAPA3_EXPANSION!AV$36)</f>
        <v>3181.8150000000001</v>
      </c>
      <c r="AW16" s="88">
        <f>IF(COUNTIF(CAPA3_EXPANSION!$D$56:AW$56,"&gt;="&amp;9)=0,0,SUP_CONTROL!$C$8*IF($B16="V",1,IF($B16="D",(1+SUP_VOLUMEN!$C$26),(1+SUP_VOLUMEN!$C$27)))*INDEX(SUP_C3_EXPANSION!$C$6:$F$6,MIN(4,COUNTIF(CAPA3_EXPANSION!$D$56:AW$56,"&gt;="&amp;9)))*CAPA3_EXPANSION!AW$36)</f>
        <v>3181.8150000000001</v>
      </c>
      <c r="AX16" s="88">
        <f>IF(COUNTIF(CAPA3_EXPANSION!$D$56:AX$56,"&gt;="&amp;9)=0,0,SUP_CONTROL!$C$8*IF($B16="V",1,IF($B16="D",(1+SUP_VOLUMEN!$C$26),(1+SUP_VOLUMEN!$C$27)))*INDEX(SUP_C3_EXPANSION!$C$6:$F$6,MIN(4,COUNTIF(CAPA3_EXPANSION!$D$56:AX$56,"&gt;="&amp;9)))*CAPA3_EXPANSION!AX$36)</f>
        <v>3181.8150000000001</v>
      </c>
      <c r="AY16" s="88">
        <f>IF(COUNTIF(CAPA3_EXPANSION!$D$56:AY$56,"&gt;="&amp;9)=0,0,SUP_CONTROL!$C$8*IF($B16="V",1,IF($B16="D",(1+SUP_VOLUMEN!$C$26),(1+SUP_VOLUMEN!$C$27)))*INDEX(SUP_C3_EXPANSION!$C$6:$F$6,MIN(4,COUNTIF(CAPA3_EXPANSION!$D$56:AY$56,"&gt;="&amp;9)))*CAPA3_EXPANSION!AY$36)</f>
        <v>3181.8150000000001</v>
      </c>
      <c r="AZ16" s="88">
        <f>IF(COUNTIF(CAPA3_EXPANSION!$D$56:AZ$56,"&gt;="&amp;9)=0,0,SUP_CONTROL!$C$8*IF($B16="V",1,IF($B16="D",(1+SUP_VOLUMEN!$C$26),(1+SUP_VOLUMEN!$C$27)))*INDEX(SUP_C3_EXPANSION!$C$6:$F$6,MIN(4,COUNTIF(CAPA3_EXPANSION!$D$56:AZ$56,"&gt;="&amp;9)))*CAPA3_EXPANSION!AZ$36)</f>
        <v>3181.8150000000001</v>
      </c>
      <c r="BA16" s="88">
        <f>IF(COUNTIF(CAPA3_EXPANSION!$D$56:BA$56,"&gt;="&amp;9)=0,0,SUP_CONTROL!$C$8*IF($B16="V",1,IF($B16="D",(1+SUP_VOLUMEN!$C$26),(1+SUP_VOLUMEN!$C$27)))*INDEX(SUP_C3_EXPANSION!$C$6:$F$6,MIN(4,COUNTIF(CAPA3_EXPANSION!$D$56:BA$56,"&gt;="&amp;9)))*CAPA3_EXPANSION!BA$36)</f>
        <v>3097.6400000000003</v>
      </c>
      <c r="BB16" s="88">
        <f>IF(COUNTIF(CAPA3_EXPANSION!$D$56:BB$56,"&gt;="&amp;9)=0,0,SUP_CONTROL!$C$8*IF($B16="V",1,IF($B16="D",(1+SUP_VOLUMEN!$C$26),(1+SUP_VOLUMEN!$C$27)))*INDEX(SUP_C3_EXPANSION!$C$6:$F$6,MIN(4,COUNTIF(CAPA3_EXPANSION!$D$56:BB$56,"&gt;="&amp;9)))*CAPA3_EXPANSION!BB$36)</f>
        <v>3097.6400000000003</v>
      </c>
      <c r="BC16" s="88">
        <f>IF(COUNTIF(CAPA3_EXPANSION!$D$56:BC$56,"&gt;="&amp;9)=0,0,SUP_CONTROL!$C$8*IF($B16="V",1,IF($B16="D",(1+SUP_VOLUMEN!$C$26),(1+SUP_VOLUMEN!$C$27)))*INDEX(SUP_C3_EXPANSION!$C$6:$F$6,MIN(4,COUNTIF(CAPA3_EXPANSION!$D$56:BC$56,"&gt;="&amp;9)))*CAPA3_EXPANSION!BC$36)</f>
        <v>3097.6400000000003</v>
      </c>
      <c r="BD16" s="88">
        <f>IF(COUNTIF(CAPA3_EXPANSION!$D$56:BD$56,"&gt;="&amp;9)=0,0,SUP_CONTROL!$C$8*IF($B16="V",1,IF($B16="D",(1+SUP_VOLUMEN!$C$26),(1+SUP_VOLUMEN!$C$27)))*INDEX(SUP_C3_EXPANSION!$C$6:$F$6,MIN(4,COUNTIF(CAPA3_EXPANSION!$D$56:BD$56,"&gt;="&amp;9)))*CAPA3_EXPANSION!BD$36)</f>
        <v>3097.6400000000003</v>
      </c>
      <c r="BE16" s="88">
        <f>IF(COUNTIF(CAPA3_EXPANSION!$D$56:BE$56,"&gt;="&amp;9)=0,0,SUP_CONTROL!$C$8*IF($B16="V",1,IF($B16="D",(1+SUP_VOLUMEN!$C$26),(1+SUP_VOLUMEN!$C$27)))*INDEX(SUP_C3_EXPANSION!$C$6:$F$6,MIN(4,COUNTIF(CAPA3_EXPANSION!$D$56:BE$56,"&gt;="&amp;9)))*CAPA3_EXPANSION!BE$36)</f>
        <v>3097.6400000000003</v>
      </c>
      <c r="BF16" s="88">
        <f>IF(COUNTIF(CAPA3_EXPANSION!$D$56:BF$56,"&gt;="&amp;9)=0,0,SUP_CONTROL!$C$8*IF($B16="V",1,IF($B16="D",(1+SUP_VOLUMEN!$C$26),(1+SUP_VOLUMEN!$C$27)))*INDEX(SUP_C3_EXPANSION!$C$6:$F$6,MIN(4,COUNTIF(CAPA3_EXPANSION!$D$56:BF$56,"&gt;="&amp;9)))*CAPA3_EXPANSION!BF$36)</f>
        <v>3030.3</v>
      </c>
      <c r="BG16" s="88">
        <f>IF(COUNTIF(CAPA3_EXPANSION!$D$56:BG$56,"&gt;="&amp;9)=0,0,SUP_CONTROL!$C$8*IF($B16="V",1,IF($B16="D",(1+SUP_VOLUMEN!$C$26),(1+SUP_VOLUMEN!$C$27)))*INDEX(SUP_C3_EXPANSION!$C$6:$F$6,MIN(4,COUNTIF(CAPA3_EXPANSION!$D$56:BG$56,"&gt;="&amp;9)))*CAPA3_EXPANSION!BG$36)</f>
        <v>3030.3</v>
      </c>
      <c r="BH16" s="88">
        <f>IF(COUNTIF(CAPA3_EXPANSION!$D$56:BH$56,"&gt;="&amp;9)=0,0,SUP_CONTROL!$C$8*IF($B16="V",1,IF($B16="D",(1+SUP_VOLUMEN!$C$26),(1+SUP_VOLUMEN!$C$27)))*INDEX(SUP_C3_EXPANSION!$C$6:$F$6,MIN(4,COUNTIF(CAPA3_EXPANSION!$D$56:BH$56,"&gt;="&amp;9)))*CAPA3_EXPANSION!BH$36)</f>
        <v>3030.3</v>
      </c>
      <c r="BI16" s="88">
        <f>IF(COUNTIF(CAPA3_EXPANSION!$D$56:BI$56,"&gt;="&amp;9)=0,0,SUP_CONTROL!$C$8*IF($B16="V",1,IF($B16="D",(1+SUP_VOLUMEN!$C$26),(1+SUP_VOLUMEN!$C$27)))*INDEX(SUP_C3_EXPANSION!$C$6:$F$6,MIN(4,COUNTIF(CAPA3_EXPANSION!$D$56:BI$56,"&gt;="&amp;9)))*CAPA3_EXPANSION!BI$36)</f>
        <v>3030.3</v>
      </c>
      <c r="BJ16" s="88">
        <f>IF(COUNTIF(CAPA3_EXPANSION!$D$56:BJ$56,"&gt;="&amp;9)=0,0,SUP_CONTROL!$C$8*IF($B16="V",1,IF($B16="D",(1+SUP_VOLUMEN!$C$26),(1+SUP_VOLUMEN!$C$27)))*INDEX(SUP_C3_EXPANSION!$C$6:$F$6,MIN(4,COUNTIF(CAPA3_EXPANSION!$D$56:BJ$56,"&gt;="&amp;9)))*CAPA3_EXPANSION!BJ$36)</f>
        <v>3030.3</v>
      </c>
      <c r="BK16" s="88">
        <f>IF(COUNTIF(CAPA3_EXPANSION!$D$56:BK$56,"&gt;="&amp;9)=0,0,SUP_CONTROL!$C$8*IF($B16="V",1,IF($B16="D",(1+SUP_VOLUMEN!$C$26),(1+SUP_VOLUMEN!$C$27)))*INDEX(SUP_C3_EXPANSION!$C$6:$F$6,MIN(4,COUNTIF(CAPA3_EXPANSION!$D$56:BK$56,"&gt;="&amp;9)))*CAPA3_EXPANSION!BK$36)</f>
        <v>2962.96</v>
      </c>
      <c r="BL16" s="88">
        <f>IF(COUNTIF(CAPA3_EXPANSION!$D$56:BL$56,"&gt;="&amp;9)=0,0,SUP_CONTROL!$C$8*IF($B16="V",1,IF($B16="D",(1+SUP_VOLUMEN!$C$26),(1+SUP_VOLUMEN!$C$27)))*INDEX(SUP_C3_EXPANSION!$C$6:$F$6,MIN(4,COUNTIF(CAPA3_EXPANSION!$D$56:BL$56,"&gt;="&amp;9)))*CAPA3_EXPANSION!BL$36)</f>
        <v>2962.96</v>
      </c>
      <c r="BM16" s="88">
        <f>IF(COUNTIF(CAPA3_EXPANSION!$D$56:BM$56,"&gt;="&amp;9)=0,0,SUP_CONTROL!$C$8*IF($B16="V",1,IF($B16="D",(1+SUP_VOLUMEN!$C$26),(1+SUP_VOLUMEN!$C$27)))*INDEX(SUP_C3_EXPANSION!$C$6:$F$6,MIN(4,COUNTIF(CAPA3_EXPANSION!$D$56:BM$56,"&gt;="&amp;9)))*CAPA3_EXPANSION!BM$36)</f>
        <v>2962.96</v>
      </c>
      <c r="BN16" s="88">
        <f>IF(COUNTIF(CAPA3_EXPANSION!$D$56:BN$56,"&gt;="&amp;9)=0,0,SUP_CONTROL!$C$8*IF($B16="V",1,IF($B16="D",(1+SUP_VOLUMEN!$C$26),(1+SUP_VOLUMEN!$C$27)))*INDEX(SUP_C3_EXPANSION!$C$6:$F$6,MIN(4,COUNTIF(CAPA3_EXPANSION!$D$56:BN$56,"&gt;="&amp;9)))*CAPA3_EXPANSION!BN$36)</f>
        <v>2962.96</v>
      </c>
      <c r="BO16" s="88">
        <f>IF(COUNTIF(CAPA3_EXPANSION!$D$56:BO$56,"&gt;="&amp;9)=0,0,SUP_CONTROL!$C$8*IF($B16="V",1,IF($B16="D",(1+SUP_VOLUMEN!$C$26),(1+SUP_VOLUMEN!$C$27)))*INDEX(SUP_C3_EXPANSION!$C$6:$F$6,MIN(4,COUNTIF(CAPA3_EXPANSION!$D$56:BO$56,"&gt;="&amp;9)))*CAPA3_EXPANSION!BO$36)</f>
        <v>2962.96</v>
      </c>
      <c r="BP16" s="88">
        <f>IF(COUNTIF(CAPA3_EXPANSION!$D$56:BP$56,"&gt;="&amp;9)=0,0,SUP_CONTROL!$C$8*IF($B16="V",1,IF($B16="D",(1+SUP_VOLUMEN!$C$26),(1+SUP_VOLUMEN!$C$27)))*INDEX(SUP_C3_EXPANSION!$C$6:$F$6,MIN(4,COUNTIF(CAPA3_EXPANSION!$D$56:BP$56,"&gt;="&amp;9)))*CAPA3_EXPANSION!BP$36)</f>
        <v>2912.4549999999999</v>
      </c>
      <c r="BQ16" s="88">
        <f>IF(COUNTIF(CAPA3_EXPANSION!$D$56:BQ$56,"&gt;="&amp;9)=0,0,SUP_CONTROL!$C$8*IF($B16="V",1,IF($B16="D",(1+SUP_VOLUMEN!$C$26),(1+SUP_VOLUMEN!$C$27)))*INDEX(SUP_C3_EXPANSION!$C$6:$F$6,MIN(4,COUNTIF(CAPA3_EXPANSION!$D$56:BQ$56,"&gt;="&amp;9)))*CAPA3_EXPANSION!BQ$36)</f>
        <v>2912.4549999999999</v>
      </c>
      <c r="BR16" s="88">
        <f>IF(COUNTIF(CAPA3_EXPANSION!$D$56:BR$56,"&gt;="&amp;9)=0,0,SUP_CONTROL!$C$8*IF($B16="V",1,IF($B16="D",(1+SUP_VOLUMEN!$C$26),(1+SUP_VOLUMEN!$C$27)))*INDEX(SUP_C3_EXPANSION!$C$6:$F$6,MIN(4,COUNTIF(CAPA3_EXPANSION!$D$56:BR$56,"&gt;="&amp;9)))*CAPA3_EXPANSION!BR$36)</f>
        <v>2912.4549999999999</v>
      </c>
      <c r="BS16" s="88">
        <f>IF(COUNTIF(CAPA3_EXPANSION!$D$56:BS$56,"&gt;="&amp;9)=0,0,SUP_CONTROL!$C$8*IF($B16="V",1,IF($B16="D",(1+SUP_VOLUMEN!$C$26),(1+SUP_VOLUMEN!$C$27)))*INDEX(SUP_C3_EXPANSION!$C$6:$F$6,MIN(4,COUNTIF(CAPA3_EXPANSION!$D$56:BS$56,"&gt;="&amp;9)))*CAPA3_EXPANSION!BS$36)</f>
        <v>2912.4549999999999</v>
      </c>
      <c r="BT16" s="88">
        <f>IF(COUNTIF(CAPA3_EXPANSION!$D$56:BT$56,"&gt;="&amp;9)=0,0,SUP_CONTROL!$C$8*IF($B16="V",1,IF($B16="D",(1+SUP_VOLUMEN!$C$26),(1+SUP_VOLUMEN!$C$27)))*INDEX(SUP_C3_EXPANSION!$C$6:$F$6,MIN(4,COUNTIF(CAPA3_EXPANSION!$D$56:BT$56,"&gt;="&amp;9)))*CAPA3_EXPANSION!BT$36)</f>
        <v>2912.4549999999999</v>
      </c>
      <c r="BU16" s="88">
        <f>IF(COUNTIF(CAPA3_EXPANSION!$D$56:BU$56,"&gt;="&amp;9)=0,0,SUP_CONTROL!$C$8*IF($B16="V",1,IF($B16="D",(1+SUP_VOLUMEN!$C$26),(1+SUP_VOLUMEN!$C$27)))*INDEX(SUP_C3_EXPANSION!$C$6:$F$6,MIN(4,COUNTIF(CAPA3_EXPANSION!$D$56:BU$56,"&gt;="&amp;9)))*CAPA3_EXPANSION!BU$36)</f>
        <v>2861.95</v>
      </c>
      <c r="BV16" s="88">
        <f>IF(COUNTIF(CAPA3_EXPANSION!$D$56:BV$56,"&gt;="&amp;9)=0,0,SUP_CONTROL!$C$8*IF($B16="V",1,IF($B16="D",(1+SUP_VOLUMEN!$C$26),(1+SUP_VOLUMEN!$C$27)))*INDEX(SUP_C3_EXPANSION!$C$6:$F$6,MIN(4,COUNTIF(CAPA3_EXPANSION!$D$56:BV$56,"&gt;="&amp;9)))*CAPA3_EXPANSION!BV$36)</f>
        <v>2861.95</v>
      </c>
      <c r="BW16" s="88">
        <f>IF(COUNTIF(CAPA3_EXPANSION!$D$56:BW$56,"&gt;="&amp;9)=0,0,SUP_CONTROL!$C$8*IF($B16="V",1,IF($B16="D",(1+SUP_VOLUMEN!$C$26),(1+SUP_VOLUMEN!$C$27)))*INDEX(SUP_C3_EXPANSION!$C$6:$F$6,MIN(4,COUNTIF(CAPA3_EXPANSION!$D$56:BW$56,"&gt;="&amp;9)))*CAPA3_EXPANSION!BW$36)</f>
        <v>2861.95</v>
      </c>
      <c r="BX16" s="88">
        <f>IF(COUNTIF(CAPA3_EXPANSION!$D$56:BX$56,"&gt;="&amp;9)=0,0,SUP_CONTROL!$C$8*IF($B16="V",1,IF($B16="D",(1+SUP_VOLUMEN!$C$26),(1+SUP_VOLUMEN!$C$27)))*INDEX(SUP_C3_EXPANSION!$C$6:$F$6,MIN(4,COUNTIF(CAPA3_EXPANSION!$D$56:BX$56,"&gt;="&amp;9)))*CAPA3_EXPANSION!BX$36)</f>
        <v>2861.95</v>
      </c>
      <c r="BY16" s="88">
        <f>IF(COUNTIF(CAPA3_EXPANSION!$D$56:BY$56,"&gt;="&amp;9)=0,0,SUP_CONTROL!$C$8*IF($B16="V",1,IF($B16="D",(1+SUP_VOLUMEN!$C$26),(1+SUP_VOLUMEN!$C$27)))*INDEX(SUP_C3_EXPANSION!$C$6:$F$6,MIN(4,COUNTIF(CAPA3_EXPANSION!$D$56:BY$56,"&gt;="&amp;9)))*CAPA3_EXPANSION!BY$36)</f>
        <v>2861.95</v>
      </c>
      <c r="BZ16" s="88">
        <f>IF(COUNTIF(CAPA3_EXPANSION!$D$56:BZ$56,"&gt;="&amp;9)=0,0,SUP_CONTROL!$C$8*IF($B16="V",1,IF($B16="D",(1+SUP_VOLUMEN!$C$26),(1+SUP_VOLUMEN!$C$27)))*INDEX(SUP_C3_EXPANSION!$C$6:$F$6,MIN(4,COUNTIF(CAPA3_EXPANSION!$D$56:BZ$56,"&gt;="&amp;9)))*CAPA3_EXPANSION!BZ$36)</f>
        <v>2828.2799999999997</v>
      </c>
      <c r="CA16" s="88">
        <f>IF(COUNTIF(CAPA3_EXPANSION!$D$56:CA$56,"&gt;="&amp;9)=0,0,SUP_CONTROL!$C$8*IF($B16="V",1,IF($B16="D",(1+SUP_VOLUMEN!$C$26),(1+SUP_VOLUMEN!$C$27)))*INDEX(SUP_C3_EXPANSION!$C$6:$F$6,MIN(4,COUNTIF(CAPA3_EXPANSION!$D$56:CA$56,"&gt;="&amp;9)))*CAPA3_EXPANSION!CA$36)</f>
        <v>2828.2799999999997</v>
      </c>
      <c r="CB16" s="88">
        <f>IF(COUNTIF(CAPA3_EXPANSION!$D$56:CB$56,"&gt;="&amp;9)=0,0,SUP_CONTROL!$C$8*IF($B16="V",1,IF($B16="D",(1+SUP_VOLUMEN!$C$26),(1+SUP_VOLUMEN!$C$27)))*INDEX(SUP_C3_EXPANSION!$C$6:$F$6,MIN(4,COUNTIF(CAPA3_EXPANSION!$D$56:CB$56,"&gt;="&amp;9)))*CAPA3_EXPANSION!CB$36)</f>
        <v>2828.2799999999997</v>
      </c>
      <c r="CC16" s="88">
        <f>IF(COUNTIF(CAPA3_EXPANSION!$D$56:CC$56,"&gt;="&amp;9)=0,0,SUP_CONTROL!$C$8*IF($B16="V",1,IF($B16="D",(1+SUP_VOLUMEN!$C$26),(1+SUP_VOLUMEN!$C$27)))*INDEX(SUP_C3_EXPANSION!$C$6:$F$6,MIN(4,COUNTIF(CAPA3_EXPANSION!$D$56:CC$56,"&gt;="&amp;9)))*CAPA3_EXPANSION!CC$36)</f>
        <v>2828.2799999999997</v>
      </c>
      <c r="CD16" s="88">
        <f>IF(COUNTIF(CAPA3_EXPANSION!$D$56:CD$56,"&gt;="&amp;9)=0,0,SUP_CONTROL!$C$8*IF($B16="V",1,IF($B16="D",(1+SUP_VOLUMEN!$C$26),(1+SUP_VOLUMEN!$C$27)))*INDEX(SUP_C3_EXPANSION!$C$6:$F$6,MIN(4,COUNTIF(CAPA3_EXPANSION!$D$56:CD$56,"&gt;="&amp;9)))*CAPA3_EXPANSION!CD$36)</f>
        <v>2828.2799999999997</v>
      </c>
      <c r="CE16" s="88">
        <f>IF(COUNTIF(CAPA3_EXPANSION!$D$56:CE$56,"&gt;="&amp;9)=0,0,SUP_CONTROL!$C$8*IF($B16="V",1,IF($B16="D",(1+SUP_VOLUMEN!$C$26),(1+SUP_VOLUMEN!$C$27)))*INDEX(SUP_C3_EXPANSION!$C$6:$F$6,MIN(4,COUNTIF(CAPA3_EXPANSION!$D$56:CE$56,"&gt;="&amp;9)))*CAPA3_EXPANSION!CE$36)</f>
        <v>2828.2799999999997</v>
      </c>
      <c r="CF16" s="88">
        <f>IF(COUNTIF(CAPA3_EXPANSION!$D$56:CF$56,"&gt;="&amp;9)=0,0,SUP_CONTROL!$C$8*IF($B16="V",1,IF($B16="D",(1+SUP_VOLUMEN!$C$26),(1+SUP_VOLUMEN!$C$27)))*INDEX(SUP_C3_EXPANSION!$C$6:$F$6,MIN(4,COUNTIF(CAPA3_EXPANSION!$D$56:CF$56,"&gt;="&amp;9)))*CAPA3_EXPANSION!CF$36)</f>
        <v>2828.2799999999997</v>
      </c>
      <c r="CG16" s="88">
        <f>IF(COUNTIF(CAPA3_EXPANSION!$D$56:CG$56,"&gt;="&amp;9)=0,0,SUP_CONTROL!$C$8*IF($B16="V",1,IF($B16="D",(1+SUP_VOLUMEN!$C$26),(1+SUP_VOLUMEN!$C$27)))*INDEX(SUP_C3_EXPANSION!$C$6:$F$6,MIN(4,COUNTIF(CAPA3_EXPANSION!$D$56:CG$56,"&gt;="&amp;9)))*CAPA3_EXPANSION!CG$36)</f>
        <v>2828.2799999999997</v>
      </c>
      <c r="CH16" s="88">
        <f>IF(COUNTIF(CAPA3_EXPANSION!$D$56:CH$56,"&gt;="&amp;9)=0,0,SUP_CONTROL!$C$8*IF($B16="V",1,IF($B16="D",(1+SUP_VOLUMEN!$C$26),(1+SUP_VOLUMEN!$C$27)))*INDEX(SUP_C3_EXPANSION!$C$6:$F$6,MIN(4,COUNTIF(CAPA3_EXPANSION!$D$56:CH$56,"&gt;="&amp;9)))*CAPA3_EXPANSION!CH$36)</f>
        <v>2828.2799999999997</v>
      </c>
      <c r="CI16" s="88">
        <f>IF(COUNTIF(CAPA3_EXPANSION!$D$56:CI$56,"&gt;="&amp;9)=0,0,SUP_CONTROL!$C$8*IF($B16="V",1,IF($B16="D",(1+SUP_VOLUMEN!$C$26),(1+SUP_VOLUMEN!$C$27)))*INDEX(SUP_C3_EXPANSION!$C$6:$F$6,MIN(4,COUNTIF(CAPA3_EXPANSION!$D$56:CI$56,"&gt;="&amp;9)))*CAPA3_EXPANSION!CI$36)</f>
        <v>2828.2799999999997</v>
      </c>
      <c r="CJ16" s="88">
        <f>IF(COUNTIF(CAPA3_EXPANSION!$D$56:CJ$56,"&gt;="&amp;9)=0,0,SUP_CONTROL!$C$8*IF($B16="V",1,IF($B16="D",(1+SUP_VOLUMEN!$C$26),(1+SUP_VOLUMEN!$C$27)))*INDEX(SUP_C3_EXPANSION!$C$6:$F$6,MIN(4,COUNTIF(CAPA3_EXPANSION!$D$56:CJ$56,"&gt;="&amp;9)))*CAPA3_EXPANSION!CJ$36)</f>
        <v>2828.2799999999997</v>
      </c>
      <c r="CK16" s="88">
        <f>IF(COUNTIF(CAPA3_EXPANSION!$D$56:CK$56,"&gt;="&amp;9)=0,0,SUP_CONTROL!$C$8*IF($B16="V",1,IF($B16="D",(1+SUP_VOLUMEN!$C$26),(1+SUP_VOLUMEN!$C$27)))*INDEX(SUP_C3_EXPANSION!$C$6:$F$6,MIN(4,COUNTIF(CAPA3_EXPANSION!$D$56:CK$56,"&gt;="&amp;9)))*CAPA3_EXPANSION!CK$36)</f>
        <v>2828.2799999999997</v>
      </c>
      <c r="CL16" s="88">
        <f>IF(COUNTIF(CAPA3_EXPANSION!$D$56:CL$56,"&gt;="&amp;9)=0,0,SUP_CONTROL!$C$8*IF($B16="V",1,IF($B16="D",(1+SUP_VOLUMEN!$C$26),(1+SUP_VOLUMEN!$C$27)))*INDEX(SUP_C3_EXPANSION!$C$6:$F$6,MIN(4,COUNTIF(CAPA3_EXPANSION!$D$56:CL$56,"&gt;="&amp;9)))*CAPA3_EXPANSION!CL$36)</f>
        <v>2828.2799999999997</v>
      </c>
      <c r="CM16" s="88">
        <f>IF(COUNTIF(CAPA3_EXPANSION!$D$56:CM$56,"&gt;="&amp;9)=0,0,SUP_CONTROL!$C$8*IF($B16="V",1,IF($B16="D",(1+SUP_VOLUMEN!$C$26),(1+SUP_VOLUMEN!$C$27)))*INDEX(SUP_C3_EXPANSION!$C$6:$F$6,MIN(4,COUNTIF(CAPA3_EXPANSION!$D$56:CM$56,"&gt;="&amp;9)))*CAPA3_EXPANSION!CM$36)</f>
        <v>2828.2799999999997</v>
      </c>
      <c r="CN16" s="88">
        <f>IF(COUNTIF(CAPA3_EXPANSION!$D$56:CN$56,"&gt;="&amp;9)=0,0,SUP_CONTROL!$C$8*IF($B16="V",1,IF($B16="D",(1+SUP_VOLUMEN!$C$26),(1+SUP_VOLUMEN!$C$27)))*INDEX(SUP_C3_EXPANSION!$C$6:$F$6,MIN(4,COUNTIF(CAPA3_EXPANSION!$D$56:CN$56,"&gt;="&amp;9)))*CAPA3_EXPANSION!CN$36)</f>
        <v>2828.2799999999997</v>
      </c>
      <c r="CO16" s="88">
        <f>IF(COUNTIF(CAPA3_EXPANSION!$D$56:CO$56,"&gt;="&amp;9)=0,0,SUP_CONTROL!$C$8*IF($B16="V",1,IF($B16="D",(1+SUP_VOLUMEN!$C$26),(1+SUP_VOLUMEN!$C$27)))*INDEX(SUP_C3_EXPANSION!$C$6:$F$6,MIN(4,COUNTIF(CAPA3_EXPANSION!$D$56:CO$56,"&gt;="&amp;9)))*CAPA3_EXPANSION!CO$36)</f>
        <v>2828.2799999999997</v>
      </c>
      <c r="CP16" s="88">
        <f>IF(COUNTIF(CAPA3_EXPANSION!$D$56:CP$56,"&gt;="&amp;9)=0,0,SUP_CONTROL!$C$8*IF($B16="V",1,IF($B16="D",(1+SUP_VOLUMEN!$C$26),(1+SUP_VOLUMEN!$C$27)))*INDEX(SUP_C3_EXPANSION!$C$6:$F$6,MIN(4,COUNTIF(CAPA3_EXPANSION!$D$56:CP$56,"&gt;="&amp;9)))*CAPA3_EXPANSION!CP$36)</f>
        <v>2828.2799999999997</v>
      </c>
      <c r="CQ16" s="88">
        <f>IF(COUNTIF(CAPA3_EXPANSION!$D$56:CQ$56,"&gt;="&amp;9)=0,0,SUP_CONTROL!$C$8*IF($B16="V",1,IF($B16="D",(1+SUP_VOLUMEN!$C$26),(1+SUP_VOLUMEN!$C$27)))*INDEX(SUP_C3_EXPANSION!$C$6:$F$6,MIN(4,COUNTIF(CAPA3_EXPANSION!$D$56:CQ$56,"&gt;="&amp;9)))*CAPA3_EXPANSION!CQ$36)</f>
        <v>2828.2799999999997</v>
      </c>
      <c r="CR16" s="88">
        <f>IF(COUNTIF(CAPA3_EXPANSION!$D$56:CR$56,"&gt;="&amp;9)=0,0,SUP_CONTROL!$C$8*IF($B16="V",1,IF($B16="D",(1+SUP_VOLUMEN!$C$26),(1+SUP_VOLUMEN!$C$27)))*INDEX(SUP_C3_EXPANSION!$C$6:$F$6,MIN(4,COUNTIF(CAPA3_EXPANSION!$D$56:CR$56,"&gt;="&amp;9)))*CAPA3_EXPANSION!CR$36)</f>
        <v>2828.2799999999997</v>
      </c>
      <c r="CS16" s="88">
        <f>IF(COUNTIF(CAPA3_EXPANSION!$D$56:CS$56,"&gt;="&amp;9)=0,0,SUP_CONTROL!$C$8*IF($B16="V",1,IF($B16="D",(1+SUP_VOLUMEN!$C$26),(1+SUP_VOLUMEN!$C$27)))*INDEX(SUP_C3_EXPANSION!$C$6:$F$6,MIN(4,COUNTIF(CAPA3_EXPANSION!$D$56:CS$56,"&gt;="&amp;9)))*CAPA3_EXPANSION!CS$36)</f>
        <v>2828.2799999999997</v>
      </c>
      <c r="CT16" s="88">
        <f>IF(COUNTIF(CAPA3_EXPANSION!$D$56:CT$56,"&gt;="&amp;9)=0,0,SUP_CONTROL!$C$8*IF($B16="V",1,IF($B16="D",(1+SUP_VOLUMEN!$C$26),(1+SUP_VOLUMEN!$C$27)))*INDEX(SUP_C3_EXPANSION!$C$6:$F$6,MIN(4,COUNTIF(CAPA3_EXPANSION!$D$56:CT$56,"&gt;="&amp;9)))*CAPA3_EXPANSION!CT$36)</f>
        <v>2828.2799999999997</v>
      </c>
      <c r="CU16" s="88">
        <f>IF(COUNTIF(CAPA3_EXPANSION!$D$56:CU$56,"&gt;="&amp;9)=0,0,SUP_CONTROL!$C$8*IF($B16="V",1,IF($B16="D",(1+SUP_VOLUMEN!$C$26),(1+SUP_VOLUMEN!$C$27)))*INDEX(SUP_C3_EXPANSION!$C$6:$F$6,MIN(4,COUNTIF(CAPA3_EXPANSION!$D$56:CU$56,"&gt;="&amp;9)))*CAPA3_EXPANSION!CU$36)</f>
        <v>2828.2799999999997</v>
      </c>
      <c r="CV16" s="88">
        <f>IF(COUNTIF(CAPA3_EXPANSION!$D$56:CV$56,"&gt;="&amp;9)=0,0,SUP_CONTROL!$C$8*IF($B16="V",1,IF($B16="D",(1+SUP_VOLUMEN!$C$26),(1+SUP_VOLUMEN!$C$27)))*INDEX(SUP_C3_EXPANSION!$C$6:$F$6,MIN(4,COUNTIF(CAPA3_EXPANSION!$D$56:CV$56,"&gt;="&amp;9)))*CAPA3_EXPANSION!CV$36)</f>
        <v>2828.2799999999997</v>
      </c>
      <c r="CW16" s="88">
        <f>IF(COUNTIF(CAPA3_EXPANSION!$D$56:CW$56,"&gt;="&amp;9)=0,0,SUP_CONTROL!$C$8*IF($B16="V",1,IF($B16="D",(1+SUP_VOLUMEN!$C$26),(1+SUP_VOLUMEN!$C$27)))*INDEX(SUP_C3_EXPANSION!$C$6:$F$6,MIN(4,COUNTIF(CAPA3_EXPANSION!$D$56:CW$56,"&gt;="&amp;9)))*CAPA3_EXPANSION!CW$36)</f>
        <v>2828.2799999999997</v>
      </c>
      <c r="CX16" s="88">
        <f>IF(COUNTIF(CAPA3_EXPANSION!$D$56:CX$56,"&gt;="&amp;9)=0,0,SUP_CONTROL!$C$8*IF($B16="V",1,IF($B16="D",(1+SUP_VOLUMEN!$C$26),(1+SUP_VOLUMEN!$C$27)))*INDEX(SUP_C3_EXPANSION!$C$6:$F$6,MIN(4,COUNTIF(CAPA3_EXPANSION!$D$56:CX$56,"&gt;="&amp;9)))*CAPA3_EXPANSION!CX$36)</f>
        <v>2828.2799999999997</v>
      </c>
      <c r="CY16" s="88">
        <f>IF(COUNTIF(CAPA3_EXPANSION!$D$56:CY$56,"&gt;="&amp;9)=0,0,SUP_CONTROL!$C$8*IF($B16="V",1,IF($B16="D",(1+SUP_VOLUMEN!$C$26),(1+SUP_VOLUMEN!$C$27)))*INDEX(SUP_C3_EXPANSION!$C$6:$F$6,MIN(4,COUNTIF(CAPA3_EXPANSION!$D$56:CY$56,"&gt;="&amp;9)))*CAPA3_EXPANSION!CY$36)</f>
        <v>2828.2799999999997</v>
      </c>
      <c r="CZ16" s="88">
        <f>IF(COUNTIF(CAPA3_EXPANSION!$D$56:CZ$56,"&gt;="&amp;9)=0,0,SUP_CONTROL!$C$8*IF($B16="V",1,IF($B16="D",(1+SUP_VOLUMEN!$C$26),(1+SUP_VOLUMEN!$C$27)))*INDEX(SUP_C3_EXPANSION!$C$6:$F$6,MIN(4,COUNTIF(CAPA3_EXPANSION!$D$56:CZ$56,"&gt;="&amp;9)))*CAPA3_EXPANSION!CZ$36)</f>
        <v>2828.2799999999997</v>
      </c>
      <c r="DA16" s="88">
        <f>IF(COUNTIF(CAPA3_EXPANSION!$D$56:DA$56,"&gt;="&amp;9)=0,0,SUP_CONTROL!$C$8*IF($B16="V",1,IF($B16="D",(1+SUP_VOLUMEN!$C$26),(1+SUP_VOLUMEN!$C$27)))*INDEX(SUP_C3_EXPANSION!$C$6:$F$6,MIN(4,COUNTIF(CAPA3_EXPANSION!$D$56:DA$56,"&gt;="&amp;9)))*CAPA3_EXPANSION!DA$36)</f>
        <v>2828.2799999999997</v>
      </c>
      <c r="DB16" s="88">
        <f>IF(COUNTIF(CAPA3_EXPANSION!$D$56:DB$56,"&gt;="&amp;9)=0,0,SUP_CONTROL!$C$8*IF($B16="V",1,IF($B16="D",(1+SUP_VOLUMEN!$C$26),(1+SUP_VOLUMEN!$C$27)))*INDEX(SUP_C3_EXPANSION!$C$6:$F$6,MIN(4,COUNTIF(CAPA3_EXPANSION!$D$56:DB$56,"&gt;="&amp;9)))*CAPA3_EXPANSION!DB$36)</f>
        <v>2828.2799999999997</v>
      </c>
      <c r="DC16" s="88">
        <f>IF(COUNTIF(CAPA3_EXPANSION!$D$56:DC$56,"&gt;="&amp;9)=0,0,SUP_CONTROL!$C$8*IF($B16="V",1,IF($B16="D",(1+SUP_VOLUMEN!$C$26),(1+SUP_VOLUMEN!$C$27)))*INDEX(SUP_C3_EXPANSION!$C$6:$F$6,MIN(4,COUNTIF(CAPA3_EXPANSION!$D$56:DC$56,"&gt;="&amp;9)))*CAPA3_EXPANSION!DC$36)</f>
        <v>2828.2799999999997</v>
      </c>
      <c r="DD16" s="88">
        <f>IF(COUNTIF(CAPA3_EXPANSION!$D$56:DD$56,"&gt;="&amp;9)=0,0,SUP_CONTROL!$C$8*IF($B16="V",1,IF($B16="D",(1+SUP_VOLUMEN!$C$26),(1+SUP_VOLUMEN!$C$27)))*INDEX(SUP_C3_EXPANSION!$C$6:$F$6,MIN(4,COUNTIF(CAPA3_EXPANSION!$D$56:DD$56,"&gt;="&amp;9)))*CAPA3_EXPANSION!DD$36)</f>
        <v>2828.2799999999997</v>
      </c>
      <c r="DE16" s="88">
        <f>IF(COUNTIF(CAPA3_EXPANSION!$D$56:DE$56,"&gt;="&amp;9)=0,0,SUP_CONTROL!$C$8*IF($B16="V",1,IF($B16="D",(1+SUP_VOLUMEN!$C$26),(1+SUP_VOLUMEN!$C$27)))*INDEX(SUP_C3_EXPANSION!$C$6:$F$6,MIN(4,COUNTIF(CAPA3_EXPANSION!$D$56:DE$56,"&gt;="&amp;9)))*CAPA3_EXPANSION!DE$36)</f>
        <v>2828.2799999999997</v>
      </c>
      <c r="DF16" s="88">
        <f>IF(COUNTIF(CAPA3_EXPANSION!$D$56:DF$56,"&gt;="&amp;9)=0,0,SUP_CONTROL!$C$8*IF($B16="V",1,IF($B16="D",(1+SUP_VOLUMEN!$C$26),(1+SUP_VOLUMEN!$C$27)))*INDEX(SUP_C3_EXPANSION!$C$6:$F$6,MIN(4,COUNTIF(CAPA3_EXPANSION!$D$56:DF$56,"&gt;="&amp;9)))*CAPA3_EXPANSION!DF$36)</f>
        <v>2828.2799999999997</v>
      </c>
      <c r="DG16" s="88">
        <f>IF(COUNTIF(CAPA3_EXPANSION!$D$56:DG$56,"&gt;="&amp;9)=0,0,SUP_CONTROL!$C$8*IF($B16="V",1,IF($B16="D",(1+SUP_VOLUMEN!$C$26),(1+SUP_VOLUMEN!$C$27)))*INDEX(SUP_C3_EXPANSION!$C$6:$F$6,MIN(4,COUNTIF(CAPA3_EXPANSION!$D$56:DG$56,"&gt;="&amp;9)))*CAPA3_EXPANSION!DG$36)</f>
        <v>2828.2799999999997</v>
      </c>
      <c r="DH16" s="88">
        <f>IF(COUNTIF(CAPA3_EXPANSION!$D$56:DH$56,"&gt;="&amp;9)=0,0,SUP_CONTROL!$C$8*IF($B16="V",1,IF($B16="D",(1+SUP_VOLUMEN!$C$26),(1+SUP_VOLUMEN!$C$27)))*INDEX(SUP_C3_EXPANSION!$C$6:$F$6,MIN(4,COUNTIF(CAPA3_EXPANSION!$D$56:DH$56,"&gt;="&amp;9)))*CAPA3_EXPANSION!DH$36)</f>
        <v>2828.2799999999997</v>
      </c>
      <c r="DI16" s="88">
        <f>IF(COUNTIF(CAPA3_EXPANSION!$D$56:DI$56,"&gt;="&amp;9)=0,0,SUP_CONTROL!$C$8*IF($B16="V",1,IF($B16="D",(1+SUP_VOLUMEN!$C$26),(1+SUP_VOLUMEN!$C$27)))*INDEX(SUP_C3_EXPANSION!$C$6:$F$6,MIN(4,COUNTIF(CAPA3_EXPANSION!$D$56:DI$56,"&gt;="&amp;9)))*CAPA3_EXPANSION!DI$36)</f>
        <v>2828.2799999999997</v>
      </c>
      <c r="DJ16" s="88">
        <f>IF(COUNTIF(CAPA3_EXPANSION!$D$56:DJ$56,"&gt;="&amp;9)=0,0,SUP_CONTROL!$C$8*IF($B16="V",1,IF($B16="D",(1+SUP_VOLUMEN!$C$26),(1+SUP_VOLUMEN!$C$27)))*INDEX(SUP_C3_EXPANSION!$C$6:$F$6,MIN(4,COUNTIF(CAPA3_EXPANSION!$D$56:DJ$56,"&gt;="&amp;9)))*CAPA3_EXPANSION!DJ$36)</f>
        <v>2828.2799999999997</v>
      </c>
      <c r="DK16" s="88">
        <f>IF(COUNTIF(CAPA3_EXPANSION!$D$56:DK$56,"&gt;="&amp;9)=0,0,SUP_CONTROL!$C$8*IF($B16="V",1,IF($B16="D",(1+SUP_VOLUMEN!$C$26),(1+SUP_VOLUMEN!$C$27)))*INDEX(SUP_C3_EXPANSION!$C$6:$F$6,MIN(4,COUNTIF(CAPA3_EXPANSION!$D$56:DK$56,"&gt;="&amp;9)))*CAPA3_EXPANSION!DK$36)</f>
        <v>2828.2799999999997</v>
      </c>
      <c r="DL16" s="88">
        <f>IF(COUNTIF(CAPA3_EXPANSION!$D$56:DL$56,"&gt;="&amp;9)=0,0,SUP_CONTROL!$C$8*IF($B16="V",1,IF($B16="D",(1+SUP_VOLUMEN!$C$26),(1+SUP_VOLUMEN!$C$27)))*INDEX(SUP_C3_EXPANSION!$C$6:$F$6,MIN(4,COUNTIF(CAPA3_EXPANSION!$D$56:DL$56,"&gt;="&amp;9)))*CAPA3_EXPANSION!DL$36)</f>
        <v>2828.2799999999997</v>
      </c>
      <c r="DM16" s="88">
        <f>IF(COUNTIF(CAPA3_EXPANSION!$D$56:DM$56,"&gt;="&amp;9)=0,0,SUP_CONTROL!$C$8*IF($B16="V",1,IF($B16="D",(1+SUP_VOLUMEN!$C$26),(1+SUP_VOLUMEN!$C$27)))*INDEX(SUP_C3_EXPANSION!$C$6:$F$6,MIN(4,COUNTIF(CAPA3_EXPANSION!$D$56:DM$56,"&gt;="&amp;9)))*CAPA3_EXPANSION!DM$36)</f>
        <v>2828.2799999999997</v>
      </c>
      <c r="DN16" s="88">
        <f>IF(COUNTIF(CAPA3_EXPANSION!$D$56:DN$56,"&gt;="&amp;9)=0,0,SUP_CONTROL!$C$8*IF($B16="V",1,IF($B16="D",(1+SUP_VOLUMEN!$C$26),(1+SUP_VOLUMEN!$C$27)))*INDEX(SUP_C3_EXPANSION!$C$6:$F$6,MIN(4,COUNTIF(CAPA3_EXPANSION!$D$56:DN$56,"&gt;="&amp;9)))*CAPA3_EXPANSION!DN$36)</f>
        <v>2828.2799999999997</v>
      </c>
      <c r="DO16" s="88">
        <f>IF(COUNTIF(CAPA3_EXPANSION!$D$56:DO$56,"&gt;="&amp;9)=0,0,SUP_CONTROL!$C$8*IF($B16="V",1,IF($B16="D",(1+SUP_VOLUMEN!$C$26),(1+SUP_VOLUMEN!$C$27)))*INDEX(SUP_C3_EXPANSION!$C$6:$F$6,MIN(4,COUNTIF(CAPA3_EXPANSION!$D$56:DO$56,"&gt;="&amp;9)))*CAPA3_EXPANSION!DO$36)</f>
        <v>2828.2799999999997</v>
      </c>
      <c r="DP16" s="88">
        <f>IF(COUNTIF(CAPA3_EXPANSION!$D$56:DP$56,"&gt;="&amp;9)=0,0,SUP_CONTROL!$C$8*IF($B16="V",1,IF($B16="D",(1+SUP_VOLUMEN!$C$26),(1+SUP_VOLUMEN!$C$27)))*INDEX(SUP_C3_EXPANSION!$C$6:$F$6,MIN(4,COUNTIF(CAPA3_EXPANSION!$D$56:DP$56,"&gt;="&amp;9)))*CAPA3_EXPANSION!DP$36)</f>
        <v>2828.2799999999997</v>
      </c>
      <c r="DQ16" s="88">
        <f>IF(COUNTIF(CAPA3_EXPANSION!$D$56:DQ$56,"&gt;="&amp;9)=0,0,SUP_CONTROL!$C$8*IF($B16="V",1,IF($B16="D",(1+SUP_VOLUMEN!$C$26),(1+SUP_VOLUMEN!$C$27)))*INDEX(SUP_C3_EXPANSION!$C$6:$F$6,MIN(4,COUNTIF(CAPA3_EXPANSION!$D$56:DQ$56,"&gt;="&amp;9)))*CAPA3_EXPANSION!DQ$36)</f>
        <v>2828.2799999999997</v>
      </c>
      <c r="DR16" s="88">
        <f>IF(COUNTIF(CAPA3_EXPANSION!$D$56:DR$56,"&gt;="&amp;9)=0,0,SUP_CONTROL!$C$8*IF($B16="V",1,IF($B16="D",(1+SUP_VOLUMEN!$C$26),(1+SUP_VOLUMEN!$C$27)))*INDEX(SUP_C3_EXPANSION!$C$6:$F$6,MIN(4,COUNTIF(CAPA3_EXPANSION!$D$56:DR$56,"&gt;="&amp;9)))*CAPA3_EXPANSION!DR$36)</f>
        <v>2828.2799999999997</v>
      </c>
      <c r="DS16" s="88">
        <f>IF(COUNTIF(CAPA3_EXPANSION!$D$56:DS$56,"&gt;="&amp;9)=0,0,SUP_CONTROL!$C$8*IF($B16="V",1,IF($B16="D",(1+SUP_VOLUMEN!$C$26),(1+SUP_VOLUMEN!$C$27)))*INDEX(SUP_C3_EXPANSION!$C$6:$F$6,MIN(4,COUNTIF(CAPA3_EXPANSION!$D$56:DS$56,"&gt;="&amp;9)))*CAPA3_EXPANSION!DS$36)</f>
        <v>2828.2799999999997</v>
      </c>
    </row>
    <row r="17" spans="1:123" ht="15" customHeight="1" x14ac:dyDescent="0.2">
      <c r="A17" s="88">
        <v>20</v>
      </c>
      <c r="B17" s="104" t="str">
        <f>SUP_C3_EXPANSION!B29</f>
        <v>V</v>
      </c>
      <c r="C17" s="73">
        <f>SUP_C3_EXPANSION!G29</f>
        <v>35</v>
      </c>
      <c r="D17" s="88">
        <f>IF(COUNTIF(CAPA3_EXPANSION!$D$56:D$56,"&gt;="&amp;10)=0,0,SUP_CONTROL!$C$8*IF($B17="V",1,IF($B17="D",(1+SUP_VOLUMEN!$C$26),(1+SUP_VOLUMEN!$C$27)))*INDEX(SUP_C3_EXPANSION!$C$6:$F$6,MIN(4,COUNTIF(CAPA3_EXPANSION!$D$56:D$56,"&gt;="&amp;10)))*CAPA3_EXPANSION!D$36)</f>
        <v>0</v>
      </c>
      <c r="E17" s="88">
        <f>IF(COUNTIF(CAPA3_EXPANSION!$D$56:E$56,"&gt;="&amp;10)=0,0,SUP_CONTROL!$C$8*IF($B17="V",1,IF($B17="D",(1+SUP_VOLUMEN!$C$26),(1+SUP_VOLUMEN!$C$27)))*INDEX(SUP_C3_EXPANSION!$C$6:$F$6,MIN(4,COUNTIF(CAPA3_EXPANSION!$D$56:E$56,"&gt;="&amp;10)))*CAPA3_EXPANSION!E$36)</f>
        <v>0</v>
      </c>
      <c r="F17" s="88">
        <f>IF(COUNTIF(CAPA3_EXPANSION!$D$56:F$56,"&gt;="&amp;10)=0,0,SUP_CONTROL!$C$8*IF($B17="V",1,IF($B17="D",(1+SUP_VOLUMEN!$C$26),(1+SUP_VOLUMEN!$C$27)))*INDEX(SUP_C3_EXPANSION!$C$6:$F$6,MIN(4,COUNTIF(CAPA3_EXPANSION!$D$56:F$56,"&gt;="&amp;10)))*CAPA3_EXPANSION!F$36)</f>
        <v>0</v>
      </c>
      <c r="G17" s="88">
        <f>IF(COUNTIF(CAPA3_EXPANSION!$D$56:G$56,"&gt;="&amp;10)=0,0,SUP_CONTROL!$C$8*IF($B17="V",1,IF($B17="D",(1+SUP_VOLUMEN!$C$26),(1+SUP_VOLUMEN!$C$27)))*INDEX(SUP_C3_EXPANSION!$C$6:$F$6,MIN(4,COUNTIF(CAPA3_EXPANSION!$D$56:G$56,"&gt;="&amp;10)))*CAPA3_EXPANSION!G$36)</f>
        <v>0</v>
      </c>
      <c r="H17" s="88">
        <f>IF(COUNTIF(CAPA3_EXPANSION!$D$56:H$56,"&gt;="&amp;10)=0,0,SUP_CONTROL!$C$8*IF($B17="V",1,IF($B17="D",(1+SUP_VOLUMEN!$C$26),(1+SUP_VOLUMEN!$C$27)))*INDEX(SUP_C3_EXPANSION!$C$6:$F$6,MIN(4,COUNTIF(CAPA3_EXPANSION!$D$56:H$56,"&gt;="&amp;10)))*CAPA3_EXPANSION!H$36)</f>
        <v>0</v>
      </c>
      <c r="I17" s="88">
        <f>IF(COUNTIF(CAPA3_EXPANSION!$D$56:I$56,"&gt;="&amp;10)=0,0,SUP_CONTROL!$C$8*IF($B17="V",1,IF($B17="D",(1+SUP_VOLUMEN!$C$26),(1+SUP_VOLUMEN!$C$27)))*INDEX(SUP_C3_EXPANSION!$C$6:$F$6,MIN(4,COUNTIF(CAPA3_EXPANSION!$D$56:I$56,"&gt;="&amp;10)))*CAPA3_EXPANSION!I$36)</f>
        <v>0</v>
      </c>
      <c r="J17" s="88">
        <f>IF(COUNTIF(CAPA3_EXPANSION!$D$56:J$56,"&gt;="&amp;10)=0,0,SUP_CONTROL!$C$8*IF($B17="V",1,IF($B17="D",(1+SUP_VOLUMEN!$C$26),(1+SUP_VOLUMEN!$C$27)))*INDEX(SUP_C3_EXPANSION!$C$6:$F$6,MIN(4,COUNTIF(CAPA3_EXPANSION!$D$56:J$56,"&gt;="&amp;10)))*CAPA3_EXPANSION!J$36)</f>
        <v>0</v>
      </c>
      <c r="K17" s="88">
        <f>IF(COUNTIF(CAPA3_EXPANSION!$D$56:K$56,"&gt;="&amp;10)=0,0,SUP_CONTROL!$C$8*IF($B17="V",1,IF($B17="D",(1+SUP_VOLUMEN!$C$26),(1+SUP_VOLUMEN!$C$27)))*INDEX(SUP_C3_EXPANSION!$C$6:$F$6,MIN(4,COUNTIF(CAPA3_EXPANSION!$D$56:K$56,"&gt;="&amp;10)))*CAPA3_EXPANSION!K$36)</f>
        <v>0</v>
      </c>
      <c r="L17" s="88">
        <f>IF(COUNTIF(CAPA3_EXPANSION!$D$56:L$56,"&gt;="&amp;10)=0,0,SUP_CONTROL!$C$8*IF($B17="V",1,IF($B17="D",(1+SUP_VOLUMEN!$C$26),(1+SUP_VOLUMEN!$C$27)))*INDEX(SUP_C3_EXPANSION!$C$6:$F$6,MIN(4,COUNTIF(CAPA3_EXPANSION!$D$56:L$56,"&gt;="&amp;10)))*CAPA3_EXPANSION!L$36)</f>
        <v>0</v>
      </c>
      <c r="M17" s="88">
        <f>IF(COUNTIF(CAPA3_EXPANSION!$D$56:M$56,"&gt;="&amp;10)=0,0,SUP_CONTROL!$C$8*IF($B17="V",1,IF($B17="D",(1+SUP_VOLUMEN!$C$26),(1+SUP_VOLUMEN!$C$27)))*INDEX(SUP_C3_EXPANSION!$C$6:$F$6,MIN(4,COUNTIF(CAPA3_EXPANSION!$D$56:M$56,"&gt;="&amp;10)))*CAPA3_EXPANSION!M$36)</f>
        <v>0</v>
      </c>
      <c r="N17" s="88">
        <f>IF(COUNTIF(CAPA3_EXPANSION!$D$56:N$56,"&gt;="&amp;10)=0,0,SUP_CONTROL!$C$8*IF($B17="V",1,IF($B17="D",(1+SUP_VOLUMEN!$C$26),(1+SUP_VOLUMEN!$C$27)))*INDEX(SUP_C3_EXPANSION!$C$6:$F$6,MIN(4,COUNTIF(CAPA3_EXPANSION!$D$56:N$56,"&gt;="&amp;10)))*CAPA3_EXPANSION!N$36)</f>
        <v>0</v>
      </c>
      <c r="O17" s="88">
        <f>IF(COUNTIF(CAPA3_EXPANSION!$D$56:O$56,"&gt;="&amp;10)=0,0,SUP_CONTROL!$C$8*IF($B17="V",1,IF($B17="D",(1+SUP_VOLUMEN!$C$26),(1+SUP_VOLUMEN!$C$27)))*INDEX(SUP_C3_EXPANSION!$C$6:$F$6,MIN(4,COUNTIF(CAPA3_EXPANSION!$D$56:O$56,"&gt;="&amp;10)))*CAPA3_EXPANSION!O$36)</f>
        <v>0</v>
      </c>
      <c r="P17" s="88">
        <f>IF(COUNTIF(CAPA3_EXPANSION!$D$56:P$56,"&gt;="&amp;10)=0,0,SUP_CONTROL!$C$8*IF($B17="V",1,IF($B17="D",(1+SUP_VOLUMEN!$C$26),(1+SUP_VOLUMEN!$C$27)))*INDEX(SUP_C3_EXPANSION!$C$6:$F$6,MIN(4,COUNTIF(CAPA3_EXPANSION!$D$56:P$56,"&gt;="&amp;10)))*CAPA3_EXPANSION!P$36)</f>
        <v>0</v>
      </c>
      <c r="Q17" s="88">
        <f>IF(COUNTIF(CAPA3_EXPANSION!$D$56:Q$56,"&gt;="&amp;10)=0,0,SUP_CONTROL!$C$8*IF($B17="V",1,IF($B17="D",(1+SUP_VOLUMEN!$C$26),(1+SUP_VOLUMEN!$C$27)))*INDEX(SUP_C3_EXPANSION!$C$6:$F$6,MIN(4,COUNTIF(CAPA3_EXPANSION!$D$56:Q$56,"&gt;="&amp;10)))*CAPA3_EXPANSION!Q$36)</f>
        <v>0</v>
      </c>
      <c r="R17" s="88">
        <f>IF(COUNTIF(CAPA3_EXPANSION!$D$56:R$56,"&gt;="&amp;10)=0,0,SUP_CONTROL!$C$8*IF($B17="V",1,IF($B17="D",(1+SUP_VOLUMEN!$C$26),(1+SUP_VOLUMEN!$C$27)))*INDEX(SUP_C3_EXPANSION!$C$6:$F$6,MIN(4,COUNTIF(CAPA3_EXPANSION!$D$56:R$56,"&gt;="&amp;10)))*CAPA3_EXPANSION!R$36)</f>
        <v>0</v>
      </c>
      <c r="S17" s="88">
        <f>IF(COUNTIF(CAPA3_EXPANSION!$D$56:S$56,"&gt;="&amp;10)=0,0,SUP_CONTROL!$C$8*IF($B17="V",1,IF($B17="D",(1+SUP_VOLUMEN!$C$26),(1+SUP_VOLUMEN!$C$27)))*INDEX(SUP_C3_EXPANSION!$C$6:$F$6,MIN(4,COUNTIF(CAPA3_EXPANSION!$D$56:S$56,"&gt;="&amp;10)))*CAPA3_EXPANSION!S$36)</f>
        <v>0</v>
      </c>
      <c r="T17" s="88">
        <f>IF(COUNTIF(CAPA3_EXPANSION!$D$56:T$56,"&gt;="&amp;10)=0,0,SUP_CONTROL!$C$8*IF($B17="V",1,IF($B17="D",(1+SUP_VOLUMEN!$C$26),(1+SUP_VOLUMEN!$C$27)))*INDEX(SUP_C3_EXPANSION!$C$6:$F$6,MIN(4,COUNTIF(CAPA3_EXPANSION!$D$56:T$56,"&gt;="&amp;10)))*CAPA3_EXPANSION!T$36)</f>
        <v>0</v>
      </c>
      <c r="U17" s="88">
        <f>IF(COUNTIF(CAPA3_EXPANSION!$D$56:U$56,"&gt;="&amp;10)=0,0,SUP_CONTROL!$C$8*IF($B17="V",1,IF($B17="D",(1+SUP_VOLUMEN!$C$26),(1+SUP_VOLUMEN!$C$27)))*INDEX(SUP_C3_EXPANSION!$C$6:$F$6,MIN(4,COUNTIF(CAPA3_EXPANSION!$D$56:U$56,"&gt;="&amp;10)))*CAPA3_EXPANSION!U$36)</f>
        <v>0</v>
      </c>
      <c r="V17" s="88">
        <f>IF(COUNTIF(CAPA3_EXPANSION!$D$56:V$56,"&gt;="&amp;10)=0,0,SUP_CONTROL!$C$8*IF($B17="V",1,IF($B17="D",(1+SUP_VOLUMEN!$C$26),(1+SUP_VOLUMEN!$C$27)))*INDEX(SUP_C3_EXPANSION!$C$6:$F$6,MIN(4,COUNTIF(CAPA3_EXPANSION!$D$56:V$56,"&gt;="&amp;10)))*CAPA3_EXPANSION!V$36)</f>
        <v>0</v>
      </c>
      <c r="W17" s="88">
        <f>IF(COUNTIF(CAPA3_EXPANSION!$D$56:W$56,"&gt;="&amp;10)=0,0,SUP_CONTROL!$C$8*IF($B17="V",1,IF($B17="D",(1+SUP_VOLUMEN!$C$26),(1+SUP_VOLUMEN!$C$27)))*INDEX(SUP_C3_EXPANSION!$C$6:$F$6,MIN(4,COUNTIF(CAPA3_EXPANSION!$D$56:W$56,"&gt;="&amp;10)))*CAPA3_EXPANSION!W$36)</f>
        <v>0</v>
      </c>
      <c r="X17" s="88">
        <f>IF(COUNTIF(CAPA3_EXPANSION!$D$56:X$56,"&gt;="&amp;10)=0,0,SUP_CONTROL!$C$8*IF($B17="V",1,IF($B17="D",(1+SUP_VOLUMEN!$C$26),(1+SUP_VOLUMEN!$C$27)))*INDEX(SUP_C3_EXPANSION!$C$6:$F$6,MIN(4,COUNTIF(CAPA3_EXPANSION!$D$56:X$56,"&gt;="&amp;10)))*CAPA3_EXPANSION!X$36)</f>
        <v>0</v>
      </c>
      <c r="Y17" s="88">
        <f>IF(COUNTIF(CAPA3_EXPANSION!$D$56:Y$56,"&gt;="&amp;10)=0,0,SUP_CONTROL!$C$8*IF($B17="V",1,IF($B17="D",(1+SUP_VOLUMEN!$C$26),(1+SUP_VOLUMEN!$C$27)))*INDEX(SUP_C3_EXPANSION!$C$6:$F$6,MIN(4,COUNTIF(CAPA3_EXPANSION!$D$56:Y$56,"&gt;="&amp;10)))*CAPA3_EXPANSION!Y$36)</f>
        <v>0</v>
      </c>
      <c r="Z17" s="88">
        <f>IF(COUNTIF(CAPA3_EXPANSION!$D$56:Z$56,"&gt;="&amp;10)=0,0,SUP_CONTROL!$C$8*IF($B17="V",1,IF($B17="D",(1+SUP_VOLUMEN!$C$26),(1+SUP_VOLUMEN!$C$27)))*INDEX(SUP_C3_EXPANSION!$C$6:$F$6,MIN(4,COUNTIF(CAPA3_EXPANSION!$D$56:Z$56,"&gt;="&amp;10)))*CAPA3_EXPANSION!Z$36)</f>
        <v>0</v>
      </c>
      <c r="AA17" s="88">
        <f>IF(COUNTIF(CAPA3_EXPANSION!$D$56:AA$56,"&gt;="&amp;10)=0,0,SUP_CONTROL!$C$8*IF($B17="V",1,IF($B17="D",(1+SUP_VOLUMEN!$C$26),(1+SUP_VOLUMEN!$C$27)))*INDEX(SUP_C3_EXPANSION!$C$6:$F$6,MIN(4,COUNTIF(CAPA3_EXPANSION!$D$56:AA$56,"&gt;="&amp;10)))*CAPA3_EXPANSION!AA$36)</f>
        <v>0</v>
      </c>
      <c r="AB17" s="88">
        <f>IF(COUNTIF(CAPA3_EXPANSION!$D$56:AB$56,"&gt;="&amp;10)=0,0,SUP_CONTROL!$C$8*IF($B17="V",1,IF($B17="D",(1+SUP_VOLUMEN!$C$26),(1+SUP_VOLUMEN!$C$27)))*INDEX(SUP_C3_EXPANSION!$C$6:$F$6,MIN(4,COUNTIF(CAPA3_EXPANSION!$D$56:AB$56,"&gt;="&amp;10)))*CAPA3_EXPANSION!AB$36)</f>
        <v>0</v>
      </c>
      <c r="AC17" s="88">
        <f>IF(COUNTIF(CAPA3_EXPANSION!$D$56:AC$56,"&gt;="&amp;10)=0,0,SUP_CONTROL!$C$8*IF($B17="V",1,IF($B17="D",(1+SUP_VOLUMEN!$C$26),(1+SUP_VOLUMEN!$C$27)))*INDEX(SUP_C3_EXPANSION!$C$6:$F$6,MIN(4,COUNTIF(CAPA3_EXPANSION!$D$56:AC$56,"&gt;="&amp;10)))*CAPA3_EXPANSION!AC$36)</f>
        <v>0</v>
      </c>
      <c r="AD17" s="88">
        <f>IF(COUNTIF(CAPA3_EXPANSION!$D$56:AD$56,"&gt;="&amp;10)=0,0,SUP_CONTROL!$C$8*IF($B17="V",1,IF($B17="D",(1+SUP_VOLUMEN!$C$26),(1+SUP_VOLUMEN!$C$27)))*INDEX(SUP_C3_EXPANSION!$C$6:$F$6,MIN(4,COUNTIF(CAPA3_EXPANSION!$D$56:AD$56,"&gt;="&amp;10)))*CAPA3_EXPANSION!AD$36)</f>
        <v>0</v>
      </c>
      <c r="AE17" s="88">
        <f>IF(COUNTIF(CAPA3_EXPANSION!$D$56:AE$56,"&gt;="&amp;10)=0,0,SUP_CONTROL!$C$8*IF($B17="V",1,IF($B17="D",(1+SUP_VOLUMEN!$C$26),(1+SUP_VOLUMEN!$C$27)))*INDEX(SUP_C3_EXPANSION!$C$6:$F$6,MIN(4,COUNTIF(CAPA3_EXPANSION!$D$56:AE$56,"&gt;="&amp;10)))*CAPA3_EXPANSION!AE$36)</f>
        <v>0</v>
      </c>
      <c r="AF17" s="88">
        <f>IF(COUNTIF(CAPA3_EXPANSION!$D$56:AF$56,"&gt;="&amp;10)=0,0,SUP_CONTROL!$C$8*IF($B17="V",1,IF($B17="D",(1+SUP_VOLUMEN!$C$26),(1+SUP_VOLUMEN!$C$27)))*INDEX(SUP_C3_EXPANSION!$C$6:$F$6,MIN(4,COUNTIF(CAPA3_EXPANSION!$D$56:AF$56,"&gt;="&amp;10)))*CAPA3_EXPANSION!AF$36)</f>
        <v>0</v>
      </c>
      <c r="AG17" s="88">
        <f>IF(COUNTIF(CAPA3_EXPANSION!$D$56:AG$56,"&gt;="&amp;10)=0,0,SUP_CONTROL!$C$8*IF($B17="V",1,IF($B17="D",(1+SUP_VOLUMEN!$C$26),(1+SUP_VOLUMEN!$C$27)))*INDEX(SUP_C3_EXPANSION!$C$6:$F$6,MIN(4,COUNTIF(CAPA3_EXPANSION!$D$56:AG$56,"&gt;="&amp;10)))*CAPA3_EXPANSION!AG$36)</f>
        <v>0</v>
      </c>
      <c r="AH17" s="88">
        <f>IF(COUNTIF(CAPA3_EXPANSION!$D$56:AH$56,"&gt;="&amp;10)=0,0,SUP_CONTROL!$C$8*IF($B17="V",1,IF($B17="D",(1+SUP_VOLUMEN!$C$26),(1+SUP_VOLUMEN!$C$27)))*INDEX(SUP_C3_EXPANSION!$C$6:$F$6,MIN(4,COUNTIF(CAPA3_EXPANSION!$D$56:AH$56,"&gt;="&amp;10)))*CAPA3_EXPANSION!AH$36)</f>
        <v>0</v>
      </c>
      <c r="AI17" s="88">
        <f>IF(COUNTIF(CAPA3_EXPANSION!$D$56:AI$56,"&gt;="&amp;10)=0,0,SUP_CONTROL!$C$8*IF($B17="V",1,IF($B17="D",(1+SUP_VOLUMEN!$C$26),(1+SUP_VOLUMEN!$C$27)))*INDEX(SUP_C3_EXPANSION!$C$6:$F$6,MIN(4,COUNTIF(CAPA3_EXPANSION!$D$56:AI$56,"&gt;="&amp;10)))*CAPA3_EXPANSION!AI$36)</f>
        <v>0</v>
      </c>
      <c r="AJ17" s="88">
        <f>IF(COUNTIF(CAPA3_EXPANSION!$D$56:AJ$56,"&gt;="&amp;10)=0,0,SUP_CONTROL!$C$8*IF($B17="V",1,IF($B17="D",(1+SUP_VOLUMEN!$C$26),(1+SUP_VOLUMEN!$C$27)))*INDEX(SUP_C3_EXPANSION!$C$6:$F$6,MIN(4,COUNTIF(CAPA3_EXPANSION!$D$56:AJ$56,"&gt;="&amp;10)))*CAPA3_EXPANSION!AJ$36)</f>
        <v>0</v>
      </c>
      <c r="AK17" s="88">
        <f>IF(COUNTIF(CAPA3_EXPANSION!$D$56:AK$56,"&gt;="&amp;10)=0,0,SUP_CONTROL!$C$8*IF($B17="V",1,IF($B17="D",(1+SUP_VOLUMEN!$C$26),(1+SUP_VOLUMEN!$C$27)))*INDEX(SUP_C3_EXPANSION!$C$6:$F$6,MIN(4,COUNTIF(CAPA3_EXPANSION!$D$56:AK$56,"&gt;="&amp;10)))*CAPA3_EXPANSION!AK$36)</f>
        <v>0</v>
      </c>
      <c r="AL17" s="88">
        <f>IF(COUNTIF(CAPA3_EXPANSION!$D$56:AL$56,"&gt;="&amp;10)=0,0,SUP_CONTROL!$C$8*IF($B17="V",1,IF($B17="D",(1+SUP_VOLUMEN!$C$26),(1+SUP_VOLUMEN!$C$27)))*INDEX(SUP_C3_EXPANSION!$C$6:$F$6,MIN(4,COUNTIF(CAPA3_EXPANSION!$D$56:AL$56,"&gt;="&amp;10)))*CAPA3_EXPANSION!AL$36)</f>
        <v>0</v>
      </c>
      <c r="AM17" s="88">
        <f>IF(COUNTIF(CAPA3_EXPANSION!$D$56:AM$56,"&gt;="&amp;10)=0,0,SUP_CONTROL!$C$8*IF($B17="V",1,IF($B17="D",(1+SUP_VOLUMEN!$C$26),(1+SUP_VOLUMEN!$C$27)))*INDEX(SUP_C3_EXPANSION!$C$6:$F$6,MIN(4,COUNTIF(CAPA3_EXPANSION!$D$56:AM$56,"&gt;="&amp;10)))*CAPA3_EXPANSION!AM$36)</f>
        <v>0</v>
      </c>
      <c r="AN17" s="88">
        <f>IF(COUNTIF(CAPA3_EXPANSION!$D$56:AN$56,"&gt;="&amp;10)=0,0,SUP_CONTROL!$C$8*IF($B17="V",1,IF($B17="D",(1+SUP_VOLUMEN!$C$26),(1+SUP_VOLUMEN!$C$27)))*INDEX(SUP_C3_EXPANSION!$C$6:$F$6,MIN(4,COUNTIF(CAPA3_EXPANSION!$D$56:AN$56,"&gt;="&amp;10)))*CAPA3_EXPANSION!AN$36)</f>
        <v>0</v>
      </c>
      <c r="AO17" s="88">
        <f>IF(COUNTIF(CAPA3_EXPANSION!$D$56:AO$56,"&gt;="&amp;10)=0,0,SUP_CONTROL!$C$8*IF($B17="V",1,IF($B17="D",(1+SUP_VOLUMEN!$C$26),(1+SUP_VOLUMEN!$C$27)))*INDEX(SUP_C3_EXPANSION!$C$6:$F$6,MIN(4,COUNTIF(CAPA3_EXPANSION!$D$56:AO$56,"&gt;="&amp;10)))*CAPA3_EXPANSION!AO$36)</f>
        <v>2068.1797500000002</v>
      </c>
      <c r="AP17" s="88">
        <f>IF(COUNTIF(CAPA3_EXPANSION!$D$56:AP$56,"&gt;="&amp;10)=0,0,SUP_CONTROL!$C$8*IF($B17="V",1,IF($B17="D",(1+SUP_VOLUMEN!$C$26),(1+SUP_VOLUMEN!$C$27)))*INDEX(SUP_C3_EXPANSION!$C$6:$F$6,MIN(4,COUNTIF(CAPA3_EXPANSION!$D$56:AP$56,"&gt;="&amp;10)))*CAPA3_EXPANSION!AP$36)</f>
        <v>2545.4520000000002</v>
      </c>
      <c r="AQ17" s="88">
        <f>IF(COUNTIF(CAPA3_EXPANSION!$D$56:AQ$56,"&gt;="&amp;10)=0,0,SUP_CONTROL!$C$8*IF($B17="V",1,IF($B17="D",(1+SUP_VOLUMEN!$C$26),(1+SUP_VOLUMEN!$C$27)))*INDEX(SUP_C3_EXPANSION!$C$6:$F$6,MIN(4,COUNTIF(CAPA3_EXPANSION!$D$56:AQ$56,"&gt;="&amp;10)))*CAPA3_EXPANSION!AQ$36)</f>
        <v>2863.6334999999999</v>
      </c>
      <c r="AR17" s="88">
        <f>IF(COUNTIF(CAPA3_EXPANSION!$D$56:AR$56,"&gt;="&amp;10)=0,0,SUP_CONTROL!$C$8*IF($B17="V",1,IF($B17="D",(1+SUP_VOLUMEN!$C$26),(1+SUP_VOLUMEN!$C$27)))*INDEX(SUP_C3_EXPANSION!$C$6:$F$6,MIN(4,COUNTIF(CAPA3_EXPANSION!$D$56:AR$56,"&gt;="&amp;10)))*CAPA3_EXPANSION!AR$36)</f>
        <v>3181.8150000000001</v>
      </c>
      <c r="AS17" s="88">
        <f>IF(COUNTIF(CAPA3_EXPANSION!$D$56:AS$56,"&gt;="&amp;10)=0,0,SUP_CONTROL!$C$8*IF($B17="V",1,IF($B17="D",(1+SUP_VOLUMEN!$C$26),(1+SUP_VOLUMEN!$C$27)))*INDEX(SUP_C3_EXPANSION!$C$6:$F$6,MIN(4,COUNTIF(CAPA3_EXPANSION!$D$56:AS$56,"&gt;="&amp;10)))*CAPA3_EXPANSION!AS$36)</f>
        <v>3181.8150000000001</v>
      </c>
      <c r="AT17" s="88">
        <f>IF(COUNTIF(CAPA3_EXPANSION!$D$56:AT$56,"&gt;="&amp;10)=0,0,SUP_CONTROL!$C$8*IF($B17="V",1,IF($B17="D",(1+SUP_VOLUMEN!$C$26),(1+SUP_VOLUMEN!$C$27)))*INDEX(SUP_C3_EXPANSION!$C$6:$F$6,MIN(4,COUNTIF(CAPA3_EXPANSION!$D$56:AT$56,"&gt;="&amp;10)))*CAPA3_EXPANSION!AT$36)</f>
        <v>3181.8150000000001</v>
      </c>
      <c r="AU17" s="88">
        <f>IF(COUNTIF(CAPA3_EXPANSION!$D$56:AU$56,"&gt;="&amp;10)=0,0,SUP_CONTROL!$C$8*IF($B17="V",1,IF($B17="D",(1+SUP_VOLUMEN!$C$26),(1+SUP_VOLUMEN!$C$27)))*INDEX(SUP_C3_EXPANSION!$C$6:$F$6,MIN(4,COUNTIF(CAPA3_EXPANSION!$D$56:AU$56,"&gt;="&amp;10)))*CAPA3_EXPANSION!AU$36)</f>
        <v>3181.8150000000001</v>
      </c>
      <c r="AV17" s="88">
        <f>IF(COUNTIF(CAPA3_EXPANSION!$D$56:AV$56,"&gt;="&amp;10)=0,0,SUP_CONTROL!$C$8*IF($B17="V",1,IF($B17="D",(1+SUP_VOLUMEN!$C$26),(1+SUP_VOLUMEN!$C$27)))*INDEX(SUP_C3_EXPANSION!$C$6:$F$6,MIN(4,COUNTIF(CAPA3_EXPANSION!$D$56:AV$56,"&gt;="&amp;10)))*CAPA3_EXPANSION!AV$36)</f>
        <v>3181.8150000000001</v>
      </c>
      <c r="AW17" s="88">
        <f>IF(COUNTIF(CAPA3_EXPANSION!$D$56:AW$56,"&gt;="&amp;10)=0,0,SUP_CONTROL!$C$8*IF($B17="V",1,IF($B17="D",(1+SUP_VOLUMEN!$C$26),(1+SUP_VOLUMEN!$C$27)))*INDEX(SUP_C3_EXPANSION!$C$6:$F$6,MIN(4,COUNTIF(CAPA3_EXPANSION!$D$56:AW$56,"&gt;="&amp;10)))*CAPA3_EXPANSION!AW$36)</f>
        <v>3181.8150000000001</v>
      </c>
      <c r="AX17" s="88">
        <f>IF(COUNTIF(CAPA3_EXPANSION!$D$56:AX$56,"&gt;="&amp;10)=0,0,SUP_CONTROL!$C$8*IF($B17="V",1,IF($B17="D",(1+SUP_VOLUMEN!$C$26),(1+SUP_VOLUMEN!$C$27)))*INDEX(SUP_C3_EXPANSION!$C$6:$F$6,MIN(4,COUNTIF(CAPA3_EXPANSION!$D$56:AX$56,"&gt;="&amp;10)))*CAPA3_EXPANSION!AX$36)</f>
        <v>3181.8150000000001</v>
      </c>
      <c r="AY17" s="88">
        <f>IF(COUNTIF(CAPA3_EXPANSION!$D$56:AY$56,"&gt;="&amp;10)=0,0,SUP_CONTROL!$C$8*IF($B17="V",1,IF($B17="D",(1+SUP_VOLUMEN!$C$26),(1+SUP_VOLUMEN!$C$27)))*INDEX(SUP_C3_EXPANSION!$C$6:$F$6,MIN(4,COUNTIF(CAPA3_EXPANSION!$D$56:AY$56,"&gt;="&amp;10)))*CAPA3_EXPANSION!AY$36)</f>
        <v>3181.8150000000001</v>
      </c>
      <c r="AZ17" s="88">
        <f>IF(COUNTIF(CAPA3_EXPANSION!$D$56:AZ$56,"&gt;="&amp;10)=0,0,SUP_CONTROL!$C$8*IF($B17="V",1,IF($B17="D",(1+SUP_VOLUMEN!$C$26),(1+SUP_VOLUMEN!$C$27)))*INDEX(SUP_C3_EXPANSION!$C$6:$F$6,MIN(4,COUNTIF(CAPA3_EXPANSION!$D$56:AZ$56,"&gt;="&amp;10)))*CAPA3_EXPANSION!AZ$36)</f>
        <v>3181.8150000000001</v>
      </c>
      <c r="BA17" s="88">
        <f>IF(COUNTIF(CAPA3_EXPANSION!$D$56:BA$56,"&gt;="&amp;10)=0,0,SUP_CONTROL!$C$8*IF($B17="V",1,IF($B17="D",(1+SUP_VOLUMEN!$C$26),(1+SUP_VOLUMEN!$C$27)))*INDEX(SUP_C3_EXPANSION!$C$6:$F$6,MIN(4,COUNTIF(CAPA3_EXPANSION!$D$56:BA$56,"&gt;="&amp;10)))*CAPA3_EXPANSION!BA$36)</f>
        <v>3097.6400000000003</v>
      </c>
      <c r="BB17" s="88">
        <f>IF(COUNTIF(CAPA3_EXPANSION!$D$56:BB$56,"&gt;="&amp;10)=0,0,SUP_CONTROL!$C$8*IF($B17="V",1,IF($B17="D",(1+SUP_VOLUMEN!$C$26),(1+SUP_VOLUMEN!$C$27)))*INDEX(SUP_C3_EXPANSION!$C$6:$F$6,MIN(4,COUNTIF(CAPA3_EXPANSION!$D$56:BB$56,"&gt;="&amp;10)))*CAPA3_EXPANSION!BB$36)</f>
        <v>3097.6400000000003</v>
      </c>
      <c r="BC17" s="88">
        <f>IF(COUNTIF(CAPA3_EXPANSION!$D$56:BC$56,"&gt;="&amp;10)=0,0,SUP_CONTROL!$C$8*IF($B17="V",1,IF($B17="D",(1+SUP_VOLUMEN!$C$26),(1+SUP_VOLUMEN!$C$27)))*INDEX(SUP_C3_EXPANSION!$C$6:$F$6,MIN(4,COUNTIF(CAPA3_EXPANSION!$D$56:BC$56,"&gt;="&amp;10)))*CAPA3_EXPANSION!BC$36)</f>
        <v>3097.6400000000003</v>
      </c>
      <c r="BD17" s="88">
        <f>IF(COUNTIF(CAPA3_EXPANSION!$D$56:BD$56,"&gt;="&amp;10)=0,0,SUP_CONTROL!$C$8*IF($B17="V",1,IF($B17="D",(1+SUP_VOLUMEN!$C$26),(1+SUP_VOLUMEN!$C$27)))*INDEX(SUP_C3_EXPANSION!$C$6:$F$6,MIN(4,COUNTIF(CAPA3_EXPANSION!$D$56:BD$56,"&gt;="&amp;10)))*CAPA3_EXPANSION!BD$36)</f>
        <v>3097.6400000000003</v>
      </c>
      <c r="BE17" s="88">
        <f>IF(COUNTIF(CAPA3_EXPANSION!$D$56:BE$56,"&gt;="&amp;10)=0,0,SUP_CONTROL!$C$8*IF($B17="V",1,IF($B17="D",(1+SUP_VOLUMEN!$C$26),(1+SUP_VOLUMEN!$C$27)))*INDEX(SUP_C3_EXPANSION!$C$6:$F$6,MIN(4,COUNTIF(CAPA3_EXPANSION!$D$56:BE$56,"&gt;="&amp;10)))*CAPA3_EXPANSION!BE$36)</f>
        <v>3097.6400000000003</v>
      </c>
      <c r="BF17" s="88">
        <f>IF(COUNTIF(CAPA3_EXPANSION!$D$56:BF$56,"&gt;="&amp;10)=0,0,SUP_CONTROL!$C$8*IF($B17="V",1,IF($B17="D",(1+SUP_VOLUMEN!$C$26),(1+SUP_VOLUMEN!$C$27)))*INDEX(SUP_C3_EXPANSION!$C$6:$F$6,MIN(4,COUNTIF(CAPA3_EXPANSION!$D$56:BF$56,"&gt;="&amp;10)))*CAPA3_EXPANSION!BF$36)</f>
        <v>3030.3</v>
      </c>
      <c r="BG17" s="88">
        <f>IF(COUNTIF(CAPA3_EXPANSION!$D$56:BG$56,"&gt;="&amp;10)=0,0,SUP_CONTROL!$C$8*IF($B17="V",1,IF($B17="D",(1+SUP_VOLUMEN!$C$26),(1+SUP_VOLUMEN!$C$27)))*INDEX(SUP_C3_EXPANSION!$C$6:$F$6,MIN(4,COUNTIF(CAPA3_EXPANSION!$D$56:BG$56,"&gt;="&amp;10)))*CAPA3_EXPANSION!BG$36)</f>
        <v>3030.3</v>
      </c>
      <c r="BH17" s="88">
        <f>IF(COUNTIF(CAPA3_EXPANSION!$D$56:BH$56,"&gt;="&amp;10)=0,0,SUP_CONTROL!$C$8*IF($B17="V",1,IF($B17="D",(1+SUP_VOLUMEN!$C$26),(1+SUP_VOLUMEN!$C$27)))*INDEX(SUP_C3_EXPANSION!$C$6:$F$6,MIN(4,COUNTIF(CAPA3_EXPANSION!$D$56:BH$56,"&gt;="&amp;10)))*CAPA3_EXPANSION!BH$36)</f>
        <v>3030.3</v>
      </c>
      <c r="BI17" s="88">
        <f>IF(COUNTIF(CAPA3_EXPANSION!$D$56:BI$56,"&gt;="&amp;10)=0,0,SUP_CONTROL!$C$8*IF($B17="V",1,IF($B17="D",(1+SUP_VOLUMEN!$C$26),(1+SUP_VOLUMEN!$C$27)))*INDEX(SUP_C3_EXPANSION!$C$6:$F$6,MIN(4,COUNTIF(CAPA3_EXPANSION!$D$56:BI$56,"&gt;="&amp;10)))*CAPA3_EXPANSION!BI$36)</f>
        <v>3030.3</v>
      </c>
      <c r="BJ17" s="88">
        <f>IF(COUNTIF(CAPA3_EXPANSION!$D$56:BJ$56,"&gt;="&amp;10)=0,0,SUP_CONTROL!$C$8*IF($B17="V",1,IF($B17="D",(1+SUP_VOLUMEN!$C$26),(1+SUP_VOLUMEN!$C$27)))*INDEX(SUP_C3_EXPANSION!$C$6:$F$6,MIN(4,COUNTIF(CAPA3_EXPANSION!$D$56:BJ$56,"&gt;="&amp;10)))*CAPA3_EXPANSION!BJ$36)</f>
        <v>3030.3</v>
      </c>
      <c r="BK17" s="88">
        <f>IF(COUNTIF(CAPA3_EXPANSION!$D$56:BK$56,"&gt;="&amp;10)=0,0,SUP_CONTROL!$C$8*IF($B17="V",1,IF($B17="D",(1+SUP_VOLUMEN!$C$26),(1+SUP_VOLUMEN!$C$27)))*INDEX(SUP_C3_EXPANSION!$C$6:$F$6,MIN(4,COUNTIF(CAPA3_EXPANSION!$D$56:BK$56,"&gt;="&amp;10)))*CAPA3_EXPANSION!BK$36)</f>
        <v>2962.96</v>
      </c>
      <c r="BL17" s="88">
        <f>IF(COUNTIF(CAPA3_EXPANSION!$D$56:BL$56,"&gt;="&amp;10)=0,0,SUP_CONTROL!$C$8*IF($B17="V",1,IF($B17="D",(1+SUP_VOLUMEN!$C$26),(1+SUP_VOLUMEN!$C$27)))*INDEX(SUP_C3_EXPANSION!$C$6:$F$6,MIN(4,COUNTIF(CAPA3_EXPANSION!$D$56:BL$56,"&gt;="&amp;10)))*CAPA3_EXPANSION!BL$36)</f>
        <v>2962.96</v>
      </c>
      <c r="BM17" s="88">
        <f>IF(COUNTIF(CAPA3_EXPANSION!$D$56:BM$56,"&gt;="&amp;10)=0,0,SUP_CONTROL!$C$8*IF($B17="V",1,IF($B17="D",(1+SUP_VOLUMEN!$C$26),(1+SUP_VOLUMEN!$C$27)))*INDEX(SUP_C3_EXPANSION!$C$6:$F$6,MIN(4,COUNTIF(CAPA3_EXPANSION!$D$56:BM$56,"&gt;="&amp;10)))*CAPA3_EXPANSION!BM$36)</f>
        <v>2962.96</v>
      </c>
      <c r="BN17" s="88">
        <f>IF(COUNTIF(CAPA3_EXPANSION!$D$56:BN$56,"&gt;="&amp;10)=0,0,SUP_CONTROL!$C$8*IF($B17="V",1,IF($B17="D",(1+SUP_VOLUMEN!$C$26),(1+SUP_VOLUMEN!$C$27)))*INDEX(SUP_C3_EXPANSION!$C$6:$F$6,MIN(4,COUNTIF(CAPA3_EXPANSION!$D$56:BN$56,"&gt;="&amp;10)))*CAPA3_EXPANSION!BN$36)</f>
        <v>2962.96</v>
      </c>
      <c r="BO17" s="88">
        <f>IF(COUNTIF(CAPA3_EXPANSION!$D$56:BO$56,"&gt;="&amp;10)=0,0,SUP_CONTROL!$C$8*IF($B17="V",1,IF($B17="D",(1+SUP_VOLUMEN!$C$26),(1+SUP_VOLUMEN!$C$27)))*INDEX(SUP_C3_EXPANSION!$C$6:$F$6,MIN(4,COUNTIF(CAPA3_EXPANSION!$D$56:BO$56,"&gt;="&amp;10)))*CAPA3_EXPANSION!BO$36)</f>
        <v>2962.96</v>
      </c>
      <c r="BP17" s="88">
        <f>IF(COUNTIF(CAPA3_EXPANSION!$D$56:BP$56,"&gt;="&amp;10)=0,0,SUP_CONTROL!$C$8*IF($B17="V",1,IF($B17="D",(1+SUP_VOLUMEN!$C$26),(1+SUP_VOLUMEN!$C$27)))*INDEX(SUP_C3_EXPANSION!$C$6:$F$6,MIN(4,COUNTIF(CAPA3_EXPANSION!$D$56:BP$56,"&gt;="&amp;10)))*CAPA3_EXPANSION!BP$36)</f>
        <v>2912.4549999999999</v>
      </c>
      <c r="BQ17" s="88">
        <f>IF(COUNTIF(CAPA3_EXPANSION!$D$56:BQ$56,"&gt;="&amp;10)=0,0,SUP_CONTROL!$C$8*IF($B17="V",1,IF($B17="D",(1+SUP_VOLUMEN!$C$26),(1+SUP_VOLUMEN!$C$27)))*INDEX(SUP_C3_EXPANSION!$C$6:$F$6,MIN(4,COUNTIF(CAPA3_EXPANSION!$D$56:BQ$56,"&gt;="&amp;10)))*CAPA3_EXPANSION!BQ$36)</f>
        <v>2912.4549999999999</v>
      </c>
      <c r="BR17" s="88">
        <f>IF(COUNTIF(CAPA3_EXPANSION!$D$56:BR$56,"&gt;="&amp;10)=0,0,SUP_CONTROL!$C$8*IF($B17="V",1,IF($B17="D",(1+SUP_VOLUMEN!$C$26),(1+SUP_VOLUMEN!$C$27)))*INDEX(SUP_C3_EXPANSION!$C$6:$F$6,MIN(4,COUNTIF(CAPA3_EXPANSION!$D$56:BR$56,"&gt;="&amp;10)))*CAPA3_EXPANSION!BR$36)</f>
        <v>2912.4549999999999</v>
      </c>
      <c r="BS17" s="88">
        <f>IF(COUNTIF(CAPA3_EXPANSION!$D$56:BS$56,"&gt;="&amp;10)=0,0,SUP_CONTROL!$C$8*IF($B17="V",1,IF($B17="D",(1+SUP_VOLUMEN!$C$26),(1+SUP_VOLUMEN!$C$27)))*INDEX(SUP_C3_EXPANSION!$C$6:$F$6,MIN(4,COUNTIF(CAPA3_EXPANSION!$D$56:BS$56,"&gt;="&amp;10)))*CAPA3_EXPANSION!BS$36)</f>
        <v>2912.4549999999999</v>
      </c>
      <c r="BT17" s="88">
        <f>IF(COUNTIF(CAPA3_EXPANSION!$D$56:BT$56,"&gt;="&amp;10)=0,0,SUP_CONTROL!$C$8*IF($B17="V",1,IF($B17="D",(1+SUP_VOLUMEN!$C$26),(1+SUP_VOLUMEN!$C$27)))*INDEX(SUP_C3_EXPANSION!$C$6:$F$6,MIN(4,COUNTIF(CAPA3_EXPANSION!$D$56:BT$56,"&gt;="&amp;10)))*CAPA3_EXPANSION!BT$36)</f>
        <v>2912.4549999999999</v>
      </c>
      <c r="BU17" s="88">
        <f>IF(COUNTIF(CAPA3_EXPANSION!$D$56:BU$56,"&gt;="&amp;10)=0,0,SUP_CONTROL!$C$8*IF($B17="V",1,IF($B17="D",(1+SUP_VOLUMEN!$C$26),(1+SUP_VOLUMEN!$C$27)))*INDEX(SUP_C3_EXPANSION!$C$6:$F$6,MIN(4,COUNTIF(CAPA3_EXPANSION!$D$56:BU$56,"&gt;="&amp;10)))*CAPA3_EXPANSION!BU$36)</f>
        <v>2861.95</v>
      </c>
      <c r="BV17" s="88">
        <f>IF(COUNTIF(CAPA3_EXPANSION!$D$56:BV$56,"&gt;="&amp;10)=0,0,SUP_CONTROL!$C$8*IF($B17="V",1,IF($B17="D",(1+SUP_VOLUMEN!$C$26),(1+SUP_VOLUMEN!$C$27)))*INDEX(SUP_C3_EXPANSION!$C$6:$F$6,MIN(4,COUNTIF(CAPA3_EXPANSION!$D$56:BV$56,"&gt;="&amp;10)))*CAPA3_EXPANSION!BV$36)</f>
        <v>2861.95</v>
      </c>
      <c r="BW17" s="88">
        <f>IF(COUNTIF(CAPA3_EXPANSION!$D$56:BW$56,"&gt;="&amp;10)=0,0,SUP_CONTROL!$C$8*IF($B17="V",1,IF($B17="D",(1+SUP_VOLUMEN!$C$26),(1+SUP_VOLUMEN!$C$27)))*INDEX(SUP_C3_EXPANSION!$C$6:$F$6,MIN(4,COUNTIF(CAPA3_EXPANSION!$D$56:BW$56,"&gt;="&amp;10)))*CAPA3_EXPANSION!BW$36)</f>
        <v>2861.95</v>
      </c>
      <c r="BX17" s="88">
        <f>IF(COUNTIF(CAPA3_EXPANSION!$D$56:BX$56,"&gt;="&amp;10)=0,0,SUP_CONTROL!$C$8*IF($B17="V",1,IF($B17="D",(1+SUP_VOLUMEN!$C$26),(1+SUP_VOLUMEN!$C$27)))*INDEX(SUP_C3_EXPANSION!$C$6:$F$6,MIN(4,COUNTIF(CAPA3_EXPANSION!$D$56:BX$56,"&gt;="&amp;10)))*CAPA3_EXPANSION!BX$36)</f>
        <v>2861.95</v>
      </c>
      <c r="BY17" s="88">
        <f>IF(COUNTIF(CAPA3_EXPANSION!$D$56:BY$56,"&gt;="&amp;10)=0,0,SUP_CONTROL!$C$8*IF($B17="V",1,IF($B17="D",(1+SUP_VOLUMEN!$C$26),(1+SUP_VOLUMEN!$C$27)))*INDEX(SUP_C3_EXPANSION!$C$6:$F$6,MIN(4,COUNTIF(CAPA3_EXPANSION!$D$56:BY$56,"&gt;="&amp;10)))*CAPA3_EXPANSION!BY$36)</f>
        <v>2861.95</v>
      </c>
      <c r="BZ17" s="88">
        <f>IF(COUNTIF(CAPA3_EXPANSION!$D$56:BZ$56,"&gt;="&amp;10)=0,0,SUP_CONTROL!$C$8*IF($B17="V",1,IF($B17="D",(1+SUP_VOLUMEN!$C$26),(1+SUP_VOLUMEN!$C$27)))*INDEX(SUP_C3_EXPANSION!$C$6:$F$6,MIN(4,COUNTIF(CAPA3_EXPANSION!$D$56:BZ$56,"&gt;="&amp;10)))*CAPA3_EXPANSION!BZ$36)</f>
        <v>2828.2799999999997</v>
      </c>
      <c r="CA17" s="88">
        <f>IF(COUNTIF(CAPA3_EXPANSION!$D$56:CA$56,"&gt;="&amp;10)=0,0,SUP_CONTROL!$C$8*IF($B17="V",1,IF($B17="D",(1+SUP_VOLUMEN!$C$26),(1+SUP_VOLUMEN!$C$27)))*INDEX(SUP_C3_EXPANSION!$C$6:$F$6,MIN(4,COUNTIF(CAPA3_EXPANSION!$D$56:CA$56,"&gt;="&amp;10)))*CAPA3_EXPANSION!CA$36)</f>
        <v>2828.2799999999997</v>
      </c>
      <c r="CB17" s="88">
        <f>IF(COUNTIF(CAPA3_EXPANSION!$D$56:CB$56,"&gt;="&amp;10)=0,0,SUP_CONTROL!$C$8*IF($B17="V",1,IF($B17="D",(1+SUP_VOLUMEN!$C$26),(1+SUP_VOLUMEN!$C$27)))*INDEX(SUP_C3_EXPANSION!$C$6:$F$6,MIN(4,COUNTIF(CAPA3_EXPANSION!$D$56:CB$56,"&gt;="&amp;10)))*CAPA3_EXPANSION!CB$36)</f>
        <v>2828.2799999999997</v>
      </c>
      <c r="CC17" s="88">
        <f>IF(COUNTIF(CAPA3_EXPANSION!$D$56:CC$56,"&gt;="&amp;10)=0,0,SUP_CONTROL!$C$8*IF($B17="V",1,IF($B17="D",(1+SUP_VOLUMEN!$C$26),(1+SUP_VOLUMEN!$C$27)))*INDEX(SUP_C3_EXPANSION!$C$6:$F$6,MIN(4,COUNTIF(CAPA3_EXPANSION!$D$56:CC$56,"&gt;="&amp;10)))*CAPA3_EXPANSION!CC$36)</f>
        <v>2828.2799999999997</v>
      </c>
      <c r="CD17" s="88">
        <f>IF(COUNTIF(CAPA3_EXPANSION!$D$56:CD$56,"&gt;="&amp;10)=0,0,SUP_CONTROL!$C$8*IF($B17="V",1,IF($B17="D",(1+SUP_VOLUMEN!$C$26),(1+SUP_VOLUMEN!$C$27)))*INDEX(SUP_C3_EXPANSION!$C$6:$F$6,MIN(4,COUNTIF(CAPA3_EXPANSION!$D$56:CD$56,"&gt;="&amp;10)))*CAPA3_EXPANSION!CD$36)</f>
        <v>2828.2799999999997</v>
      </c>
      <c r="CE17" s="88">
        <f>IF(COUNTIF(CAPA3_EXPANSION!$D$56:CE$56,"&gt;="&amp;10)=0,0,SUP_CONTROL!$C$8*IF($B17="V",1,IF($B17="D",(1+SUP_VOLUMEN!$C$26),(1+SUP_VOLUMEN!$C$27)))*INDEX(SUP_C3_EXPANSION!$C$6:$F$6,MIN(4,COUNTIF(CAPA3_EXPANSION!$D$56:CE$56,"&gt;="&amp;10)))*CAPA3_EXPANSION!CE$36)</f>
        <v>2828.2799999999997</v>
      </c>
      <c r="CF17" s="88">
        <f>IF(COUNTIF(CAPA3_EXPANSION!$D$56:CF$56,"&gt;="&amp;10)=0,0,SUP_CONTROL!$C$8*IF($B17="V",1,IF($B17="D",(1+SUP_VOLUMEN!$C$26),(1+SUP_VOLUMEN!$C$27)))*INDEX(SUP_C3_EXPANSION!$C$6:$F$6,MIN(4,COUNTIF(CAPA3_EXPANSION!$D$56:CF$56,"&gt;="&amp;10)))*CAPA3_EXPANSION!CF$36)</f>
        <v>2828.2799999999997</v>
      </c>
      <c r="CG17" s="88">
        <f>IF(COUNTIF(CAPA3_EXPANSION!$D$56:CG$56,"&gt;="&amp;10)=0,0,SUP_CONTROL!$C$8*IF($B17="V",1,IF($B17="D",(1+SUP_VOLUMEN!$C$26),(1+SUP_VOLUMEN!$C$27)))*INDEX(SUP_C3_EXPANSION!$C$6:$F$6,MIN(4,COUNTIF(CAPA3_EXPANSION!$D$56:CG$56,"&gt;="&amp;10)))*CAPA3_EXPANSION!CG$36)</f>
        <v>2828.2799999999997</v>
      </c>
      <c r="CH17" s="88">
        <f>IF(COUNTIF(CAPA3_EXPANSION!$D$56:CH$56,"&gt;="&amp;10)=0,0,SUP_CONTROL!$C$8*IF($B17="V",1,IF($B17="D",(1+SUP_VOLUMEN!$C$26),(1+SUP_VOLUMEN!$C$27)))*INDEX(SUP_C3_EXPANSION!$C$6:$F$6,MIN(4,COUNTIF(CAPA3_EXPANSION!$D$56:CH$56,"&gt;="&amp;10)))*CAPA3_EXPANSION!CH$36)</f>
        <v>2828.2799999999997</v>
      </c>
      <c r="CI17" s="88">
        <f>IF(COUNTIF(CAPA3_EXPANSION!$D$56:CI$56,"&gt;="&amp;10)=0,0,SUP_CONTROL!$C$8*IF($B17="V",1,IF($B17="D",(1+SUP_VOLUMEN!$C$26),(1+SUP_VOLUMEN!$C$27)))*INDEX(SUP_C3_EXPANSION!$C$6:$F$6,MIN(4,COUNTIF(CAPA3_EXPANSION!$D$56:CI$56,"&gt;="&amp;10)))*CAPA3_EXPANSION!CI$36)</f>
        <v>2828.2799999999997</v>
      </c>
      <c r="CJ17" s="88">
        <f>IF(COUNTIF(CAPA3_EXPANSION!$D$56:CJ$56,"&gt;="&amp;10)=0,0,SUP_CONTROL!$C$8*IF($B17="V",1,IF($B17="D",(1+SUP_VOLUMEN!$C$26),(1+SUP_VOLUMEN!$C$27)))*INDEX(SUP_C3_EXPANSION!$C$6:$F$6,MIN(4,COUNTIF(CAPA3_EXPANSION!$D$56:CJ$56,"&gt;="&amp;10)))*CAPA3_EXPANSION!CJ$36)</f>
        <v>2828.2799999999997</v>
      </c>
      <c r="CK17" s="88">
        <f>IF(COUNTIF(CAPA3_EXPANSION!$D$56:CK$56,"&gt;="&amp;10)=0,0,SUP_CONTROL!$C$8*IF($B17="V",1,IF($B17="D",(1+SUP_VOLUMEN!$C$26),(1+SUP_VOLUMEN!$C$27)))*INDEX(SUP_C3_EXPANSION!$C$6:$F$6,MIN(4,COUNTIF(CAPA3_EXPANSION!$D$56:CK$56,"&gt;="&amp;10)))*CAPA3_EXPANSION!CK$36)</f>
        <v>2828.2799999999997</v>
      </c>
      <c r="CL17" s="88">
        <f>IF(COUNTIF(CAPA3_EXPANSION!$D$56:CL$56,"&gt;="&amp;10)=0,0,SUP_CONTROL!$C$8*IF($B17="V",1,IF($B17="D",(1+SUP_VOLUMEN!$C$26),(1+SUP_VOLUMEN!$C$27)))*INDEX(SUP_C3_EXPANSION!$C$6:$F$6,MIN(4,COUNTIF(CAPA3_EXPANSION!$D$56:CL$56,"&gt;="&amp;10)))*CAPA3_EXPANSION!CL$36)</f>
        <v>2828.2799999999997</v>
      </c>
      <c r="CM17" s="88">
        <f>IF(COUNTIF(CAPA3_EXPANSION!$D$56:CM$56,"&gt;="&amp;10)=0,0,SUP_CONTROL!$C$8*IF($B17="V",1,IF($B17="D",(1+SUP_VOLUMEN!$C$26),(1+SUP_VOLUMEN!$C$27)))*INDEX(SUP_C3_EXPANSION!$C$6:$F$6,MIN(4,COUNTIF(CAPA3_EXPANSION!$D$56:CM$56,"&gt;="&amp;10)))*CAPA3_EXPANSION!CM$36)</f>
        <v>2828.2799999999997</v>
      </c>
      <c r="CN17" s="88">
        <f>IF(COUNTIF(CAPA3_EXPANSION!$D$56:CN$56,"&gt;="&amp;10)=0,0,SUP_CONTROL!$C$8*IF($B17="V",1,IF($B17="D",(1+SUP_VOLUMEN!$C$26),(1+SUP_VOLUMEN!$C$27)))*INDEX(SUP_C3_EXPANSION!$C$6:$F$6,MIN(4,COUNTIF(CAPA3_EXPANSION!$D$56:CN$56,"&gt;="&amp;10)))*CAPA3_EXPANSION!CN$36)</f>
        <v>2828.2799999999997</v>
      </c>
      <c r="CO17" s="88">
        <f>IF(COUNTIF(CAPA3_EXPANSION!$D$56:CO$56,"&gt;="&amp;10)=0,0,SUP_CONTROL!$C$8*IF($B17="V",1,IF($B17="D",(1+SUP_VOLUMEN!$C$26),(1+SUP_VOLUMEN!$C$27)))*INDEX(SUP_C3_EXPANSION!$C$6:$F$6,MIN(4,COUNTIF(CAPA3_EXPANSION!$D$56:CO$56,"&gt;="&amp;10)))*CAPA3_EXPANSION!CO$36)</f>
        <v>2828.2799999999997</v>
      </c>
      <c r="CP17" s="88">
        <f>IF(COUNTIF(CAPA3_EXPANSION!$D$56:CP$56,"&gt;="&amp;10)=0,0,SUP_CONTROL!$C$8*IF($B17="V",1,IF($B17="D",(1+SUP_VOLUMEN!$C$26),(1+SUP_VOLUMEN!$C$27)))*INDEX(SUP_C3_EXPANSION!$C$6:$F$6,MIN(4,COUNTIF(CAPA3_EXPANSION!$D$56:CP$56,"&gt;="&amp;10)))*CAPA3_EXPANSION!CP$36)</f>
        <v>2828.2799999999997</v>
      </c>
      <c r="CQ17" s="88">
        <f>IF(COUNTIF(CAPA3_EXPANSION!$D$56:CQ$56,"&gt;="&amp;10)=0,0,SUP_CONTROL!$C$8*IF($B17="V",1,IF($B17="D",(1+SUP_VOLUMEN!$C$26),(1+SUP_VOLUMEN!$C$27)))*INDEX(SUP_C3_EXPANSION!$C$6:$F$6,MIN(4,COUNTIF(CAPA3_EXPANSION!$D$56:CQ$56,"&gt;="&amp;10)))*CAPA3_EXPANSION!CQ$36)</f>
        <v>2828.2799999999997</v>
      </c>
      <c r="CR17" s="88">
        <f>IF(COUNTIF(CAPA3_EXPANSION!$D$56:CR$56,"&gt;="&amp;10)=0,0,SUP_CONTROL!$C$8*IF($B17="V",1,IF($B17="D",(1+SUP_VOLUMEN!$C$26),(1+SUP_VOLUMEN!$C$27)))*INDEX(SUP_C3_EXPANSION!$C$6:$F$6,MIN(4,COUNTIF(CAPA3_EXPANSION!$D$56:CR$56,"&gt;="&amp;10)))*CAPA3_EXPANSION!CR$36)</f>
        <v>2828.2799999999997</v>
      </c>
      <c r="CS17" s="88">
        <f>IF(COUNTIF(CAPA3_EXPANSION!$D$56:CS$56,"&gt;="&amp;10)=0,0,SUP_CONTROL!$C$8*IF($B17="V",1,IF($B17="D",(1+SUP_VOLUMEN!$C$26),(1+SUP_VOLUMEN!$C$27)))*INDEX(SUP_C3_EXPANSION!$C$6:$F$6,MIN(4,COUNTIF(CAPA3_EXPANSION!$D$56:CS$56,"&gt;="&amp;10)))*CAPA3_EXPANSION!CS$36)</f>
        <v>2828.2799999999997</v>
      </c>
      <c r="CT17" s="88">
        <f>IF(COUNTIF(CAPA3_EXPANSION!$D$56:CT$56,"&gt;="&amp;10)=0,0,SUP_CONTROL!$C$8*IF($B17="V",1,IF($B17="D",(1+SUP_VOLUMEN!$C$26),(1+SUP_VOLUMEN!$C$27)))*INDEX(SUP_C3_EXPANSION!$C$6:$F$6,MIN(4,COUNTIF(CAPA3_EXPANSION!$D$56:CT$56,"&gt;="&amp;10)))*CAPA3_EXPANSION!CT$36)</f>
        <v>2828.2799999999997</v>
      </c>
      <c r="CU17" s="88">
        <f>IF(COUNTIF(CAPA3_EXPANSION!$D$56:CU$56,"&gt;="&amp;10)=0,0,SUP_CONTROL!$C$8*IF($B17="V",1,IF($B17="D",(1+SUP_VOLUMEN!$C$26),(1+SUP_VOLUMEN!$C$27)))*INDEX(SUP_C3_EXPANSION!$C$6:$F$6,MIN(4,COUNTIF(CAPA3_EXPANSION!$D$56:CU$56,"&gt;="&amp;10)))*CAPA3_EXPANSION!CU$36)</f>
        <v>2828.2799999999997</v>
      </c>
      <c r="CV17" s="88">
        <f>IF(COUNTIF(CAPA3_EXPANSION!$D$56:CV$56,"&gt;="&amp;10)=0,0,SUP_CONTROL!$C$8*IF($B17="V",1,IF($B17="D",(1+SUP_VOLUMEN!$C$26),(1+SUP_VOLUMEN!$C$27)))*INDEX(SUP_C3_EXPANSION!$C$6:$F$6,MIN(4,COUNTIF(CAPA3_EXPANSION!$D$56:CV$56,"&gt;="&amp;10)))*CAPA3_EXPANSION!CV$36)</f>
        <v>2828.2799999999997</v>
      </c>
      <c r="CW17" s="88">
        <f>IF(COUNTIF(CAPA3_EXPANSION!$D$56:CW$56,"&gt;="&amp;10)=0,0,SUP_CONTROL!$C$8*IF($B17="V",1,IF($B17="D",(1+SUP_VOLUMEN!$C$26),(1+SUP_VOLUMEN!$C$27)))*INDEX(SUP_C3_EXPANSION!$C$6:$F$6,MIN(4,COUNTIF(CAPA3_EXPANSION!$D$56:CW$56,"&gt;="&amp;10)))*CAPA3_EXPANSION!CW$36)</f>
        <v>2828.2799999999997</v>
      </c>
      <c r="CX17" s="88">
        <f>IF(COUNTIF(CAPA3_EXPANSION!$D$56:CX$56,"&gt;="&amp;10)=0,0,SUP_CONTROL!$C$8*IF($B17="V",1,IF($B17="D",(1+SUP_VOLUMEN!$C$26),(1+SUP_VOLUMEN!$C$27)))*INDEX(SUP_C3_EXPANSION!$C$6:$F$6,MIN(4,COUNTIF(CAPA3_EXPANSION!$D$56:CX$56,"&gt;="&amp;10)))*CAPA3_EXPANSION!CX$36)</f>
        <v>2828.2799999999997</v>
      </c>
      <c r="CY17" s="88">
        <f>IF(COUNTIF(CAPA3_EXPANSION!$D$56:CY$56,"&gt;="&amp;10)=0,0,SUP_CONTROL!$C$8*IF($B17="V",1,IF($B17="D",(1+SUP_VOLUMEN!$C$26),(1+SUP_VOLUMEN!$C$27)))*INDEX(SUP_C3_EXPANSION!$C$6:$F$6,MIN(4,COUNTIF(CAPA3_EXPANSION!$D$56:CY$56,"&gt;="&amp;10)))*CAPA3_EXPANSION!CY$36)</f>
        <v>2828.2799999999997</v>
      </c>
      <c r="CZ17" s="88">
        <f>IF(COUNTIF(CAPA3_EXPANSION!$D$56:CZ$56,"&gt;="&amp;10)=0,0,SUP_CONTROL!$C$8*IF($B17="V",1,IF($B17="D",(1+SUP_VOLUMEN!$C$26),(1+SUP_VOLUMEN!$C$27)))*INDEX(SUP_C3_EXPANSION!$C$6:$F$6,MIN(4,COUNTIF(CAPA3_EXPANSION!$D$56:CZ$56,"&gt;="&amp;10)))*CAPA3_EXPANSION!CZ$36)</f>
        <v>2828.2799999999997</v>
      </c>
      <c r="DA17" s="88">
        <f>IF(COUNTIF(CAPA3_EXPANSION!$D$56:DA$56,"&gt;="&amp;10)=0,0,SUP_CONTROL!$C$8*IF($B17="V",1,IF($B17="D",(1+SUP_VOLUMEN!$C$26),(1+SUP_VOLUMEN!$C$27)))*INDEX(SUP_C3_EXPANSION!$C$6:$F$6,MIN(4,COUNTIF(CAPA3_EXPANSION!$D$56:DA$56,"&gt;="&amp;10)))*CAPA3_EXPANSION!DA$36)</f>
        <v>2828.2799999999997</v>
      </c>
      <c r="DB17" s="88">
        <f>IF(COUNTIF(CAPA3_EXPANSION!$D$56:DB$56,"&gt;="&amp;10)=0,0,SUP_CONTROL!$C$8*IF($B17="V",1,IF($B17="D",(1+SUP_VOLUMEN!$C$26),(1+SUP_VOLUMEN!$C$27)))*INDEX(SUP_C3_EXPANSION!$C$6:$F$6,MIN(4,COUNTIF(CAPA3_EXPANSION!$D$56:DB$56,"&gt;="&amp;10)))*CAPA3_EXPANSION!DB$36)</f>
        <v>2828.2799999999997</v>
      </c>
      <c r="DC17" s="88">
        <f>IF(COUNTIF(CAPA3_EXPANSION!$D$56:DC$56,"&gt;="&amp;10)=0,0,SUP_CONTROL!$C$8*IF($B17="V",1,IF($B17="D",(1+SUP_VOLUMEN!$C$26),(1+SUP_VOLUMEN!$C$27)))*INDEX(SUP_C3_EXPANSION!$C$6:$F$6,MIN(4,COUNTIF(CAPA3_EXPANSION!$D$56:DC$56,"&gt;="&amp;10)))*CAPA3_EXPANSION!DC$36)</f>
        <v>2828.2799999999997</v>
      </c>
      <c r="DD17" s="88">
        <f>IF(COUNTIF(CAPA3_EXPANSION!$D$56:DD$56,"&gt;="&amp;10)=0,0,SUP_CONTROL!$C$8*IF($B17="V",1,IF($B17="D",(1+SUP_VOLUMEN!$C$26),(1+SUP_VOLUMEN!$C$27)))*INDEX(SUP_C3_EXPANSION!$C$6:$F$6,MIN(4,COUNTIF(CAPA3_EXPANSION!$D$56:DD$56,"&gt;="&amp;10)))*CAPA3_EXPANSION!DD$36)</f>
        <v>2828.2799999999997</v>
      </c>
      <c r="DE17" s="88">
        <f>IF(COUNTIF(CAPA3_EXPANSION!$D$56:DE$56,"&gt;="&amp;10)=0,0,SUP_CONTROL!$C$8*IF($B17="V",1,IF($B17="D",(1+SUP_VOLUMEN!$C$26),(1+SUP_VOLUMEN!$C$27)))*INDEX(SUP_C3_EXPANSION!$C$6:$F$6,MIN(4,COUNTIF(CAPA3_EXPANSION!$D$56:DE$56,"&gt;="&amp;10)))*CAPA3_EXPANSION!DE$36)</f>
        <v>2828.2799999999997</v>
      </c>
      <c r="DF17" s="88">
        <f>IF(COUNTIF(CAPA3_EXPANSION!$D$56:DF$56,"&gt;="&amp;10)=0,0,SUP_CONTROL!$C$8*IF($B17="V",1,IF($B17="D",(1+SUP_VOLUMEN!$C$26),(1+SUP_VOLUMEN!$C$27)))*INDEX(SUP_C3_EXPANSION!$C$6:$F$6,MIN(4,COUNTIF(CAPA3_EXPANSION!$D$56:DF$56,"&gt;="&amp;10)))*CAPA3_EXPANSION!DF$36)</f>
        <v>2828.2799999999997</v>
      </c>
      <c r="DG17" s="88">
        <f>IF(COUNTIF(CAPA3_EXPANSION!$D$56:DG$56,"&gt;="&amp;10)=0,0,SUP_CONTROL!$C$8*IF($B17="V",1,IF($B17="D",(1+SUP_VOLUMEN!$C$26),(1+SUP_VOLUMEN!$C$27)))*INDEX(SUP_C3_EXPANSION!$C$6:$F$6,MIN(4,COUNTIF(CAPA3_EXPANSION!$D$56:DG$56,"&gt;="&amp;10)))*CAPA3_EXPANSION!DG$36)</f>
        <v>2828.2799999999997</v>
      </c>
      <c r="DH17" s="88">
        <f>IF(COUNTIF(CAPA3_EXPANSION!$D$56:DH$56,"&gt;="&amp;10)=0,0,SUP_CONTROL!$C$8*IF($B17="V",1,IF($B17="D",(1+SUP_VOLUMEN!$C$26),(1+SUP_VOLUMEN!$C$27)))*INDEX(SUP_C3_EXPANSION!$C$6:$F$6,MIN(4,COUNTIF(CAPA3_EXPANSION!$D$56:DH$56,"&gt;="&amp;10)))*CAPA3_EXPANSION!DH$36)</f>
        <v>2828.2799999999997</v>
      </c>
      <c r="DI17" s="88">
        <f>IF(COUNTIF(CAPA3_EXPANSION!$D$56:DI$56,"&gt;="&amp;10)=0,0,SUP_CONTROL!$C$8*IF($B17="V",1,IF($B17="D",(1+SUP_VOLUMEN!$C$26),(1+SUP_VOLUMEN!$C$27)))*INDEX(SUP_C3_EXPANSION!$C$6:$F$6,MIN(4,COUNTIF(CAPA3_EXPANSION!$D$56:DI$56,"&gt;="&amp;10)))*CAPA3_EXPANSION!DI$36)</f>
        <v>2828.2799999999997</v>
      </c>
      <c r="DJ17" s="88">
        <f>IF(COUNTIF(CAPA3_EXPANSION!$D$56:DJ$56,"&gt;="&amp;10)=0,0,SUP_CONTROL!$C$8*IF($B17="V",1,IF($B17="D",(1+SUP_VOLUMEN!$C$26),(1+SUP_VOLUMEN!$C$27)))*INDEX(SUP_C3_EXPANSION!$C$6:$F$6,MIN(4,COUNTIF(CAPA3_EXPANSION!$D$56:DJ$56,"&gt;="&amp;10)))*CAPA3_EXPANSION!DJ$36)</f>
        <v>2828.2799999999997</v>
      </c>
      <c r="DK17" s="88">
        <f>IF(COUNTIF(CAPA3_EXPANSION!$D$56:DK$56,"&gt;="&amp;10)=0,0,SUP_CONTROL!$C$8*IF($B17="V",1,IF($B17="D",(1+SUP_VOLUMEN!$C$26),(1+SUP_VOLUMEN!$C$27)))*INDEX(SUP_C3_EXPANSION!$C$6:$F$6,MIN(4,COUNTIF(CAPA3_EXPANSION!$D$56:DK$56,"&gt;="&amp;10)))*CAPA3_EXPANSION!DK$36)</f>
        <v>2828.2799999999997</v>
      </c>
      <c r="DL17" s="88">
        <f>IF(COUNTIF(CAPA3_EXPANSION!$D$56:DL$56,"&gt;="&amp;10)=0,0,SUP_CONTROL!$C$8*IF($B17="V",1,IF($B17="D",(1+SUP_VOLUMEN!$C$26),(1+SUP_VOLUMEN!$C$27)))*INDEX(SUP_C3_EXPANSION!$C$6:$F$6,MIN(4,COUNTIF(CAPA3_EXPANSION!$D$56:DL$56,"&gt;="&amp;10)))*CAPA3_EXPANSION!DL$36)</f>
        <v>2828.2799999999997</v>
      </c>
      <c r="DM17" s="88">
        <f>IF(COUNTIF(CAPA3_EXPANSION!$D$56:DM$56,"&gt;="&amp;10)=0,0,SUP_CONTROL!$C$8*IF($B17="V",1,IF($B17="D",(1+SUP_VOLUMEN!$C$26),(1+SUP_VOLUMEN!$C$27)))*INDEX(SUP_C3_EXPANSION!$C$6:$F$6,MIN(4,COUNTIF(CAPA3_EXPANSION!$D$56:DM$56,"&gt;="&amp;10)))*CAPA3_EXPANSION!DM$36)</f>
        <v>2828.2799999999997</v>
      </c>
      <c r="DN17" s="88">
        <f>IF(COUNTIF(CAPA3_EXPANSION!$D$56:DN$56,"&gt;="&amp;10)=0,0,SUP_CONTROL!$C$8*IF($B17="V",1,IF($B17="D",(1+SUP_VOLUMEN!$C$26),(1+SUP_VOLUMEN!$C$27)))*INDEX(SUP_C3_EXPANSION!$C$6:$F$6,MIN(4,COUNTIF(CAPA3_EXPANSION!$D$56:DN$56,"&gt;="&amp;10)))*CAPA3_EXPANSION!DN$36)</f>
        <v>2828.2799999999997</v>
      </c>
      <c r="DO17" s="88">
        <f>IF(COUNTIF(CAPA3_EXPANSION!$D$56:DO$56,"&gt;="&amp;10)=0,0,SUP_CONTROL!$C$8*IF($B17="V",1,IF($B17="D",(1+SUP_VOLUMEN!$C$26),(1+SUP_VOLUMEN!$C$27)))*INDEX(SUP_C3_EXPANSION!$C$6:$F$6,MIN(4,COUNTIF(CAPA3_EXPANSION!$D$56:DO$56,"&gt;="&amp;10)))*CAPA3_EXPANSION!DO$36)</f>
        <v>2828.2799999999997</v>
      </c>
      <c r="DP17" s="88">
        <f>IF(COUNTIF(CAPA3_EXPANSION!$D$56:DP$56,"&gt;="&amp;10)=0,0,SUP_CONTROL!$C$8*IF($B17="V",1,IF($B17="D",(1+SUP_VOLUMEN!$C$26),(1+SUP_VOLUMEN!$C$27)))*INDEX(SUP_C3_EXPANSION!$C$6:$F$6,MIN(4,COUNTIF(CAPA3_EXPANSION!$D$56:DP$56,"&gt;="&amp;10)))*CAPA3_EXPANSION!DP$36)</f>
        <v>2828.2799999999997</v>
      </c>
      <c r="DQ17" s="88">
        <f>IF(COUNTIF(CAPA3_EXPANSION!$D$56:DQ$56,"&gt;="&amp;10)=0,0,SUP_CONTROL!$C$8*IF($B17="V",1,IF($B17="D",(1+SUP_VOLUMEN!$C$26),(1+SUP_VOLUMEN!$C$27)))*INDEX(SUP_C3_EXPANSION!$C$6:$F$6,MIN(4,COUNTIF(CAPA3_EXPANSION!$D$56:DQ$56,"&gt;="&amp;10)))*CAPA3_EXPANSION!DQ$36)</f>
        <v>2828.2799999999997</v>
      </c>
      <c r="DR17" s="88">
        <f>IF(COUNTIF(CAPA3_EXPANSION!$D$56:DR$56,"&gt;="&amp;10)=0,0,SUP_CONTROL!$C$8*IF($B17="V",1,IF($B17="D",(1+SUP_VOLUMEN!$C$26),(1+SUP_VOLUMEN!$C$27)))*INDEX(SUP_C3_EXPANSION!$C$6:$F$6,MIN(4,COUNTIF(CAPA3_EXPANSION!$D$56:DR$56,"&gt;="&amp;10)))*CAPA3_EXPANSION!DR$36)</f>
        <v>2828.2799999999997</v>
      </c>
      <c r="DS17" s="88">
        <f>IF(COUNTIF(CAPA3_EXPANSION!$D$56:DS$56,"&gt;="&amp;10)=0,0,SUP_CONTROL!$C$8*IF($B17="V",1,IF($B17="D",(1+SUP_VOLUMEN!$C$26),(1+SUP_VOLUMEN!$C$27)))*INDEX(SUP_C3_EXPANSION!$C$6:$F$6,MIN(4,COUNTIF(CAPA3_EXPANSION!$D$56:DS$56,"&gt;="&amp;10)))*CAPA3_EXPANSION!DS$36)</f>
        <v>2828.2799999999997</v>
      </c>
    </row>
    <row r="18" spans="1:123" ht="15" customHeight="1" x14ac:dyDescent="0.2">
      <c r="A18" s="88">
        <v>21</v>
      </c>
      <c r="B18" s="104" t="str">
        <f>SUP_C3_EXPANSION!B30</f>
        <v>V</v>
      </c>
      <c r="C18" s="73">
        <f>SUP_C3_EXPANSION!G30</f>
        <v>36</v>
      </c>
      <c r="D18" s="88">
        <f>IF(COUNTIF(CAPA3_EXPANSION!$D$56:D$56,"&gt;="&amp;11)=0,0,SUP_CONTROL!$C$8*IF($B18="V",1,IF($B18="D",(1+SUP_VOLUMEN!$C$26),(1+SUP_VOLUMEN!$C$27)))*INDEX(SUP_C3_EXPANSION!$C$6:$F$6,MIN(4,COUNTIF(CAPA3_EXPANSION!$D$56:D$56,"&gt;="&amp;11)))*CAPA3_EXPANSION!D$36)</f>
        <v>0</v>
      </c>
      <c r="E18" s="88">
        <f>IF(COUNTIF(CAPA3_EXPANSION!$D$56:E$56,"&gt;="&amp;11)=0,0,SUP_CONTROL!$C$8*IF($B18="V",1,IF($B18="D",(1+SUP_VOLUMEN!$C$26),(1+SUP_VOLUMEN!$C$27)))*INDEX(SUP_C3_EXPANSION!$C$6:$F$6,MIN(4,COUNTIF(CAPA3_EXPANSION!$D$56:E$56,"&gt;="&amp;11)))*CAPA3_EXPANSION!E$36)</f>
        <v>0</v>
      </c>
      <c r="F18" s="88">
        <f>IF(COUNTIF(CAPA3_EXPANSION!$D$56:F$56,"&gt;="&amp;11)=0,0,SUP_CONTROL!$C$8*IF($B18="V",1,IF($B18="D",(1+SUP_VOLUMEN!$C$26),(1+SUP_VOLUMEN!$C$27)))*INDEX(SUP_C3_EXPANSION!$C$6:$F$6,MIN(4,COUNTIF(CAPA3_EXPANSION!$D$56:F$56,"&gt;="&amp;11)))*CAPA3_EXPANSION!F$36)</f>
        <v>0</v>
      </c>
      <c r="G18" s="88">
        <f>IF(COUNTIF(CAPA3_EXPANSION!$D$56:G$56,"&gt;="&amp;11)=0,0,SUP_CONTROL!$C$8*IF($B18="V",1,IF($B18="D",(1+SUP_VOLUMEN!$C$26),(1+SUP_VOLUMEN!$C$27)))*INDEX(SUP_C3_EXPANSION!$C$6:$F$6,MIN(4,COUNTIF(CAPA3_EXPANSION!$D$56:G$56,"&gt;="&amp;11)))*CAPA3_EXPANSION!G$36)</f>
        <v>0</v>
      </c>
      <c r="H18" s="88">
        <f>IF(COUNTIF(CAPA3_EXPANSION!$D$56:H$56,"&gt;="&amp;11)=0,0,SUP_CONTROL!$C$8*IF($B18="V",1,IF($B18="D",(1+SUP_VOLUMEN!$C$26),(1+SUP_VOLUMEN!$C$27)))*INDEX(SUP_C3_EXPANSION!$C$6:$F$6,MIN(4,COUNTIF(CAPA3_EXPANSION!$D$56:H$56,"&gt;="&amp;11)))*CAPA3_EXPANSION!H$36)</f>
        <v>0</v>
      </c>
      <c r="I18" s="88">
        <f>IF(COUNTIF(CAPA3_EXPANSION!$D$56:I$56,"&gt;="&amp;11)=0,0,SUP_CONTROL!$C$8*IF($B18="V",1,IF($B18="D",(1+SUP_VOLUMEN!$C$26),(1+SUP_VOLUMEN!$C$27)))*INDEX(SUP_C3_EXPANSION!$C$6:$F$6,MIN(4,COUNTIF(CAPA3_EXPANSION!$D$56:I$56,"&gt;="&amp;11)))*CAPA3_EXPANSION!I$36)</f>
        <v>0</v>
      </c>
      <c r="J18" s="88">
        <f>IF(COUNTIF(CAPA3_EXPANSION!$D$56:J$56,"&gt;="&amp;11)=0,0,SUP_CONTROL!$C$8*IF($B18="V",1,IF($B18="D",(1+SUP_VOLUMEN!$C$26),(1+SUP_VOLUMEN!$C$27)))*INDEX(SUP_C3_EXPANSION!$C$6:$F$6,MIN(4,COUNTIF(CAPA3_EXPANSION!$D$56:J$56,"&gt;="&amp;11)))*CAPA3_EXPANSION!J$36)</f>
        <v>0</v>
      </c>
      <c r="K18" s="88">
        <f>IF(COUNTIF(CAPA3_EXPANSION!$D$56:K$56,"&gt;="&amp;11)=0,0,SUP_CONTROL!$C$8*IF($B18="V",1,IF($B18="D",(1+SUP_VOLUMEN!$C$26),(1+SUP_VOLUMEN!$C$27)))*INDEX(SUP_C3_EXPANSION!$C$6:$F$6,MIN(4,COUNTIF(CAPA3_EXPANSION!$D$56:K$56,"&gt;="&amp;11)))*CAPA3_EXPANSION!K$36)</f>
        <v>0</v>
      </c>
      <c r="L18" s="88">
        <f>IF(COUNTIF(CAPA3_EXPANSION!$D$56:L$56,"&gt;="&amp;11)=0,0,SUP_CONTROL!$C$8*IF($B18="V",1,IF($B18="D",(1+SUP_VOLUMEN!$C$26),(1+SUP_VOLUMEN!$C$27)))*INDEX(SUP_C3_EXPANSION!$C$6:$F$6,MIN(4,COUNTIF(CAPA3_EXPANSION!$D$56:L$56,"&gt;="&amp;11)))*CAPA3_EXPANSION!L$36)</f>
        <v>0</v>
      </c>
      <c r="M18" s="88">
        <f>IF(COUNTIF(CAPA3_EXPANSION!$D$56:M$56,"&gt;="&amp;11)=0,0,SUP_CONTROL!$C$8*IF($B18="V",1,IF($B18="D",(1+SUP_VOLUMEN!$C$26),(1+SUP_VOLUMEN!$C$27)))*INDEX(SUP_C3_EXPANSION!$C$6:$F$6,MIN(4,COUNTIF(CAPA3_EXPANSION!$D$56:M$56,"&gt;="&amp;11)))*CAPA3_EXPANSION!M$36)</f>
        <v>0</v>
      </c>
      <c r="N18" s="88">
        <f>IF(COUNTIF(CAPA3_EXPANSION!$D$56:N$56,"&gt;="&amp;11)=0,0,SUP_CONTROL!$C$8*IF($B18="V",1,IF($B18="D",(1+SUP_VOLUMEN!$C$26),(1+SUP_VOLUMEN!$C$27)))*INDEX(SUP_C3_EXPANSION!$C$6:$F$6,MIN(4,COUNTIF(CAPA3_EXPANSION!$D$56:N$56,"&gt;="&amp;11)))*CAPA3_EXPANSION!N$36)</f>
        <v>0</v>
      </c>
      <c r="O18" s="88">
        <f>IF(COUNTIF(CAPA3_EXPANSION!$D$56:O$56,"&gt;="&amp;11)=0,0,SUP_CONTROL!$C$8*IF($B18="V",1,IF($B18="D",(1+SUP_VOLUMEN!$C$26),(1+SUP_VOLUMEN!$C$27)))*INDEX(SUP_C3_EXPANSION!$C$6:$F$6,MIN(4,COUNTIF(CAPA3_EXPANSION!$D$56:O$56,"&gt;="&amp;11)))*CAPA3_EXPANSION!O$36)</f>
        <v>0</v>
      </c>
      <c r="P18" s="88">
        <f>IF(COUNTIF(CAPA3_EXPANSION!$D$56:P$56,"&gt;="&amp;11)=0,0,SUP_CONTROL!$C$8*IF($B18="V",1,IF($B18="D",(1+SUP_VOLUMEN!$C$26),(1+SUP_VOLUMEN!$C$27)))*INDEX(SUP_C3_EXPANSION!$C$6:$F$6,MIN(4,COUNTIF(CAPA3_EXPANSION!$D$56:P$56,"&gt;="&amp;11)))*CAPA3_EXPANSION!P$36)</f>
        <v>0</v>
      </c>
      <c r="Q18" s="88">
        <f>IF(COUNTIF(CAPA3_EXPANSION!$D$56:Q$56,"&gt;="&amp;11)=0,0,SUP_CONTROL!$C$8*IF($B18="V",1,IF($B18="D",(1+SUP_VOLUMEN!$C$26),(1+SUP_VOLUMEN!$C$27)))*INDEX(SUP_C3_EXPANSION!$C$6:$F$6,MIN(4,COUNTIF(CAPA3_EXPANSION!$D$56:Q$56,"&gt;="&amp;11)))*CAPA3_EXPANSION!Q$36)</f>
        <v>0</v>
      </c>
      <c r="R18" s="88">
        <f>IF(COUNTIF(CAPA3_EXPANSION!$D$56:R$56,"&gt;="&amp;11)=0,0,SUP_CONTROL!$C$8*IF($B18="V",1,IF($B18="D",(1+SUP_VOLUMEN!$C$26),(1+SUP_VOLUMEN!$C$27)))*INDEX(SUP_C3_EXPANSION!$C$6:$F$6,MIN(4,COUNTIF(CAPA3_EXPANSION!$D$56:R$56,"&gt;="&amp;11)))*CAPA3_EXPANSION!R$36)</f>
        <v>0</v>
      </c>
      <c r="S18" s="88">
        <f>IF(COUNTIF(CAPA3_EXPANSION!$D$56:S$56,"&gt;="&amp;11)=0,0,SUP_CONTROL!$C$8*IF($B18="V",1,IF($B18="D",(1+SUP_VOLUMEN!$C$26),(1+SUP_VOLUMEN!$C$27)))*INDEX(SUP_C3_EXPANSION!$C$6:$F$6,MIN(4,COUNTIF(CAPA3_EXPANSION!$D$56:S$56,"&gt;="&amp;11)))*CAPA3_EXPANSION!S$36)</f>
        <v>0</v>
      </c>
      <c r="T18" s="88">
        <f>IF(COUNTIF(CAPA3_EXPANSION!$D$56:T$56,"&gt;="&amp;11)=0,0,SUP_CONTROL!$C$8*IF($B18="V",1,IF($B18="D",(1+SUP_VOLUMEN!$C$26),(1+SUP_VOLUMEN!$C$27)))*INDEX(SUP_C3_EXPANSION!$C$6:$F$6,MIN(4,COUNTIF(CAPA3_EXPANSION!$D$56:T$56,"&gt;="&amp;11)))*CAPA3_EXPANSION!T$36)</f>
        <v>0</v>
      </c>
      <c r="U18" s="88">
        <f>IF(COUNTIF(CAPA3_EXPANSION!$D$56:U$56,"&gt;="&amp;11)=0,0,SUP_CONTROL!$C$8*IF($B18="V",1,IF($B18="D",(1+SUP_VOLUMEN!$C$26),(1+SUP_VOLUMEN!$C$27)))*INDEX(SUP_C3_EXPANSION!$C$6:$F$6,MIN(4,COUNTIF(CAPA3_EXPANSION!$D$56:U$56,"&gt;="&amp;11)))*CAPA3_EXPANSION!U$36)</f>
        <v>0</v>
      </c>
      <c r="V18" s="88">
        <f>IF(COUNTIF(CAPA3_EXPANSION!$D$56:V$56,"&gt;="&amp;11)=0,0,SUP_CONTROL!$C$8*IF($B18="V",1,IF($B18="D",(1+SUP_VOLUMEN!$C$26),(1+SUP_VOLUMEN!$C$27)))*INDEX(SUP_C3_EXPANSION!$C$6:$F$6,MIN(4,COUNTIF(CAPA3_EXPANSION!$D$56:V$56,"&gt;="&amp;11)))*CAPA3_EXPANSION!V$36)</f>
        <v>0</v>
      </c>
      <c r="W18" s="88">
        <f>IF(COUNTIF(CAPA3_EXPANSION!$D$56:W$56,"&gt;="&amp;11)=0,0,SUP_CONTROL!$C$8*IF($B18="V",1,IF($B18="D",(1+SUP_VOLUMEN!$C$26),(1+SUP_VOLUMEN!$C$27)))*INDEX(SUP_C3_EXPANSION!$C$6:$F$6,MIN(4,COUNTIF(CAPA3_EXPANSION!$D$56:W$56,"&gt;="&amp;11)))*CAPA3_EXPANSION!W$36)</f>
        <v>0</v>
      </c>
      <c r="X18" s="88">
        <f>IF(COUNTIF(CAPA3_EXPANSION!$D$56:X$56,"&gt;="&amp;11)=0,0,SUP_CONTROL!$C$8*IF($B18="V",1,IF($B18="D",(1+SUP_VOLUMEN!$C$26),(1+SUP_VOLUMEN!$C$27)))*INDEX(SUP_C3_EXPANSION!$C$6:$F$6,MIN(4,COUNTIF(CAPA3_EXPANSION!$D$56:X$56,"&gt;="&amp;11)))*CAPA3_EXPANSION!X$36)</f>
        <v>0</v>
      </c>
      <c r="Y18" s="88">
        <f>IF(COUNTIF(CAPA3_EXPANSION!$D$56:Y$56,"&gt;="&amp;11)=0,0,SUP_CONTROL!$C$8*IF($B18="V",1,IF($B18="D",(1+SUP_VOLUMEN!$C$26),(1+SUP_VOLUMEN!$C$27)))*INDEX(SUP_C3_EXPANSION!$C$6:$F$6,MIN(4,COUNTIF(CAPA3_EXPANSION!$D$56:Y$56,"&gt;="&amp;11)))*CAPA3_EXPANSION!Y$36)</f>
        <v>0</v>
      </c>
      <c r="Z18" s="88">
        <f>IF(COUNTIF(CAPA3_EXPANSION!$D$56:Z$56,"&gt;="&amp;11)=0,0,SUP_CONTROL!$C$8*IF($B18="V",1,IF($B18="D",(1+SUP_VOLUMEN!$C$26),(1+SUP_VOLUMEN!$C$27)))*INDEX(SUP_C3_EXPANSION!$C$6:$F$6,MIN(4,COUNTIF(CAPA3_EXPANSION!$D$56:Z$56,"&gt;="&amp;11)))*CAPA3_EXPANSION!Z$36)</f>
        <v>0</v>
      </c>
      <c r="AA18" s="88">
        <f>IF(COUNTIF(CAPA3_EXPANSION!$D$56:AA$56,"&gt;="&amp;11)=0,0,SUP_CONTROL!$C$8*IF($B18="V",1,IF($B18="D",(1+SUP_VOLUMEN!$C$26),(1+SUP_VOLUMEN!$C$27)))*INDEX(SUP_C3_EXPANSION!$C$6:$F$6,MIN(4,COUNTIF(CAPA3_EXPANSION!$D$56:AA$56,"&gt;="&amp;11)))*CAPA3_EXPANSION!AA$36)</f>
        <v>0</v>
      </c>
      <c r="AB18" s="88">
        <f>IF(COUNTIF(CAPA3_EXPANSION!$D$56:AB$56,"&gt;="&amp;11)=0,0,SUP_CONTROL!$C$8*IF($B18="V",1,IF($B18="D",(1+SUP_VOLUMEN!$C$26),(1+SUP_VOLUMEN!$C$27)))*INDEX(SUP_C3_EXPANSION!$C$6:$F$6,MIN(4,COUNTIF(CAPA3_EXPANSION!$D$56:AB$56,"&gt;="&amp;11)))*CAPA3_EXPANSION!AB$36)</f>
        <v>0</v>
      </c>
      <c r="AC18" s="88">
        <f>IF(COUNTIF(CAPA3_EXPANSION!$D$56:AC$56,"&gt;="&amp;11)=0,0,SUP_CONTROL!$C$8*IF($B18="V",1,IF($B18="D",(1+SUP_VOLUMEN!$C$26),(1+SUP_VOLUMEN!$C$27)))*INDEX(SUP_C3_EXPANSION!$C$6:$F$6,MIN(4,COUNTIF(CAPA3_EXPANSION!$D$56:AC$56,"&gt;="&amp;11)))*CAPA3_EXPANSION!AC$36)</f>
        <v>0</v>
      </c>
      <c r="AD18" s="88">
        <f>IF(COUNTIF(CAPA3_EXPANSION!$D$56:AD$56,"&gt;="&amp;11)=0,0,SUP_CONTROL!$C$8*IF($B18="V",1,IF($B18="D",(1+SUP_VOLUMEN!$C$26),(1+SUP_VOLUMEN!$C$27)))*INDEX(SUP_C3_EXPANSION!$C$6:$F$6,MIN(4,COUNTIF(CAPA3_EXPANSION!$D$56:AD$56,"&gt;="&amp;11)))*CAPA3_EXPANSION!AD$36)</f>
        <v>0</v>
      </c>
      <c r="AE18" s="88">
        <f>IF(COUNTIF(CAPA3_EXPANSION!$D$56:AE$56,"&gt;="&amp;11)=0,0,SUP_CONTROL!$C$8*IF($B18="V",1,IF($B18="D",(1+SUP_VOLUMEN!$C$26),(1+SUP_VOLUMEN!$C$27)))*INDEX(SUP_C3_EXPANSION!$C$6:$F$6,MIN(4,COUNTIF(CAPA3_EXPANSION!$D$56:AE$56,"&gt;="&amp;11)))*CAPA3_EXPANSION!AE$36)</f>
        <v>0</v>
      </c>
      <c r="AF18" s="88">
        <f>IF(COUNTIF(CAPA3_EXPANSION!$D$56:AF$56,"&gt;="&amp;11)=0,0,SUP_CONTROL!$C$8*IF($B18="V",1,IF($B18="D",(1+SUP_VOLUMEN!$C$26),(1+SUP_VOLUMEN!$C$27)))*INDEX(SUP_C3_EXPANSION!$C$6:$F$6,MIN(4,COUNTIF(CAPA3_EXPANSION!$D$56:AF$56,"&gt;="&amp;11)))*CAPA3_EXPANSION!AF$36)</f>
        <v>0</v>
      </c>
      <c r="AG18" s="88">
        <f>IF(COUNTIF(CAPA3_EXPANSION!$D$56:AG$56,"&gt;="&amp;11)=0,0,SUP_CONTROL!$C$8*IF($B18="V",1,IF($B18="D",(1+SUP_VOLUMEN!$C$26),(1+SUP_VOLUMEN!$C$27)))*INDEX(SUP_C3_EXPANSION!$C$6:$F$6,MIN(4,COUNTIF(CAPA3_EXPANSION!$D$56:AG$56,"&gt;="&amp;11)))*CAPA3_EXPANSION!AG$36)</f>
        <v>0</v>
      </c>
      <c r="AH18" s="88">
        <f>IF(COUNTIF(CAPA3_EXPANSION!$D$56:AH$56,"&gt;="&amp;11)=0,0,SUP_CONTROL!$C$8*IF($B18="V",1,IF($B18="D",(1+SUP_VOLUMEN!$C$26),(1+SUP_VOLUMEN!$C$27)))*INDEX(SUP_C3_EXPANSION!$C$6:$F$6,MIN(4,COUNTIF(CAPA3_EXPANSION!$D$56:AH$56,"&gt;="&amp;11)))*CAPA3_EXPANSION!AH$36)</f>
        <v>0</v>
      </c>
      <c r="AI18" s="88">
        <f>IF(COUNTIF(CAPA3_EXPANSION!$D$56:AI$56,"&gt;="&amp;11)=0,0,SUP_CONTROL!$C$8*IF($B18="V",1,IF($B18="D",(1+SUP_VOLUMEN!$C$26),(1+SUP_VOLUMEN!$C$27)))*INDEX(SUP_C3_EXPANSION!$C$6:$F$6,MIN(4,COUNTIF(CAPA3_EXPANSION!$D$56:AI$56,"&gt;="&amp;11)))*CAPA3_EXPANSION!AI$36)</f>
        <v>0</v>
      </c>
      <c r="AJ18" s="88">
        <f>IF(COUNTIF(CAPA3_EXPANSION!$D$56:AJ$56,"&gt;="&amp;11)=0,0,SUP_CONTROL!$C$8*IF($B18="V",1,IF($B18="D",(1+SUP_VOLUMEN!$C$26),(1+SUP_VOLUMEN!$C$27)))*INDEX(SUP_C3_EXPANSION!$C$6:$F$6,MIN(4,COUNTIF(CAPA3_EXPANSION!$D$56:AJ$56,"&gt;="&amp;11)))*CAPA3_EXPANSION!AJ$36)</f>
        <v>0</v>
      </c>
      <c r="AK18" s="88">
        <f>IF(COUNTIF(CAPA3_EXPANSION!$D$56:AK$56,"&gt;="&amp;11)=0,0,SUP_CONTROL!$C$8*IF($B18="V",1,IF($B18="D",(1+SUP_VOLUMEN!$C$26),(1+SUP_VOLUMEN!$C$27)))*INDEX(SUP_C3_EXPANSION!$C$6:$F$6,MIN(4,COUNTIF(CAPA3_EXPANSION!$D$56:AK$56,"&gt;="&amp;11)))*CAPA3_EXPANSION!AK$36)</f>
        <v>0</v>
      </c>
      <c r="AL18" s="88">
        <f>IF(COUNTIF(CAPA3_EXPANSION!$D$56:AL$56,"&gt;="&amp;11)=0,0,SUP_CONTROL!$C$8*IF($B18="V",1,IF($B18="D",(1+SUP_VOLUMEN!$C$26),(1+SUP_VOLUMEN!$C$27)))*INDEX(SUP_C3_EXPANSION!$C$6:$F$6,MIN(4,COUNTIF(CAPA3_EXPANSION!$D$56:AL$56,"&gt;="&amp;11)))*CAPA3_EXPANSION!AL$36)</f>
        <v>0</v>
      </c>
      <c r="AM18" s="88">
        <f>IF(COUNTIF(CAPA3_EXPANSION!$D$56:AM$56,"&gt;="&amp;11)=0,0,SUP_CONTROL!$C$8*IF($B18="V",1,IF($B18="D",(1+SUP_VOLUMEN!$C$26),(1+SUP_VOLUMEN!$C$27)))*INDEX(SUP_C3_EXPANSION!$C$6:$F$6,MIN(4,COUNTIF(CAPA3_EXPANSION!$D$56:AM$56,"&gt;="&amp;11)))*CAPA3_EXPANSION!AM$36)</f>
        <v>0</v>
      </c>
      <c r="AN18" s="88">
        <f>IF(COUNTIF(CAPA3_EXPANSION!$D$56:AN$56,"&gt;="&amp;11)=0,0,SUP_CONTROL!$C$8*IF($B18="V",1,IF($B18="D",(1+SUP_VOLUMEN!$C$26),(1+SUP_VOLUMEN!$C$27)))*INDEX(SUP_C3_EXPANSION!$C$6:$F$6,MIN(4,COUNTIF(CAPA3_EXPANSION!$D$56:AN$56,"&gt;="&amp;11)))*CAPA3_EXPANSION!AN$36)</f>
        <v>0</v>
      </c>
      <c r="AO18" s="88">
        <f>IF(COUNTIF(CAPA3_EXPANSION!$D$56:AO$56,"&gt;="&amp;11)=0,0,SUP_CONTROL!$C$8*IF($B18="V",1,IF($B18="D",(1+SUP_VOLUMEN!$C$26),(1+SUP_VOLUMEN!$C$27)))*INDEX(SUP_C3_EXPANSION!$C$6:$F$6,MIN(4,COUNTIF(CAPA3_EXPANSION!$D$56:AO$56,"&gt;="&amp;11)))*CAPA3_EXPANSION!AO$36)</f>
        <v>0</v>
      </c>
      <c r="AP18" s="88">
        <f>IF(COUNTIF(CAPA3_EXPANSION!$D$56:AP$56,"&gt;="&amp;11)=0,0,SUP_CONTROL!$C$8*IF($B18="V",1,IF($B18="D",(1+SUP_VOLUMEN!$C$26),(1+SUP_VOLUMEN!$C$27)))*INDEX(SUP_C3_EXPANSION!$C$6:$F$6,MIN(4,COUNTIF(CAPA3_EXPANSION!$D$56:AP$56,"&gt;="&amp;11)))*CAPA3_EXPANSION!AP$36)</f>
        <v>2068.1797500000002</v>
      </c>
      <c r="AQ18" s="88">
        <f>IF(COUNTIF(CAPA3_EXPANSION!$D$56:AQ$56,"&gt;="&amp;11)=0,0,SUP_CONTROL!$C$8*IF($B18="V",1,IF($B18="D",(1+SUP_VOLUMEN!$C$26),(1+SUP_VOLUMEN!$C$27)))*INDEX(SUP_C3_EXPANSION!$C$6:$F$6,MIN(4,COUNTIF(CAPA3_EXPANSION!$D$56:AQ$56,"&gt;="&amp;11)))*CAPA3_EXPANSION!AQ$36)</f>
        <v>2545.4520000000002</v>
      </c>
      <c r="AR18" s="88">
        <f>IF(COUNTIF(CAPA3_EXPANSION!$D$56:AR$56,"&gt;="&amp;11)=0,0,SUP_CONTROL!$C$8*IF($B18="V",1,IF($B18="D",(1+SUP_VOLUMEN!$C$26),(1+SUP_VOLUMEN!$C$27)))*INDEX(SUP_C3_EXPANSION!$C$6:$F$6,MIN(4,COUNTIF(CAPA3_EXPANSION!$D$56:AR$56,"&gt;="&amp;11)))*CAPA3_EXPANSION!AR$36)</f>
        <v>2863.6334999999999</v>
      </c>
      <c r="AS18" s="88">
        <f>IF(COUNTIF(CAPA3_EXPANSION!$D$56:AS$56,"&gt;="&amp;11)=0,0,SUP_CONTROL!$C$8*IF($B18="V",1,IF($B18="D",(1+SUP_VOLUMEN!$C$26),(1+SUP_VOLUMEN!$C$27)))*INDEX(SUP_C3_EXPANSION!$C$6:$F$6,MIN(4,COUNTIF(CAPA3_EXPANSION!$D$56:AS$56,"&gt;="&amp;11)))*CAPA3_EXPANSION!AS$36)</f>
        <v>3181.8150000000001</v>
      </c>
      <c r="AT18" s="88">
        <f>IF(COUNTIF(CAPA3_EXPANSION!$D$56:AT$56,"&gt;="&amp;11)=0,0,SUP_CONTROL!$C$8*IF($B18="V",1,IF($B18="D",(1+SUP_VOLUMEN!$C$26),(1+SUP_VOLUMEN!$C$27)))*INDEX(SUP_C3_EXPANSION!$C$6:$F$6,MIN(4,COUNTIF(CAPA3_EXPANSION!$D$56:AT$56,"&gt;="&amp;11)))*CAPA3_EXPANSION!AT$36)</f>
        <v>3181.8150000000001</v>
      </c>
      <c r="AU18" s="88">
        <f>IF(COUNTIF(CAPA3_EXPANSION!$D$56:AU$56,"&gt;="&amp;11)=0,0,SUP_CONTROL!$C$8*IF($B18="V",1,IF($B18="D",(1+SUP_VOLUMEN!$C$26),(1+SUP_VOLUMEN!$C$27)))*INDEX(SUP_C3_EXPANSION!$C$6:$F$6,MIN(4,COUNTIF(CAPA3_EXPANSION!$D$56:AU$56,"&gt;="&amp;11)))*CAPA3_EXPANSION!AU$36)</f>
        <v>3181.8150000000001</v>
      </c>
      <c r="AV18" s="88">
        <f>IF(COUNTIF(CAPA3_EXPANSION!$D$56:AV$56,"&gt;="&amp;11)=0,0,SUP_CONTROL!$C$8*IF($B18="V",1,IF($B18="D",(1+SUP_VOLUMEN!$C$26),(1+SUP_VOLUMEN!$C$27)))*INDEX(SUP_C3_EXPANSION!$C$6:$F$6,MIN(4,COUNTIF(CAPA3_EXPANSION!$D$56:AV$56,"&gt;="&amp;11)))*CAPA3_EXPANSION!AV$36)</f>
        <v>3181.8150000000001</v>
      </c>
      <c r="AW18" s="88">
        <f>IF(COUNTIF(CAPA3_EXPANSION!$D$56:AW$56,"&gt;="&amp;11)=0,0,SUP_CONTROL!$C$8*IF($B18="V",1,IF($B18="D",(1+SUP_VOLUMEN!$C$26),(1+SUP_VOLUMEN!$C$27)))*INDEX(SUP_C3_EXPANSION!$C$6:$F$6,MIN(4,COUNTIF(CAPA3_EXPANSION!$D$56:AW$56,"&gt;="&amp;11)))*CAPA3_EXPANSION!AW$36)</f>
        <v>3181.8150000000001</v>
      </c>
      <c r="AX18" s="88">
        <f>IF(COUNTIF(CAPA3_EXPANSION!$D$56:AX$56,"&gt;="&amp;11)=0,0,SUP_CONTROL!$C$8*IF($B18="V",1,IF($B18="D",(1+SUP_VOLUMEN!$C$26),(1+SUP_VOLUMEN!$C$27)))*INDEX(SUP_C3_EXPANSION!$C$6:$F$6,MIN(4,COUNTIF(CAPA3_EXPANSION!$D$56:AX$56,"&gt;="&amp;11)))*CAPA3_EXPANSION!AX$36)</f>
        <v>3181.8150000000001</v>
      </c>
      <c r="AY18" s="88">
        <f>IF(COUNTIF(CAPA3_EXPANSION!$D$56:AY$56,"&gt;="&amp;11)=0,0,SUP_CONTROL!$C$8*IF($B18="V",1,IF($B18="D",(1+SUP_VOLUMEN!$C$26),(1+SUP_VOLUMEN!$C$27)))*INDEX(SUP_C3_EXPANSION!$C$6:$F$6,MIN(4,COUNTIF(CAPA3_EXPANSION!$D$56:AY$56,"&gt;="&amp;11)))*CAPA3_EXPANSION!AY$36)</f>
        <v>3181.8150000000001</v>
      </c>
      <c r="AZ18" s="88">
        <f>IF(COUNTIF(CAPA3_EXPANSION!$D$56:AZ$56,"&gt;="&amp;11)=0,0,SUP_CONTROL!$C$8*IF($B18="V",1,IF($B18="D",(1+SUP_VOLUMEN!$C$26),(1+SUP_VOLUMEN!$C$27)))*INDEX(SUP_C3_EXPANSION!$C$6:$F$6,MIN(4,COUNTIF(CAPA3_EXPANSION!$D$56:AZ$56,"&gt;="&amp;11)))*CAPA3_EXPANSION!AZ$36)</f>
        <v>3181.8150000000001</v>
      </c>
      <c r="BA18" s="88">
        <f>IF(COUNTIF(CAPA3_EXPANSION!$D$56:BA$56,"&gt;="&amp;11)=0,0,SUP_CONTROL!$C$8*IF($B18="V",1,IF($B18="D",(1+SUP_VOLUMEN!$C$26),(1+SUP_VOLUMEN!$C$27)))*INDEX(SUP_C3_EXPANSION!$C$6:$F$6,MIN(4,COUNTIF(CAPA3_EXPANSION!$D$56:BA$56,"&gt;="&amp;11)))*CAPA3_EXPANSION!BA$36)</f>
        <v>3097.6400000000003</v>
      </c>
      <c r="BB18" s="88">
        <f>IF(COUNTIF(CAPA3_EXPANSION!$D$56:BB$56,"&gt;="&amp;11)=0,0,SUP_CONTROL!$C$8*IF($B18="V",1,IF($B18="D",(1+SUP_VOLUMEN!$C$26),(1+SUP_VOLUMEN!$C$27)))*INDEX(SUP_C3_EXPANSION!$C$6:$F$6,MIN(4,COUNTIF(CAPA3_EXPANSION!$D$56:BB$56,"&gt;="&amp;11)))*CAPA3_EXPANSION!BB$36)</f>
        <v>3097.6400000000003</v>
      </c>
      <c r="BC18" s="88">
        <f>IF(COUNTIF(CAPA3_EXPANSION!$D$56:BC$56,"&gt;="&amp;11)=0,0,SUP_CONTROL!$C$8*IF($B18="V",1,IF($B18="D",(1+SUP_VOLUMEN!$C$26),(1+SUP_VOLUMEN!$C$27)))*INDEX(SUP_C3_EXPANSION!$C$6:$F$6,MIN(4,COUNTIF(CAPA3_EXPANSION!$D$56:BC$56,"&gt;="&amp;11)))*CAPA3_EXPANSION!BC$36)</f>
        <v>3097.6400000000003</v>
      </c>
      <c r="BD18" s="88">
        <f>IF(COUNTIF(CAPA3_EXPANSION!$D$56:BD$56,"&gt;="&amp;11)=0,0,SUP_CONTROL!$C$8*IF($B18="V",1,IF($B18="D",(1+SUP_VOLUMEN!$C$26),(1+SUP_VOLUMEN!$C$27)))*INDEX(SUP_C3_EXPANSION!$C$6:$F$6,MIN(4,COUNTIF(CAPA3_EXPANSION!$D$56:BD$56,"&gt;="&amp;11)))*CAPA3_EXPANSION!BD$36)</f>
        <v>3097.6400000000003</v>
      </c>
      <c r="BE18" s="88">
        <f>IF(COUNTIF(CAPA3_EXPANSION!$D$56:BE$56,"&gt;="&amp;11)=0,0,SUP_CONTROL!$C$8*IF($B18="V",1,IF($B18="D",(1+SUP_VOLUMEN!$C$26),(1+SUP_VOLUMEN!$C$27)))*INDEX(SUP_C3_EXPANSION!$C$6:$F$6,MIN(4,COUNTIF(CAPA3_EXPANSION!$D$56:BE$56,"&gt;="&amp;11)))*CAPA3_EXPANSION!BE$36)</f>
        <v>3097.6400000000003</v>
      </c>
      <c r="BF18" s="88">
        <f>IF(COUNTIF(CAPA3_EXPANSION!$D$56:BF$56,"&gt;="&amp;11)=0,0,SUP_CONTROL!$C$8*IF($B18="V",1,IF($B18="D",(1+SUP_VOLUMEN!$C$26),(1+SUP_VOLUMEN!$C$27)))*INDEX(SUP_C3_EXPANSION!$C$6:$F$6,MIN(4,COUNTIF(CAPA3_EXPANSION!$D$56:BF$56,"&gt;="&amp;11)))*CAPA3_EXPANSION!BF$36)</f>
        <v>3030.3</v>
      </c>
      <c r="BG18" s="88">
        <f>IF(COUNTIF(CAPA3_EXPANSION!$D$56:BG$56,"&gt;="&amp;11)=0,0,SUP_CONTROL!$C$8*IF($B18="V",1,IF($B18="D",(1+SUP_VOLUMEN!$C$26),(1+SUP_VOLUMEN!$C$27)))*INDEX(SUP_C3_EXPANSION!$C$6:$F$6,MIN(4,COUNTIF(CAPA3_EXPANSION!$D$56:BG$56,"&gt;="&amp;11)))*CAPA3_EXPANSION!BG$36)</f>
        <v>3030.3</v>
      </c>
      <c r="BH18" s="88">
        <f>IF(COUNTIF(CAPA3_EXPANSION!$D$56:BH$56,"&gt;="&amp;11)=0,0,SUP_CONTROL!$C$8*IF($B18="V",1,IF($B18="D",(1+SUP_VOLUMEN!$C$26),(1+SUP_VOLUMEN!$C$27)))*INDEX(SUP_C3_EXPANSION!$C$6:$F$6,MIN(4,COUNTIF(CAPA3_EXPANSION!$D$56:BH$56,"&gt;="&amp;11)))*CAPA3_EXPANSION!BH$36)</f>
        <v>3030.3</v>
      </c>
      <c r="BI18" s="88">
        <f>IF(COUNTIF(CAPA3_EXPANSION!$D$56:BI$56,"&gt;="&amp;11)=0,0,SUP_CONTROL!$C$8*IF($B18="V",1,IF($B18="D",(1+SUP_VOLUMEN!$C$26),(1+SUP_VOLUMEN!$C$27)))*INDEX(SUP_C3_EXPANSION!$C$6:$F$6,MIN(4,COUNTIF(CAPA3_EXPANSION!$D$56:BI$56,"&gt;="&amp;11)))*CAPA3_EXPANSION!BI$36)</f>
        <v>3030.3</v>
      </c>
      <c r="BJ18" s="88">
        <f>IF(COUNTIF(CAPA3_EXPANSION!$D$56:BJ$56,"&gt;="&amp;11)=0,0,SUP_CONTROL!$C$8*IF($B18="V",1,IF($B18="D",(1+SUP_VOLUMEN!$C$26),(1+SUP_VOLUMEN!$C$27)))*INDEX(SUP_C3_EXPANSION!$C$6:$F$6,MIN(4,COUNTIF(CAPA3_EXPANSION!$D$56:BJ$56,"&gt;="&amp;11)))*CAPA3_EXPANSION!BJ$36)</f>
        <v>3030.3</v>
      </c>
      <c r="BK18" s="88">
        <f>IF(COUNTIF(CAPA3_EXPANSION!$D$56:BK$56,"&gt;="&amp;11)=0,0,SUP_CONTROL!$C$8*IF($B18="V",1,IF($B18="D",(1+SUP_VOLUMEN!$C$26),(1+SUP_VOLUMEN!$C$27)))*INDEX(SUP_C3_EXPANSION!$C$6:$F$6,MIN(4,COUNTIF(CAPA3_EXPANSION!$D$56:BK$56,"&gt;="&amp;11)))*CAPA3_EXPANSION!BK$36)</f>
        <v>2962.96</v>
      </c>
      <c r="BL18" s="88">
        <f>IF(COUNTIF(CAPA3_EXPANSION!$D$56:BL$56,"&gt;="&amp;11)=0,0,SUP_CONTROL!$C$8*IF($B18="V",1,IF($B18="D",(1+SUP_VOLUMEN!$C$26),(1+SUP_VOLUMEN!$C$27)))*INDEX(SUP_C3_EXPANSION!$C$6:$F$6,MIN(4,COUNTIF(CAPA3_EXPANSION!$D$56:BL$56,"&gt;="&amp;11)))*CAPA3_EXPANSION!BL$36)</f>
        <v>2962.96</v>
      </c>
      <c r="BM18" s="88">
        <f>IF(COUNTIF(CAPA3_EXPANSION!$D$56:BM$56,"&gt;="&amp;11)=0,0,SUP_CONTROL!$C$8*IF($B18="V",1,IF($B18="D",(1+SUP_VOLUMEN!$C$26),(1+SUP_VOLUMEN!$C$27)))*INDEX(SUP_C3_EXPANSION!$C$6:$F$6,MIN(4,COUNTIF(CAPA3_EXPANSION!$D$56:BM$56,"&gt;="&amp;11)))*CAPA3_EXPANSION!BM$36)</f>
        <v>2962.96</v>
      </c>
      <c r="BN18" s="88">
        <f>IF(COUNTIF(CAPA3_EXPANSION!$D$56:BN$56,"&gt;="&amp;11)=0,0,SUP_CONTROL!$C$8*IF($B18="V",1,IF($B18="D",(1+SUP_VOLUMEN!$C$26),(1+SUP_VOLUMEN!$C$27)))*INDEX(SUP_C3_EXPANSION!$C$6:$F$6,MIN(4,COUNTIF(CAPA3_EXPANSION!$D$56:BN$56,"&gt;="&amp;11)))*CAPA3_EXPANSION!BN$36)</f>
        <v>2962.96</v>
      </c>
      <c r="BO18" s="88">
        <f>IF(COUNTIF(CAPA3_EXPANSION!$D$56:BO$56,"&gt;="&amp;11)=0,0,SUP_CONTROL!$C$8*IF($B18="V",1,IF($B18="D",(1+SUP_VOLUMEN!$C$26),(1+SUP_VOLUMEN!$C$27)))*INDEX(SUP_C3_EXPANSION!$C$6:$F$6,MIN(4,COUNTIF(CAPA3_EXPANSION!$D$56:BO$56,"&gt;="&amp;11)))*CAPA3_EXPANSION!BO$36)</f>
        <v>2962.96</v>
      </c>
      <c r="BP18" s="88">
        <f>IF(COUNTIF(CAPA3_EXPANSION!$D$56:BP$56,"&gt;="&amp;11)=0,0,SUP_CONTROL!$C$8*IF($B18="V",1,IF($B18="D",(1+SUP_VOLUMEN!$C$26),(1+SUP_VOLUMEN!$C$27)))*INDEX(SUP_C3_EXPANSION!$C$6:$F$6,MIN(4,COUNTIF(CAPA3_EXPANSION!$D$56:BP$56,"&gt;="&amp;11)))*CAPA3_EXPANSION!BP$36)</f>
        <v>2912.4549999999999</v>
      </c>
      <c r="BQ18" s="88">
        <f>IF(COUNTIF(CAPA3_EXPANSION!$D$56:BQ$56,"&gt;="&amp;11)=0,0,SUP_CONTROL!$C$8*IF($B18="V",1,IF($B18="D",(1+SUP_VOLUMEN!$C$26),(1+SUP_VOLUMEN!$C$27)))*INDEX(SUP_C3_EXPANSION!$C$6:$F$6,MIN(4,COUNTIF(CAPA3_EXPANSION!$D$56:BQ$56,"&gt;="&amp;11)))*CAPA3_EXPANSION!BQ$36)</f>
        <v>2912.4549999999999</v>
      </c>
      <c r="BR18" s="88">
        <f>IF(COUNTIF(CAPA3_EXPANSION!$D$56:BR$56,"&gt;="&amp;11)=0,0,SUP_CONTROL!$C$8*IF($B18="V",1,IF($B18="D",(1+SUP_VOLUMEN!$C$26),(1+SUP_VOLUMEN!$C$27)))*INDEX(SUP_C3_EXPANSION!$C$6:$F$6,MIN(4,COUNTIF(CAPA3_EXPANSION!$D$56:BR$56,"&gt;="&amp;11)))*CAPA3_EXPANSION!BR$36)</f>
        <v>2912.4549999999999</v>
      </c>
      <c r="BS18" s="88">
        <f>IF(COUNTIF(CAPA3_EXPANSION!$D$56:BS$56,"&gt;="&amp;11)=0,0,SUP_CONTROL!$C$8*IF($B18="V",1,IF($B18="D",(1+SUP_VOLUMEN!$C$26),(1+SUP_VOLUMEN!$C$27)))*INDEX(SUP_C3_EXPANSION!$C$6:$F$6,MIN(4,COUNTIF(CAPA3_EXPANSION!$D$56:BS$56,"&gt;="&amp;11)))*CAPA3_EXPANSION!BS$36)</f>
        <v>2912.4549999999999</v>
      </c>
      <c r="BT18" s="88">
        <f>IF(COUNTIF(CAPA3_EXPANSION!$D$56:BT$56,"&gt;="&amp;11)=0,0,SUP_CONTROL!$C$8*IF($B18="V",1,IF($B18="D",(1+SUP_VOLUMEN!$C$26),(1+SUP_VOLUMEN!$C$27)))*INDEX(SUP_C3_EXPANSION!$C$6:$F$6,MIN(4,COUNTIF(CAPA3_EXPANSION!$D$56:BT$56,"&gt;="&amp;11)))*CAPA3_EXPANSION!BT$36)</f>
        <v>2912.4549999999999</v>
      </c>
      <c r="BU18" s="88">
        <f>IF(COUNTIF(CAPA3_EXPANSION!$D$56:BU$56,"&gt;="&amp;11)=0,0,SUP_CONTROL!$C$8*IF($B18="V",1,IF($B18="D",(1+SUP_VOLUMEN!$C$26),(1+SUP_VOLUMEN!$C$27)))*INDEX(SUP_C3_EXPANSION!$C$6:$F$6,MIN(4,COUNTIF(CAPA3_EXPANSION!$D$56:BU$56,"&gt;="&amp;11)))*CAPA3_EXPANSION!BU$36)</f>
        <v>2861.95</v>
      </c>
      <c r="BV18" s="88">
        <f>IF(COUNTIF(CAPA3_EXPANSION!$D$56:BV$56,"&gt;="&amp;11)=0,0,SUP_CONTROL!$C$8*IF($B18="V",1,IF($B18="D",(1+SUP_VOLUMEN!$C$26),(1+SUP_VOLUMEN!$C$27)))*INDEX(SUP_C3_EXPANSION!$C$6:$F$6,MIN(4,COUNTIF(CAPA3_EXPANSION!$D$56:BV$56,"&gt;="&amp;11)))*CAPA3_EXPANSION!BV$36)</f>
        <v>2861.95</v>
      </c>
      <c r="BW18" s="88">
        <f>IF(COUNTIF(CAPA3_EXPANSION!$D$56:BW$56,"&gt;="&amp;11)=0,0,SUP_CONTROL!$C$8*IF($B18="V",1,IF($B18="D",(1+SUP_VOLUMEN!$C$26),(1+SUP_VOLUMEN!$C$27)))*INDEX(SUP_C3_EXPANSION!$C$6:$F$6,MIN(4,COUNTIF(CAPA3_EXPANSION!$D$56:BW$56,"&gt;="&amp;11)))*CAPA3_EXPANSION!BW$36)</f>
        <v>2861.95</v>
      </c>
      <c r="BX18" s="88">
        <f>IF(COUNTIF(CAPA3_EXPANSION!$D$56:BX$56,"&gt;="&amp;11)=0,0,SUP_CONTROL!$C$8*IF($B18="V",1,IF($B18="D",(1+SUP_VOLUMEN!$C$26),(1+SUP_VOLUMEN!$C$27)))*INDEX(SUP_C3_EXPANSION!$C$6:$F$6,MIN(4,COUNTIF(CAPA3_EXPANSION!$D$56:BX$56,"&gt;="&amp;11)))*CAPA3_EXPANSION!BX$36)</f>
        <v>2861.95</v>
      </c>
      <c r="BY18" s="88">
        <f>IF(COUNTIF(CAPA3_EXPANSION!$D$56:BY$56,"&gt;="&amp;11)=0,0,SUP_CONTROL!$C$8*IF($B18="V",1,IF($B18="D",(1+SUP_VOLUMEN!$C$26),(1+SUP_VOLUMEN!$C$27)))*INDEX(SUP_C3_EXPANSION!$C$6:$F$6,MIN(4,COUNTIF(CAPA3_EXPANSION!$D$56:BY$56,"&gt;="&amp;11)))*CAPA3_EXPANSION!BY$36)</f>
        <v>2861.95</v>
      </c>
      <c r="BZ18" s="88">
        <f>IF(COUNTIF(CAPA3_EXPANSION!$D$56:BZ$56,"&gt;="&amp;11)=0,0,SUP_CONTROL!$C$8*IF($B18="V",1,IF($B18="D",(1+SUP_VOLUMEN!$C$26),(1+SUP_VOLUMEN!$C$27)))*INDEX(SUP_C3_EXPANSION!$C$6:$F$6,MIN(4,COUNTIF(CAPA3_EXPANSION!$D$56:BZ$56,"&gt;="&amp;11)))*CAPA3_EXPANSION!BZ$36)</f>
        <v>2828.2799999999997</v>
      </c>
      <c r="CA18" s="88">
        <f>IF(COUNTIF(CAPA3_EXPANSION!$D$56:CA$56,"&gt;="&amp;11)=0,0,SUP_CONTROL!$C$8*IF($B18="V",1,IF($B18="D",(1+SUP_VOLUMEN!$C$26),(1+SUP_VOLUMEN!$C$27)))*INDEX(SUP_C3_EXPANSION!$C$6:$F$6,MIN(4,COUNTIF(CAPA3_EXPANSION!$D$56:CA$56,"&gt;="&amp;11)))*CAPA3_EXPANSION!CA$36)</f>
        <v>2828.2799999999997</v>
      </c>
      <c r="CB18" s="88">
        <f>IF(COUNTIF(CAPA3_EXPANSION!$D$56:CB$56,"&gt;="&amp;11)=0,0,SUP_CONTROL!$C$8*IF($B18="V",1,IF($B18="D",(1+SUP_VOLUMEN!$C$26),(1+SUP_VOLUMEN!$C$27)))*INDEX(SUP_C3_EXPANSION!$C$6:$F$6,MIN(4,COUNTIF(CAPA3_EXPANSION!$D$56:CB$56,"&gt;="&amp;11)))*CAPA3_EXPANSION!CB$36)</f>
        <v>2828.2799999999997</v>
      </c>
      <c r="CC18" s="88">
        <f>IF(COUNTIF(CAPA3_EXPANSION!$D$56:CC$56,"&gt;="&amp;11)=0,0,SUP_CONTROL!$C$8*IF($B18="V",1,IF($B18="D",(1+SUP_VOLUMEN!$C$26),(1+SUP_VOLUMEN!$C$27)))*INDEX(SUP_C3_EXPANSION!$C$6:$F$6,MIN(4,COUNTIF(CAPA3_EXPANSION!$D$56:CC$56,"&gt;="&amp;11)))*CAPA3_EXPANSION!CC$36)</f>
        <v>2828.2799999999997</v>
      </c>
      <c r="CD18" s="88">
        <f>IF(COUNTIF(CAPA3_EXPANSION!$D$56:CD$56,"&gt;="&amp;11)=0,0,SUP_CONTROL!$C$8*IF($B18="V",1,IF($B18="D",(1+SUP_VOLUMEN!$C$26),(1+SUP_VOLUMEN!$C$27)))*INDEX(SUP_C3_EXPANSION!$C$6:$F$6,MIN(4,COUNTIF(CAPA3_EXPANSION!$D$56:CD$56,"&gt;="&amp;11)))*CAPA3_EXPANSION!CD$36)</f>
        <v>2828.2799999999997</v>
      </c>
      <c r="CE18" s="88">
        <f>IF(COUNTIF(CAPA3_EXPANSION!$D$56:CE$56,"&gt;="&amp;11)=0,0,SUP_CONTROL!$C$8*IF($B18="V",1,IF($B18="D",(1+SUP_VOLUMEN!$C$26),(1+SUP_VOLUMEN!$C$27)))*INDEX(SUP_C3_EXPANSION!$C$6:$F$6,MIN(4,COUNTIF(CAPA3_EXPANSION!$D$56:CE$56,"&gt;="&amp;11)))*CAPA3_EXPANSION!CE$36)</f>
        <v>2828.2799999999997</v>
      </c>
      <c r="CF18" s="88">
        <f>IF(COUNTIF(CAPA3_EXPANSION!$D$56:CF$56,"&gt;="&amp;11)=0,0,SUP_CONTROL!$C$8*IF($B18="V",1,IF($B18="D",(1+SUP_VOLUMEN!$C$26),(1+SUP_VOLUMEN!$C$27)))*INDEX(SUP_C3_EXPANSION!$C$6:$F$6,MIN(4,COUNTIF(CAPA3_EXPANSION!$D$56:CF$56,"&gt;="&amp;11)))*CAPA3_EXPANSION!CF$36)</f>
        <v>2828.2799999999997</v>
      </c>
      <c r="CG18" s="88">
        <f>IF(COUNTIF(CAPA3_EXPANSION!$D$56:CG$56,"&gt;="&amp;11)=0,0,SUP_CONTROL!$C$8*IF($B18="V",1,IF($B18="D",(1+SUP_VOLUMEN!$C$26),(1+SUP_VOLUMEN!$C$27)))*INDEX(SUP_C3_EXPANSION!$C$6:$F$6,MIN(4,COUNTIF(CAPA3_EXPANSION!$D$56:CG$56,"&gt;="&amp;11)))*CAPA3_EXPANSION!CG$36)</f>
        <v>2828.2799999999997</v>
      </c>
      <c r="CH18" s="88">
        <f>IF(COUNTIF(CAPA3_EXPANSION!$D$56:CH$56,"&gt;="&amp;11)=0,0,SUP_CONTROL!$C$8*IF($B18="V",1,IF($B18="D",(1+SUP_VOLUMEN!$C$26),(1+SUP_VOLUMEN!$C$27)))*INDEX(SUP_C3_EXPANSION!$C$6:$F$6,MIN(4,COUNTIF(CAPA3_EXPANSION!$D$56:CH$56,"&gt;="&amp;11)))*CAPA3_EXPANSION!CH$36)</f>
        <v>2828.2799999999997</v>
      </c>
      <c r="CI18" s="88">
        <f>IF(COUNTIF(CAPA3_EXPANSION!$D$56:CI$56,"&gt;="&amp;11)=0,0,SUP_CONTROL!$C$8*IF($B18="V",1,IF($B18="D",(1+SUP_VOLUMEN!$C$26),(1+SUP_VOLUMEN!$C$27)))*INDEX(SUP_C3_EXPANSION!$C$6:$F$6,MIN(4,COUNTIF(CAPA3_EXPANSION!$D$56:CI$56,"&gt;="&amp;11)))*CAPA3_EXPANSION!CI$36)</f>
        <v>2828.2799999999997</v>
      </c>
      <c r="CJ18" s="88">
        <f>IF(COUNTIF(CAPA3_EXPANSION!$D$56:CJ$56,"&gt;="&amp;11)=0,0,SUP_CONTROL!$C$8*IF($B18="V",1,IF($B18="D",(1+SUP_VOLUMEN!$C$26),(1+SUP_VOLUMEN!$C$27)))*INDEX(SUP_C3_EXPANSION!$C$6:$F$6,MIN(4,COUNTIF(CAPA3_EXPANSION!$D$56:CJ$56,"&gt;="&amp;11)))*CAPA3_EXPANSION!CJ$36)</f>
        <v>2828.2799999999997</v>
      </c>
      <c r="CK18" s="88">
        <f>IF(COUNTIF(CAPA3_EXPANSION!$D$56:CK$56,"&gt;="&amp;11)=0,0,SUP_CONTROL!$C$8*IF($B18="V",1,IF($B18="D",(1+SUP_VOLUMEN!$C$26),(1+SUP_VOLUMEN!$C$27)))*INDEX(SUP_C3_EXPANSION!$C$6:$F$6,MIN(4,COUNTIF(CAPA3_EXPANSION!$D$56:CK$56,"&gt;="&amp;11)))*CAPA3_EXPANSION!CK$36)</f>
        <v>2828.2799999999997</v>
      </c>
      <c r="CL18" s="88">
        <f>IF(COUNTIF(CAPA3_EXPANSION!$D$56:CL$56,"&gt;="&amp;11)=0,0,SUP_CONTROL!$C$8*IF($B18="V",1,IF($B18="D",(1+SUP_VOLUMEN!$C$26),(1+SUP_VOLUMEN!$C$27)))*INDEX(SUP_C3_EXPANSION!$C$6:$F$6,MIN(4,COUNTIF(CAPA3_EXPANSION!$D$56:CL$56,"&gt;="&amp;11)))*CAPA3_EXPANSION!CL$36)</f>
        <v>2828.2799999999997</v>
      </c>
      <c r="CM18" s="88">
        <f>IF(COUNTIF(CAPA3_EXPANSION!$D$56:CM$56,"&gt;="&amp;11)=0,0,SUP_CONTROL!$C$8*IF($B18="V",1,IF($B18="D",(1+SUP_VOLUMEN!$C$26),(1+SUP_VOLUMEN!$C$27)))*INDEX(SUP_C3_EXPANSION!$C$6:$F$6,MIN(4,COUNTIF(CAPA3_EXPANSION!$D$56:CM$56,"&gt;="&amp;11)))*CAPA3_EXPANSION!CM$36)</f>
        <v>2828.2799999999997</v>
      </c>
      <c r="CN18" s="88">
        <f>IF(COUNTIF(CAPA3_EXPANSION!$D$56:CN$56,"&gt;="&amp;11)=0,0,SUP_CONTROL!$C$8*IF($B18="V",1,IF($B18="D",(1+SUP_VOLUMEN!$C$26),(1+SUP_VOLUMEN!$C$27)))*INDEX(SUP_C3_EXPANSION!$C$6:$F$6,MIN(4,COUNTIF(CAPA3_EXPANSION!$D$56:CN$56,"&gt;="&amp;11)))*CAPA3_EXPANSION!CN$36)</f>
        <v>2828.2799999999997</v>
      </c>
      <c r="CO18" s="88">
        <f>IF(COUNTIF(CAPA3_EXPANSION!$D$56:CO$56,"&gt;="&amp;11)=0,0,SUP_CONTROL!$C$8*IF($B18="V",1,IF($B18="D",(1+SUP_VOLUMEN!$C$26),(1+SUP_VOLUMEN!$C$27)))*INDEX(SUP_C3_EXPANSION!$C$6:$F$6,MIN(4,COUNTIF(CAPA3_EXPANSION!$D$56:CO$56,"&gt;="&amp;11)))*CAPA3_EXPANSION!CO$36)</f>
        <v>2828.2799999999997</v>
      </c>
      <c r="CP18" s="88">
        <f>IF(COUNTIF(CAPA3_EXPANSION!$D$56:CP$56,"&gt;="&amp;11)=0,0,SUP_CONTROL!$C$8*IF($B18="V",1,IF($B18="D",(1+SUP_VOLUMEN!$C$26),(1+SUP_VOLUMEN!$C$27)))*INDEX(SUP_C3_EXPANSION!$C$6:$F$6,MIN(4,COUNTIF(CAPA3_EXPANSION!$D$56:CP$56,"&gt;="&amp;11)))*CAPA3_EXPANSION!CP$36)</f>
        <v>2828.2799999999997</v>
      </c>
      <c r="CQ18" s="88">
        <f>IF(COUNTIF(CAPA3_EXPANSION!$D$56:CQ$56,"&gt;="&amp;11)=0,0,SUP_CONTROL!$C$8*IF($B18="V",1,IF($B18="D",(1+SUP_VOLUMEN!$C$26),(1+SUP_VOLUMEN!$C$27)))*INDEX(SUP_C3_EXPANSION!$C$6:$F$6,MIN(4,COUNTIF(CAPA3_EXPANSION!$D$56:CQ$56,"&gt;="&amp;11)))*CAPA3_EXPANSION!CQ$36)</f>
        <v>2828.2799999999997</v>
      </c>
      <c r="CR18" s="88">
        <f>IF(COUNTIF(CAPA3_EXPANSION!$D$56:CR$56,"&gt;="&amp;11)=0,0,SUP_CONTROL!$C$8*IF($B18="V",1,IF($B18="D",(1+SUP_VOLUMEN!$C$26),(1+SUP_VOLUMEN!$C$27)))*INDEX(SUP_C3_EXPANSION!$C$6:$F$6,MIN(4,COUNTIF(CAPA3_EXPANSION!$D$56:CR$56,"&gt;="&amp;11)))*CAPA3_EXPANSION!CR$36)</f>
        <v>2828.2799999999997</v>
      </c>
      <c r="CS18" s="88">
        <f>IF(COUNTIF(CAPA3_EXPANSION!$D$56:CS$56,"&gt;="&amp;11)=0,0,SUP_CONTROL!$C$8*IF($B18="V",1,IF($B18="D",(1+SUP_VOLUMEN!$C$26),(1+SUP_VOLUMEN!$C$27)))*INDEX(SUP_C3_EXPANSION!$C$6:$F$6,MIN(4,COUNTIF(CAPA3_EXPANSION!$D$56:CS$56,"&gt;="&amp;11)))*CAPA3_EXPANSION!CS$36)</f>
        <v>2828.2799999999997</v>
      </c>
      <c r="CT18" s="88">
        <f>IF(COUNTIF(CAPA3_EXPANSION!$D$56:CT$56,"&gt;="&amp;11)=0,0,SUP_CONTROL!$C$8*IF($B18="V",1,IF($B18="D",(1+SUP_VOLUMEN!$C$26),(1+SUP_VOLUMEN!$C$27)))*INDEX(SUP_C3_EXPANSION!$C$6:$F$6,MIN(4,COUNTIF(CAPA3_EXPANSION!$D$56:CT$56,"&gt;="&amp;11)))*CAPA3_EXPANSION!CT$36)</f>
        <v>2828.2799999999997</v>
      </c>
      <c r="CU18" s="88">
        <f>IF(COUNTIF(CAPA3_EXPANSION!$D$56:CU$56,"&gt;="&amp;11)=0,0,SUP_CONTROL!$C$8*IF($B18="V",1,IF($B18="D",(1+SUP_VOLUMEN!$C$26),(1+SUP_VOLUMEN!$C$27)))*INDEX(SUP_C3_EXPANSION!$C$6:$F$6,MIN(4,COUNTIF(CAPA3_EXPANSION!$D$56:CU$56,"&gt;="&amp;11)))*CAPA3_EXPANSION!CU$36)</f>
        <v>2828.2799999999997</v>
      </c>
      <c r="CV18" s="88">
        <f>IF(COUNTIF(CAPA3_EXPANSION!$D$56:CV$56,"&gt;="&amp;11)=0,0,SUP_CONTROL!$C$8*IF($B18="V",1,IF($B18="D",(1+SUP_VOLUMEN!$C$26),(1+SUP_VOLUMEN!$C$27)))*INDEX(SUP_C3_EXPANSION!$C$6:$F$6,MIN(4,COUNTIF(CAPA3_EXPANSION!$D$56:CV$56,"&gt;="&amp;11)))*CAPA3_EXPANSION!CV$36)</f>
        <v>2828.2799999999997</v>
      </c>
      <c r="CW18" s="88">
        <f>IF(COUNTIF(CAPA3_EXPANSION!$D$56:CW$56,"&gt;="&amp;11)=0,0,SUP_CONTROL!$C$8*IF($B18="V",1,IF($B18="D",(1+SUP_VOLUMEN!$C$26),(1+SUP_VOLUMEN!$C$27)))*INDEX(SUP_C3_EXPANSION!$C$6:$F$6,MIN(4,COUNTIF(CAPA3_EXPANSION!$D$56:CW$56,"&gt;="&amp;11)))*CAPA3_EXPANSION!CW$36)</f>
        <v>2828.2799999999997</v>
      </c>
      <c r="CX18" s="88">
        <f>IF(COUNTIF(CAPA3_EXPANSION!$D$56:CX$56,"&gt;="&amp;11)=0,0,SUP_CONTROL!$C$8*IF($B18="V",1,IF($B18="D",(1+SUP_VOLUMEN!$C$26),(1+SUP_VOLUMEN!$C$27)))*INDEX(SUP_C3_EXPANSION!$C$6:$F$6,MIN(4,COUNTIF(CAPA3_EXPANSION!$D$56:CX$56,"&gt;="&amp;11)))*CAPA3_EXPANSION!CX$36)</f>
        <v>2828.2799999999997</v>
      </c>
      <c r="CY18" s="88">
        <f>IF(COUNTIF(CAPA3_EXPANSION!$D$56:CY$56,"&gt;="&amp;11)=0,0,SUP_CONTROL!$C$8*IF($B18="V",1,IF($B18="D",(1+SUP_VOLUMEN!$C$26),(1+SUP_VOLUMEN!$C$27)))*INDEX(SUP_C3_EXPANSION!$C$6:$F$6,MIN(4,COUNTIF(CAPA3_EXPANSION!$D$56:CY$56,"&gt;="&amp;11)))*CAPA3_EXPANSION!CY$36)</f>
        <v>2828.2799999999997</v>
      </c>
      <c r="CZ18" s="88">
        <f>IF(COUNTIF(CAPA3_EXPANSION!$D$56:CZ$56,"&gt;="&amp;11)=0,0,SUP_CONTROL!$C$8*IF($B18="V",1,IF($B18="D",(1+SUP_VOLUMEN!$C$26),(1+SUP_VOLUMEN!$C$27)))*INDEX(SUP_C3_EXPANSION!$C$6:$F$6,MIN(4,COUNTIF(CAPA3_EXPANSION!$D$56:CZ$56,"&gt;="&amp;11)))*CAPA3_EXPANSION!CZ$36)</f>
        <v>2828.2799999999997</v>
      </c>
      <c r="DA18" s="88">
        <f>IF(COUNTIF(CAPA3_EXPANSION!$D$56:DA$56,"&gt;="&amp;11)=0,0,SUP_CONTROL!$C$8*IF($B18="V",1,IF($B18="D",(1+SUP_VOLUMEN!$C$26),(1+SUP_VOLUMEN!$C$27)))*INDEX(SUP_C3_EXPANSION!$C$6:$F$6,MIN(4,COUNTIF(CAPA3_EXPANSION!$D$56:DA$56,"&gt;="&amp;11)))*CAPA3_EXPANSION!DA$36)</f>
        <v>2828.2799999999997</v>
      </c>
      <c r="DB18" s="88">
        <f>IF(COUNTIF(CAPA3_EXPANSION!$D$56:DB$56,"&gt;="&amp;11)=0,0,SUP_CONTROL!$C$8*IF($B18="V",1,IF($B18="D",(1+SUP_VOLUMEN!$C$26),(1+SUP_VOLUMEN!$C$27)))*INDEX(SUP_C3_EXPANSION!$C$6:$F$6,MIN(4,COUNTIF(CAPA3_EXPANSION!$D$56:DB$56,"&gt;="&amp;11)))*CAPA3_EXPANSION!DB$36)</f>
        <v>2828.2799999999997</v>
      </c>
      <c r="DC18" s="88">
        <f>IF(COUNTIF(CAPA3_EXPANSION!$D$56:DC$56,"&gt;="&amp;11)=0,0,SUP_CONTROL!$C$8*IF($B18="V",1,IF($B18="D",(1+SUP_VOLUMEN!$C$26),(1+SUP_VOLUMEN!$C$27)))*INDEX(SUP_C3_EXPANSION!$C$6:$F$6,MIN(4,COUNTIF(CAPA3_EXPANSION!$D$56:DC$56,"&gt;="&amp;11)))*CAPA3_EXPANSION!DC$36)</f>
        <v>2828.2799999999997</v>
      </c>
      <c r="DD18" s="88">
        <f>IF(COUNTIF(CAPA3_EXPANSION!$D$56:DD$56,"&gt;="&amp;11)=0,0,SUP_CONTROL!$C$8*IF($B18="V",1,IF($B18="D",(1+SUP_VOLUMEN!$C$26),(1+SUP_VOLUMEN!$C$27)))*INDEX(SUP_C3_EXPANSION!$C$6:$F$6,MIN(4,COUNTIF(CAPA3_EXPANSION!$D$56:DD$56,"&gt;="&amp;11)))*CAPA3_EXPANSION!DD$36)</f>
        <v>2828.2799999999997</v>
      </c>
      <c r="DE18" s="88">
        <f>IF(COUNTIF(CAPA3_EXPANSION!$D$56:DE$56,"&gt;="&amp;11)=0,0,SUP_CONTROL!$C$8*IF($B18="V",1,IF($B18="D",(1+SUP_VOLUMEN!$C$26),(1+SUP_VOLUMEN!$C$27)))*INDEX(SUP_C3_EXPANSION!$C$6:$F$6,MIN(4,COUNTIF(CAPA3_EXPANSION!$D$56:DE$56,"&gt;="&amp;11)))*CAPA3_EXPANSION!DE$36)</f>
        <v>2828.2799999999997</v>
      </c>
      <c r="DF18" s="88">
        <f>IF(COUNTIF(CAPA3_EXPANSION!$D$56:DF$56,"&gt;="&amp;11)=0,0,SUP_CONTROL!$C$8*IF($B18="V",1,IF($B18="D",(1+SUP_VOLUMEN!$C$26),(1+SUP_VOLUMEN!$C$27)))*INDEX(SUP_C3_EXPANSION!$C$6:$F$6,MIN(4,COUNTIF(CAPA3_EXPANSION!$D$56:DF$56,"&gt;="&amp;11)))*CAPA3_EXPANSION!DF$36)</f>
        <v>2828.2799999999997</v>
      </c>
      <c r="DG18" s="88">
        <f>IF(COUNTIF(CAPA3_EXPANSION!$D$56:DG$56,"&gt;="&amp;11)=0,0,SUP_CONTROL!$C$8*IF($B18="V",1,IF($B18="D",(1+SUP_VOLUMEN!$C$26),(1+SUP_VOLUMEN!$C$27)))*INDEX(SUP_C3_EXPANSION!$C$6:$F$6,MIN(4,COUNTIF(CAPA3_EXPANSION!$D$56:DG$56,"&gt;="&amp;11)))*CAPA3_EXPANSION!DG$36)</f>
        <v>2828.2799999999997</v>
      </c>
      <c r="DH18" s="88">
        <f>IF(COUNTIF(CAPA3_EXPANSION!$D$56:DH$56,"&gt;="&amp;11)=0,0,SUP_CONTROL!$C$8*IF($B18="V",1,IF($B18="D",(1+SUP_VOLUMEN!$C$26),(1+SUP_VOLUMEN!$C$27)))*INDEX(SUP_C3_EXPANSION!$C$6:$F$6,MIN(4,COUNTIF(CAPA3_EXPANSION!$D$56:DH$56,"&gt;="&amp;11)))*CAPA3_EXPANSION!DH$36)</f>
        <v>2828.2799999999997</v>
      </c>
      <c r="DI18" s="88">
        <f>IF(COUNTIF(CAPA3_EXPANSION!$D$56:DI$56,"&gt;="&amp;11)=0,0,SUP_CONTROL!$C$8*IF($B18="V",1,IF($B18="D",(1+SUP_VOLUMEN!$C$26),(1+SUP_VOLUMEN!$C$27)))*INDEX(SUP_C3_EXPANSION!$C$6:$F$6,MIN(4,COUNTIF(CAPA3_EXPANSION!$D$56:DI$56,"&gt;="&amp;11)))*CAPA3_EXPANSION!DI$36)</f>
        <v>2828.2799999999997</v>
      </c>
      <c r="DJ18" s="88">
        <f>IF(COUNTIF(CAPA3_EXPANSION!$D$56:DJ$56,"&gt;="&amp;11)=0,0,SUP_CONTROL!$C$8*IF($B18="V",1,IF($B18="D",(1+SUP_VOLUMEN!$C$26),(1+SUP_VOLUMEN!$C$27)))*INDEX(SUP_C3_EXPANSION!$C$6:$F$6,MIN(4,COUNTIF(CAPA3_EXPANSION!$D$56:DJ$56,"&gt;="&amp;11)))*CAPA3_EXPANSION!DJ$36)</f>
        <v>2828.2799999999997</v>
      </c>
      <c r="DK18" s="88">
        <f>IF(COUNTIF(CAPA3_EXPANSION!$D$56:DK$56,"&gt;="&amp;11)=0,0,SUP_CONTROL!$C$8*IF($B18="V",1,IF($B18="D",(1+SUP_VOLUMEN!$C$26),(1+SUP_VOLUMEN!$C$27)))*INDEX(SUP_C3_EXPANSION!$C$6:$F$6,MIN(4,COUNTIF(CAPA3_EXPANSION!$D$56:DK$56,"&gt;="&amp;11)))*CAPA3_EXPANSION!DK$36)</f>
        <v>2828.2799999999997</v>
      </c>
      <c r="DL18" s="88">
        <f>IF(COUNTIF(CAPA3_EXPANSION!$D$56:DL$56,"&gt;="&amp;11)=0,0,SUP_CONTROL!$C$8*IF($B18="V",1,IF($B18="D",(1+SUP_VOLUMEN!$C$26),(1+SUP_VOLUMEN!$C$27)))*INDEX(SUP_C3_EXPANSION!$C$6:$F$6,MIN(4,COUNTIF(CAPA3_EXPANSION!$D$56:DL$56,"&gt;="&amp;11)))*CAPA3_EXPANSION!DL$36)</f>
        <v>2828.2799999999997</v>
      </c>
      <c r="DM18" s="88">
        <f>IF(COUNTIF(CAPA3_EXPANSION!$D$56:DM$56,"&gt;="&amp;11)=0,0,SUP_CONTROL!$C$8*IF($B18="V",1,IF($B18="D",(1+SUP_VOLUMEN!$C$26),(1+SUP_VOLUMEN!$C$27)))*INDEX(SUP_C3_EXPANSION!$C$6:$F$6,MIN(4,COUNTIF(CAPA3_EXPANSION!$D$56:DM$56,"&gt;="&amp;11)))*CAPA3_EXPANSION!DM$36)</f>
        <v>2828.2799999999997</v>
      </c>
      <c r="DN18" s="88">
        <f>IF(COUNTIF(CAPA3_EXPANSION!$D$56:DN$56,"&gt;="&amp;11)=0,0,SUP_CONTROL!$C$8*IF($B18="V",1,IF($B18="D",(1+SUP_VOLUMEN!$C$26),(1+SUP_VOLUMEN!$C$27)))*INDEX(SUP_C3_EXPANSION!$C$6:$F$6,MIN(4,COUNTIF(CAPA3_EXPANSION!$D$56:DN$56,"&gt;="&amp;11)))*CAPA3_EXPANSION!DN$36)</f>
        <v>2828.2799999999997</v>
      </c>
      <c r="DO18" s="88">
        <f>IF(COUNTIF(CAPA3_EXPANSION!$D$56:DO$56,"&gt;="&amp;11)=0,0,SUP_CONTROL!$C$8*IF($B18="V",1,IF($B18="D",(1+SUP_VOLUMEN!$C$26),(1+SUP_VOLUMEN!$C$27)))*INDEX(SUP_C3_EXPANSION!$C$6:$F$6,MIN(4,COUNTIF(CAPA3_EXPANSION!$D$56:DO$56,"&gt;="&amp;11)))*CAPA3_EXPANSION!DO$36)</f>
        <v>2828.2799999999997</v>
      </c>
      <c r="DP18" s="88">
        <f>IF(COUNTIF(CAPA3_EXPANSION!$D$56:DP$56,"&gt;="&amp;11)=0,0,SUP_CONTROL!$C$8*IF($B18="V",1,IF($B18="D",(1+SUP_VOLUMEN!$C$26),(1+SUP_VOLUMEN!$C$27)))*INDEX(SUP_C3_EXPANSION!$C$6:$F$6,MIN(4,COUNTIF(CAPA3_EXPANSION!$D$56:DP$56,"&gt;="&amp;11)))*CAPA3_EXPANSION!DP$36)</f>
        <v>2828.2799999999997</v>
      </c>
      <c r="DQ18" s="88">
        <f>IF(COUNTIF(CAPA3_EXPANSION!$D$56:DQ$56,"&gt;="&amp;11)=0,0,SUP_CONTROL!$C$8*IF($B18="V",1,IF($B18="D",(1+SUP_VOLUMEN!$C$26),(1+SUP_VOLUMEN!$C$27)))*INDEX(SUP_C3_EXPANSION!$C$6:$F$6,MIN(4,COUNTIF(CAPA3_EXPANSION!$D$56:DQ$56,"&gt;="&amp;11)))*CAPA3_EXPANSION!DQ$36)</f>
        <v>2828.2799999999997</v>
      </c>
      <c r="DR18" s="88">
        <f>IF(COUNTIF(CAPA3_EXPANSION!$D$56:DR$56,"&gt;="&amp;11)=0,0,SUP_CONTROL!$C$8*IF($B18="V",1,IF($B18="D",(1+SUP_VOLUMEN!$C$26),(1+SUP_VOLUMEN!$C$27)))*INDEX(SUP_C3_EXPANSION!$C$6:$F$6,MIN(4,COUNTIF(CAPA3_EXPANSION!$D$56:DR$56,"&gt;="&amp;11)))*CAPA3_EXPANSION!DR$36)</f>
        <v>2828.2799999999997</v>
      </c>
      <c r="DS18" s="88">
        <f>IF(COUNTIF(CAPA3_EXPANSION!$D$56:DS$56,"&gt;="&amp;11)=0,0,SUP_CONTROL!$C$8*IF($B18="V",1,IF($B18="D",(1+SUP_VOLUMEN!$C$26),(1+SUP_VOLUMEN!$C$27)))*INDEX(SUP_C3_EXPANSION!$C$6:$F$6,MIN(4,COUNTIF(CAPA3_EXPANSION!$D$56:DS$56,"&gt;="&amp;11)))*CAPA3_EXPANSION!DS$36)</f>
        <v>2828.2799999999997</v>
      </c>
    </row>
    <row r="19" spans="1:123" ht="15" customHeight="1" x14ac:dyDescent="0.2">
      <c r="A19" s="88">
        <v>22</v>
      </c>
      <c r="B19" s="104" t="str">
        <f>SUP_C3_EXPANSION!B31</f>
        <v>D</v>
      </c>
      <c r="C19" s="73">
        <f>SUP_C3_EXPANSION!G31</f>
        <v>38</v>
      </c>
      <c r="D19" s="88">
        <f>IF(COUNTIF(CAPA3_EXPANSION!$D$56:D$56,"&gt;="&amp;12)=0,0,SUP_CONTROL!$C$8*IF($B19="V",1,IF($B19="D",(1+SUP_VOLUMEN!$C$26),(1+SUP_VOLUMEN!$C$27)))*INDEX(SUP_C3_EXPANSION!$C$6:$F$6,MIN(4,COUNTIF(CAPA3_EXPANSION!$D$56:D$56,"&gt;="&amp;12)))*CAPA3_EXPANSION!D$36)</f>
        <v>0</v>
      </c>
      <c r="E19" s="88">
        <f>IF(COUNTIF(CAPA3_EXPANSION!$D$56:E$56,"&gt;="&amp;12)=0,0,SUP_CONTROL!$C$8*IF($B19="V",1,IF($B19="D",(1+SUP_VOLUMEN!$C$26),(1+SUP_VOLUMEN!$C$27)))*INDEX(SUP_C3_EXPANSION!$C$6:$F$6,MIN(4,COUNTIF(CAPA3_EXPANSION!$D$56:E$56,"&gt;="&amp;12)))*CAPA3_EXPANSION!E$36)</f>
        <v>0</v>
      </c>
      <c r="F19" s="88">
        <f>IF(COUNTIF(CAPA3_EXPANSION!$D$56:F$56,"&gt;="&amp;12)=0,0,SUP_CONTROL!$C$8*IF($B19="V",1,IF($B19="D",(1+SUP_VOLUMEN!$C$26),(1+SUP_VOLUMEN!$C$27)))*INDEX(SUP_C3_EXPANSION!$C$6:$F$6,MIN(4,COUNTIF(CAPA3_EXPANSION!$D$56:F$56,"&gt;="&amp;12)))*CAPA3_EXPANSION!F$36)</f>
        <v>0</v>
      </c>
      <c r="G19" s="88">
        <f>IF(COUNTIF(CAPA3_EXPANSION!$D$56:G$56,"&gt;="&amp;12)=0,0,SUP_CONTROL!$C$8*IF($B19="V",1,IF($B19="D",(1+SUP_VOLUMEN!$C$26),(1+SUP_VOLUMEN!$C$27)))*INDEX(SUP_C3_EXPANSION!$C$6:$F$6,MIN(4,COUNTIF(CAPA3_EXPANSION!$D$56:G$56,"&gt;="&amp;12)))*CAPA3_EXPANSION!G$36)</f>
        <v>0</v>
      </c>
      <c r="H19" s="88">
        <f>IF(COUNTIF(CAPA3_EXPANSION!$D$56:H$56,"&gt;="&amp;12)=0,0,SUP_CONTROL!$C$8*IF($B19="V",1,IF($B19="D",(1+SUP_VOLUMEN!$C$26),(1+SUP_VOLUMEN!$C$27)))*INDEX(SUP_C3_EXPANSION!$C$6:$F$6,MIN(4,COUNTIF(CAPA3_EXPANSION!$D$56:H$56,"&gt;="&amp;12)))*CAPA3_EXPANSION!H$36)</f>
        <v>0</v>
      </c>
      <c r="I19" s="88">
        <f>IF(COUNTIF(CAPA3_EXPANSION!$D$56:I$56,"&gt;="&amp;12)=0,0,SUP_CONTROL!$C$8*IF($B19="V",1,IF($B19="D",(1+SUP_VOLUMEN!$C$26),(1+SUP_VOLUMEN!$C$27)))*INDEX(SUP_C3_EXPANSION!$C$6:$F$6,MIN(4,COUNTIF(CAPA3_EXPANSION!$D$56:I$56,"&gt;="&amp;12)))*CAPA3_EXPANSION!I$36)</f>
        <v>0</v>
      </c>
      <c r="J19" s="88">
        <f>IF(COUNTIF(CAPA3_EXPANSION!$D$56:J$56,"&gt;="&amp;12)=0,0,SUP_CONTROL!$C$8*IF($B19="V",1,IF($B19="D",(1+SUP_VOLUMEN!$C$26),(1+SUP_VOLUMEN!$C$27)))*INDEX(SUP_C3_EXPANSION!$C$6:$F$6,MIN(4,COUNTIF(CAPA3_EXPANSION!$D$56:J$56,"&gt;="&amp;12)))*CAPA3_EXPANSION!J$36)</f>
        <v>0</v>
      </c>
      <c r="K19" s="88">
        <f>IF(COUNTIF(CAPA3_EXPANSION!$D$56:K$56,"&gt;="&amp;12)=0,0,SUP_CONTROL!$C$8*IF($B19="V",1,IF($B19="D",(1+SUP_VOLUMEN!$C$26),(1+SUP_VOLUMEN!$C$27)))*INDEX(SUP_C3_EXPANSION!$C$6:$F$6,MIN(4,COUNTIF(CAPA3_EXPANSION!$D$56:K$56,"&gt;="&amp;12)))*CAPA3_EXPANSION!K$36)</f>
        <v>0</v>
      </c>
      <c r="L19" s="88">
        <f>IF(COUNTIF(CAPA3_EXPANSION!$D$56:L$56,"&gt;="&amp;12)=0,0,SUP_CONTROL!$C$8*IF($B19="V",1,IF($B19="D",(1+SUP_VOLUMEN!$C$26),(1+SUP_VOLUMEN!$C$27)))*INDEX(SUP_C3_EXPANSION!$C$6:$F$6,MIN(4,COUNTIF(CAPA3_EXPANSION!$D$56:L$56,"&gt;="&amp;12)))*CAPA3_EXPANSION!L$36)</f>
        <v>0</v>
      </c>
      <c r="M19" s="88">
        <f>IF(COUNTIF(CAPA3_EXPANSION!$D$56:M$56,"&gt;="&amp;12)=0,0,SUP_CONTROL!$C$8*IF($B19="V",1,IF($B19="D",(1+SUP_VOLUMEN!$C$26),(1+SUP_VOLUMEN!$C$27)))*INDEX(SUP_C3_EXPANSION!$C$6:$F$6,MIN(4,COUNTIF(CAPA3_EXPANSION!$D$56:M$56,"&gt;="&amp;12)))*CAPA3_EXPANSION!M$36)</f>
        <v>0</v>
      </c>
      <c r="N19" s="88">
        <f>IF(COUNTIF(CAPA3_EXPANSION!$D$56:N$56,"&gt;="&amp;12)=0,0,SUP_CONTROL!$C$8*IF($B19="V",1,IF($B19="D",(1+SUP_VOLUMEN!$C$26),(1+SUP_VOLUMEN!$C$27)))*INDEX(SUP_C3_EXPANSION!$C$6:$F$6,MIN(4,COUNTIF(CAPA3_EXPANSION!$D$56:N$56,"&gt;="&amp;12)))*CAPA3_EXPANSION!N$36)</f>
        <v>0</v>
      </c>
      <c r="O19" s="88">
        <f>IF(COUNTIF(CAPA3_EXPANSION!$D$56:O$56,"&gt;="&amp;12)=0,0,SUP_CONTROL!$C$8*IF($B19="V",1,IF($B19="D",(1+SUP_VOLUMEN!$C$26),(1+SUP_VOLUMEN!$C$27)))*INDEX(SUP_C3_EXPANSION!$C$6:$F$6,MIN(4,COUNTIF(CAPA3_EXPANSION!$D$56:O$56,"&gt;="&amp;12)))*CAPA3_EXPANSION!O$36)</f>
        <v>0</v>
      </c>
      <c r="P19" s="88">
        <f>IF(COUNTIF(CAPA3_EXPANSION!$D$56:P$56,"&gt;="&amp;12)=0,0,SUP_CONTROL!$C$8*IF($B19="V",1,IF($B19="D",(1+SUP_VOLUMEN!$C$26),(1+SUP_VOLUMEN!$C$27)))*INDEX(SUP_C3_EXPANSION!$C$6:$F$6,MIN(4,COUNTIF(CAPA3_EXPANSION!$D$56:P$56,"&gt;="&amp;12)))*CAPA3_EXPANSION!P$36)</f>
        <v>0</v>
      </c>
      <c r="Q19" s="88">
        <f>IF(COUNTIF(CAPA3_EXPANSION!$D$56:Q$56,"&gt;="&amp;12)=0,0,SUP_CONTROL!$C$8*IF($B19="V",1,IF($B19="D",(1+SUP_VOLUMEN!$C$26),(1+SUP_VOLUMEN!$C$27)))*INDEX(SUP_C3_EXPANSION!$C$6:$F$6,MIN(4,COUNTIF(CAPA3_EXPANSION!$D$56:Q$56,"&gt;="&amp;12)))*CAPA3_EXPANSION!Q$36)</f>
        <v>0</v>
      </c>
      <c r="R19" s="88">
        <f>IF(COUNTIF(CAPA3_EXPANSION!$D$56:R$56,"&gt;="&amp;12)=0,0,SUP_CONTROL!$C$8*IF($B19="V",1,IF($B19="D",(1+SUP_VOLUMEN!$C$26),(1+SUP_VOLUMEN!$C$27)))*INDEX(SUP_C3_EXPANSION!$C$6:$F$6,MIN(4,COUNTIF(CAPA3_EXPANSION!$D$56:R$56,"&gt;="&amp;12)))*CAPA3_EXPANSION!R$36)</f>
        <v>0</v>
      </c>
      <c r="S19" s="88">
        <f>IF(COUNTIF(CAPA3_EXPANSION!$D$56:S$56,"&gt;="&amp;12)=0,0,SUP_CONTROL!$C$8*IF($B19="V",1,IF($B19="D",(1+SUP_VOLUMEN!$C$26),(1+SUP_VOLUMEN!$C$27)))*INDEX(SUP_C3_EXPANSION!$C$6:$F$6,MIN(4,COUNTIF(CAPA3_EXPANSION!$D$56:S$56,"&gt;="&amp;12)))*CAPA3_EXPANSION!S$36)</f>
        <v>0</v>
      </c>
      <c r="T19" s="88">
        <f>IF(COUNTIF(CAPA3_EXPANSION!$D$56:T$56,"&gt;="&amp;12)=0,0,SUP_CONTROL!$C$8*IF($B19="V",1,IF($B19="D",(1+SUP_VOLUMEN!$C$26),(1+SUP_VOLUMEN!$C$27)))*INDEX(SUP_C3_EXPANSION!$C$6:$F$6,MIN(4,COUNTIF(CAPA3_EXPANSION!$D$56:T$56,"&gt;="&amp;12)))*CAPA3_EXPANSION!T$36)</f>
        <v>0</v>
      </c>
      <c r="U19" s="88">
        <f>IF(COUNTIF(CAPA3_EXPANSION!$D$56:U$56,"&gt;="&amp;12)=0,0,SUP_CONTROL!$C$8*IF($B19="V",1,IF($B19="D",(1+SUP_VOLUMEN!$C$26),(1+SUP_VOLUMEN!$C$27)))*INDEX(SUP_C3_EXPANSION!$C$6:$F$6,MIN(4,COUNTIF(CAPA3_EXPANSION!$D$56:U$56,"&gt;="&amp;12)))*CAPA3_EXPANSION!U$36)</f>
        <v>0</v>
      </c>
      <c r="V19" s="88">
        <f>IF(COUNTIF(CAPA3_EXPANSION!$D$56:V$56,"&gt;="&amp;12)=0,0,SUP_CONTROL!$C$8*IF($B19="V",1,IF($B19="D",(1+SUP_VOLUMEN!$C$26),(1+SUP_VOLUMEN!$C$27)))*INDEX(SUP_C3_EXPANSION!$C$6:$F$6,MIN(4,COUNTIF(CAPA3_EXPANSION!$D$56:V$56,"&gt;="&amp;12)))*CAPA3_EXPANSION!V$36)</f>
        <v>0</v>
      </c>
      <c r="W19" s="88">
        <f>IF(COUNTIF(CAPA3_EXPANSION!$D$56:W$56,"&gt;="&amp;12)=0,0,SUP_CONTROL!$C$8*IF($B19="V",1,IF($B19="D",(1+SUP_VOLUMEN!$C$26),(1+SUP_VOLUMEN!$C$27)))*INDEX(SUP_C3_EXPANSION!$C$6:$F$6,MIN(4,COUNTIF(CAPA3_EXPANSION!$D$56:W$56,"&gt;="&amp;12)))*CAPA3_EXPANSION!W$36)</f>
        <v>0</v>
      </c>
      <c r="X19" s="88">
        <f>IF(COUNTIF(CAPA3_EXPANSION!$D$56:X$56,"&gt;="&amp;12)=0,0,SUP_CONTROL!$C$8*IF($B19="V",1,IF($B19="D",(1+SUP_VOLUMEN!$C$26),(1+SUP_VOLUMEN!$C$27)))*INDEX(SUP_C3_EXPANSION!$C$6:$F$6,MIN(4,COUNTIF(CAPA3_EXPANSION!$D$56:X$56,"&gt;="&amp;12)))*CAPA3_EXPANSION!X$36)</f>
        <v>0</v>
      </c>
      <c r="Y19" s="88">
        <f>IF(COUNTIF(CAPA3_EXPANSION!$D$56:Y$56,"&gt;="&amp;12)=0,0,SUP_CONTROL!$C$8*IF($B19="V",1,IF($B19="D",(1+SUP_VOLUMEN!$C$26),(1+SUP_VOLUMEN!$C$27)))*INDEX(SUP_C3_EXPANSION!$C$6:$F$6,MIN(4,COUNTIF(CAPA3_EXPANSION!$D$56:Y$56,"&gt;="&amp;12)))*CAPA3_EXPANSION!Y$36)</f>
        <v>0</v>
      </c>
      <c r="Z19" s="88">
        <f>IF(COUNTIF(CAPA3_EXPANSION!$D$56:Z$56,"&gt;="&amp;12)=0,0,SUP_CONTROL!$C$8*IF($B19="V",1,IF($B19="D",(1+SUP_VOLUMEN!$C$26),(1+SUP_VOLUMEN!$C$27)))*INDEX(SUP_C3_EXPANSION!$C$6:$F$6,MIN(4,COUNTIF(CAPA3_EXPANSION!$D$56:Z$56,"&gt;="&amp;12)))*CAPA3_EXPANSION!Z$36)</f>
        <v>0</v>
      </c>
      <c r="AA19" s="88">
        <f>IF(COUNTIF(CAPA3_EXPANSION!$D$56:AA$56,"&gt;="&amp;12)=0,0,SUP_CONTROL!$C$8*IF($B19="V",1,IF($B19="D",(1+SUP_VOLUMEN!$C$26),(1+SUP_VOLUMEN!$C$27)))*INDEX(SUP_C3_EXPANSION!$C$6:$F$6,MIN(4,COUNTIF(CAPA3_EXPANSION!$D$56:AA$56,"&gt;="&amp;12)))*CAPA3_EXPANSION!AA$36)</f>
        <v>0</v>
      </c>
      <c r="AB19" s="88">
        <f>IF(COUNTIF(CAPA3_EXPANSION!$D$56:AB$56,"&gt;="&amp;12)=0,0,SUP_CONTROL!$C$8*IF($B19="V",1,IF($B19="D",(1+SUP_VOLUMEN!$C$26),(1+SUP_VOLUMEN!$C$27)))*INDEX(SUP_C3_EXPANSION!$C$6:$F$6,MIN(4,COUNTIF(CAPA3_EXPANSION!$D$56:AB$56,"&gt;="&amp;12)))*CAPA3_EXPANSION!AB$36)</f>
        <v>0</v>
      </c>
      <c r="AC19" s="88">
        <f>IF(COUNTIF(CAPA3_EXPANSION!$D$56:AC$56,"&gt;="&amp;12)=0,0,SUP_CONTROL!$C$8*IF($B19="V",1,IF($B19="D",(1+SUP_VOLUMEN!$C$26),(1+SUP_VOLUMEN!$C$27)))*INDEX(SUP_C3_EXPANSION!$C$6:$F$6,MIN(4,COUNTIF(CAPA3_EXPANSION!$D$56:AC$56,"&gt;="&amp;12)))*CAPA3_EXPANSION!AC$36)</f>
        <v>0</v>
      </c>
      <c r="AD19" s="88">
        <f>IF(COUNTIF(CAPA3_EXPANSION!$D$56:AD$56,"&gt;="&amp;12)=0,0,SUP_CONTROL!$C$8*IF($B19="V",1,IF($B19="D",(1+SUP_VOLUMEN!$C$26),(1+SUP_VOLUMEN!$C$27)))*INDEX(SUP_C3_EXPANSION!$C$6:$F$6,MIN(4,COUNTIF(CAPA3_EXPANSION!$D$56:AD$56,"&gt;="&amp;12)))*CAPA3_EXPANSION!AD$36)</f>
        <v>0</v>
      </c>
      <c r="AE19" s="88">
        <f>IF(COUNTIF(CAPA3_EXPANSION!$D$56:AE$56,"&gt;="&amp;12)=0,0,SUP_CONTROL!$C$8*IF($B19="V",1,IF($B19="D",(1+SUP_VOLUMEN!$C$26),(1+SUP_VOLUMEN!$C$27)))*INDEX(SUP_C3_EXPANSION!$C$6:$F$6,MIN(4,COUNTIF(CAPA3_EXPANSION!$D$56:AE$56,"&gt;="&amp;12)))*CAPA3_EXPANSION!AE$36)</f>
        <v>0</v>
      </c>
      <c r="AF19" s="88">
        <f>IF(COUNTIF(CAPA3_EXPANSION!$D$56:AF$56,"&gt;="&amp;12)=0,0,SUP_CONTROL!$C$8*IF($B19="V",1,IF($B19="D",(1+SUP_VOLUMEN!$C$26),(1+SUP_VOLUMEN!$C$27)))*INDEX(SUP_C3_EXPANSION!$C$6:$F$6,MIN(4,COUNTIF(CAPA3_EXPANSION!$D$56:AF$56,"&gt;="&amp;12)))*CAPA3_EXPANSION!AF$36)</f>
        <v>0</v>
      </c>
      <c r="AG19" s="88">
        <f>IF(COUNTIF(CAPA3_EXPANSION!$D$56:AG$56,"&gt;="&amp;12)=0,0,SUP_CONTROL!$C$8*IF($B19="V",1,IF($B19="D",(1+SUP_VOLUMEN!$C$26),(1+SUP_VOLUMEN!$C$27)))*INDEX(SUP_C3_EXPANSION!$C$6:$F$6,MIN(4,COUNTIF(CAPA3_EXPANSION!$D$56:AG$56,"&gt;="&amp;12)))*CAPA3_EXPANSION!AG$36)</f>
        <v>0</v>
      </c>
      <c r="AH19" s="88">
        <f>IF(COUNTIF(CAPA3_EXPANSION!$D$56:AH$56,"&gt;="&amp;12)=0,0,SUP_CONTROL!$C$8*IF($B19="V",1,IF($B19="D",(1+SUP_VOLUMEN!$C$26),(1+SUP_VOLUMEN!$C$27)))*INDEX(SUP_C3_EXPANSION!$C$6:$F$6,MIN(4,COUNTIF(CAPA3_EXPANSION!$D$56:AH$56,"&gt;="&amp;12)))*CAPA3_EXPANSION!AH$36)</f>
        <v>0</v>
      </c>
      <c r="AI19" s="88">
        <f>IF(COUNTIF(CAPA3_EXPANSION!$D$56:AI$56,"&gt;="&amp;12)=0,0,SUP_CONTROL!$C$8*IF($B19="V",1,IF($B19="D",(1+SUP_VOLUMEN!$C$26),(1+SUP_VOLUMEN!$C$27)))*INDEX(SUP_C3_EXPANSION!$C$6:$F$6,MIN(4,COUNTIF(CAPA3_EXPANSION!$D$56:AI$56,"&gt;="&amp;12)))*CAPA3_EXPANSION!AI$36)</f>
        <v>0</v>
      </c>
      <c r="AJ19" s="88">
        <f>IF(COUNTIF(CAPA3_EXPANSION!$D$56:AJ$56,"&gt;="&amp;12)=0,0,SUP_CONTROL!$C$8*IF($B19="V",1,IF($B19="D",(1+SUP_VOLUMEN!$C$26),(1+SUP_VOLUMEN!$C$27)))*INDEX(SUP_C3_EXPANSION!$C$6:$F$6,MIN(4,COUNTIF(CAPA3_EXPANSION!$D$56:AJ$56,"&gt;="&amp;12)))*CAPA3_EXPANSION!AJ$36)</f>
        <v>0</v>
      </c>
      <c r="AK19" s="88">
        <f>IF(COUNTIF(CAPA3_EXPANSION!$D$56:AK$56,"&gt;="&amp;12)=0,0,SUP_CONTROL!$C$8*IF($B19="V",1,IF($B19="D",(1+SUP_VOLUMEN!$C$26),(1+SUP_VOLUMEN!$C$27)))*INDEX(SUP_C3_EXPANSION!$C$6:$F$6,MIN(4,COUNTIF(CAPA3_EXPANSION!$D$56:AK$56,"&gt;="&amp;12)))*CAPA3_EXPANSION!AK$36)</f>
        <v>0</v>
      </c>
      <c r="AL19" s="88">
        <f>IF(COUNTIF(CAPA3_EXPANSION!$D$56:AL$56,"&gt;="&amp;12)=0,0,SUP_CONTROL!$C$8*IF($B19="V",1,IF($B19="D",(1+SUP_VOLUMEN!$C$26),(1+SUP_VOLUMEN!$C$27)))*INDEX(SUP_C3_EXPANSION!$C$6:$F$6,MIN(4,COUNTIF(CAPA3_EXPANSION!$D$56:AL$56,"&gt;="&amp;12)))*CAPA3_EXPANSION!AL$36)</f>
        <v>0</v>
      </c>
      <c r="AM19" s="88">
        <f>IF(COUNTIF(CAPA3_EXPANSION!$D$56:AM$56,"&gt;="&amp;12)=0,0,SUP_CONTROL!$C$8*IF($B19="V",1,IF($B19="D",(1+SUP_VOLUMEN!$C$26),(1+SUP_VOLUMEN!$C$27)))*INDEX(SUP_C3_EXPANSION!$C$6:$F$6,MIN(4,COUNTIF(CAPA3_EXPANSION!$D$56:AM$56,"&gt;="&amp;12)))*CAPA3_EXPANSION!AM$36)</f>
        <v>0</v>
      </c>
      <c r="AN19" s="88">
        <f>IF(COUNTIF(CAPA3_EXPANSION!$D$56:AN$56,"&gt;="&amp;12)=0,0,SUP_CONTROL!$C$8*IF($B19="V",1,IF($B19="D",(1+SUP_VOLUMEN!$C$26),(1+SUP_VOLUMEN!$C$27)))*INDEX(SUP_C3_EXPANSION!$C$6:$F$6,MIN(4,COUNTIF(CAPA3_EXPANSION!$D$56:AN$56,"&gt;="&amp;12)))*CAPA3_EXPANSION!AN$36)</f>
        <v>0</v>
      </c>
      <c r="AO19" s="88">
        <f>IF(COUNTIF(CAPA3_EXPANSION!$D$56:AO$56,"&gt;="&amp;12)=0,0,SUP_CONTROL!$C$8*IF($B19="V",1,IF($B19="D",(1+SUP_VOLUMEN!$C$26),(1+SUP_VOLUMEN!$C$27)))*INDEX(SUP_C3_EXPANSION!$C$6:$F$6,MIN(4,COUNTIF(CAPA3_EXPANSION!$D$56:AO$56,"&gt;="&amp;12)))*CAPA3_EXPANSION!AO$36)</f>
        <v>0</v>
      </c>
      <c r="AP19" s="88">
        <f>IF(COUNTIF(CAPA3_EXPANSION!$D$56:AP$56,"&gt;="&amp;12)=0,0,SUP_CONTROL!$C$8*IF($B19="V",1,IF($B19="D",(1+SUP_VOLUMEN!$C$26),(1+SUP_VOLUMEN!$C$27)))*INDEX(SUP_C3_EXPANSION!$C$6:$F$6,MIN(4,COUNTIF(CAPA3_EXPANSION!$D$56:AP$56,"&gt;="&amp;12)))*CAPA3_EXPANSION!AP$36)</f>
        <v>0</v>
      </c>
      <c r="AQ19" s="88">
        <f>IF(COUNTIF(CAPA3_EXPANSION!$D$56:AQ$56,"&gt;="&amp;12)=0,0,SUP_CONTROL!$C$8*IF($B19="V",1,IF($B19="D",(1+SUP_VOLUMEN!$C$26),(1+SUP_VOLUMEN!$C$27)))*INDEX(SUP_C3_EXPANSION!$C$6:$F$6,MIN(4,COUNTIF(CAPA3_EXPANSION!$D$56:AQ$56,"&gt;="&amp;12)))*CAPA3_EXPANSION!AQ$36)</f>
        <v>0</v>
      </c>
      <c r="AR19" s="88">
        <f>IF(COUNTIF(CAPA3_EXPANSION!$D$56:AR$56,"&gt;="&amp;12)=0,0,SUP_CONTROL!$C$8*IF($B19="V",1,IF($B19="D",(1+SUP_VOLUMEN!$C$26),(1+SUP_VOLUMEN!$C$27)))*INDEX(SUP_C3_EXPANSION!$C$6:$F$6,MIN(4,COUNTIF(CAPA3_EXPANSION!$D$56:AR$56,"&gt;="&amp;12)))*CAPA3_EXPANSION!AR$36)</f>
        <v>2688.633675</v>
      </c>
      <c r="AS19" s="88">
        <f>IF(COUNTIF(CAPA3_EXPANSION!$D$56:AS$56,"&gt;="&amp;12)=0,0,SUP_CONTROL!$C$8*IF($B19="V",1,IF($B19="D",(1+SUP_VOLUMEN!$C$26),(1+SUP_VOLUMEN!$C$27)))*INDEX(SUP_C3_EXPANSION!$C$6:$F$6,MIN(4,COUNTIF(CAPA3_EXPANSION!$D$56:AS$56,"&gt;="&amp;12)))*CAPA3_EXPANSION!AS$36)</f>
        <v>3309.0876000000003</v>
      </c>
      <c r="AT19" s="88">
        <f>IF(COUNTIF(CAPA3_EXPANSION!$D$56:AT$56,"&gt;="&amp;12)=0,0,SUP_CONTROL!$C$8*IF($B19="V",1,IF($B19="D",(1+SUP_VOLUMEN!$C$26),(1+SUP_VOLUMEN!$C$27)))*INDEX(SUP_C3_EXPANSION!$C$6:$F$6,MIN(4,COUNTIF(CAPA3_EXPANSION!$D$56:AT$56,"&gt;="&amp;12)))*CAPA3_EXPANSION!AT$36)</f>
        <v>3722.7235500000002</v>
      </c>
      <c r="AU19" s="88">
        <f>IF(COUNTIF(CAPA3_EXPANSION!$D$56:AU$56,"&gt;="&amp;12)=0,0,SUP_CONTROL!$C$8*IF($B19="V",1,IF($B19="D",(1+SUP_VOLUMEN!$C$26),(1+SUP_VOLUMEN!$C$27)))*INDEX(SUP_C3_EXPANSION!$C$6:$F$6,MIN(4,COUNTIF(CAPA3_EXPANSION!$D$56:AU$56,"&gt;="&amp;12)))*CAPA3_EXPANSION!AU$36)</f>
        <v>4136.3595000000005</v>
      </c>
      <c r="AV19" s="88">
        <f>IF(COUNTIF(CAPA3_EXPANSION!$D$56:AV$56,"&gt;="&amp;12)=0,0,SUP_CONTROL!$C$8*IF($B19="V",1,IF($B19="D",(1+SUP_VOLUMEN!$C$26),(1+SUP_VOLUMEN!$C$27)))*INDEX(SUP_C3_EXPANSION!$C$6:$F$6,MIN(4,COUNTIF(CAPA3_EXPANSION!$D$56:AV$56,"&gt;="&amp;12)))*CAPA3_EXPANSION!AV$36)</f>
        <v>4136.3595000000005</v>
      </c>
      <c r="AW19" s="88">
        <f>IF(COUNTIF(CAPA3_EXPANSION!$D$56:AW$56,"&gt;="&amp;12)=0,0,SUP_CONTROL!$C$8*IF($B19="V",1,IF($B19="D",(1+SUP_VOLUMEN!$C$26),(1+SUP_VOLUMEN!$C$27)))*INDEX(SUP_C3_EXPANSION!$C$6:$F$6,MIN(4,COUNTIF(CAPA3_EXPANSION!$D$56:AW$56,"&gt;="&amp;12)))*CAPA3_EXPANSION!AW$36)</f>
        <v>4136.3595000000005</v>
      </c>
      <c r="AX19" s="88">
        <f>IF(COUNTIF(CAPA3_EXPANSION!$D$56:AX$56,"&gt;="&amp;12)=0,0,SUP_CONTROL!$C$8*IF($B19="V",1,IF($B19="D",(1+SUP_VOLUMEN!$C$26),(1+SUP_VOLUMEN!$C$27)))*INDEX(SUP_C3_EXPANSION!$C$6:$F$6,MIN(4,COUNTIF(CAPA3_EXPANSION!$D$56:AX$56,"&gt;="&amp;12)))*CAPA3_EXPANSION!AX$36)</f>
        <v>4136.3595000000005</v>
      </c>
      <c r="AY19" s="88">
        <f>IF(COUNTIF(CAPA3_EXPANSION!$D$56:AY$56,"&gt;="&amp;12)=0,0,SUP_CONTROL!$C$8*IF($B19="V",1,IF($B19="D",(1+SUP_VOLUMEN!$C$26),(1+SUP_VOLUMEN!$C$27)))*INDEX(SUP_C3_EXPANSION!$C$6:$F$6,MIN(4,COUNTIF(CAPA3_EXPANSION!$D$56:AY$56,"&gt;="&amp;12)))*CAPA3_EXPANSION!AY$36)</f>
        <v>4136.3595000000005</v>
      </c>
      <c r="AZ19" s="88">
        <f>IF(COUNTIF(CAPA3_EXPANSION!$D$56:AZ$56,"&gt;="&amp;12)=0,0,SUP_CONTROL!$C$8*IF($B19="V",1,IF($B19="D",(1+SUP_VOLUMEN!$C$26),(1+SUP_VOLUMEN!$C$27)))*INDEX(SUP_C3_EXPANSION!$C$6:$F$6,MIN(4,COUNTIF(CAPA3_EXPANSION!$D$56:AZ$56,"&gt;="&amp;12)))*CAPA3_EXPANSION!AZ$36)</f>
        <v>4136.3595000000005</v>
      </c>
      <c r="BA19" s="88">
        <f>IF(COUNTIF(CAPA3_EXPANSION!$D$56:BA$56,"&gt;="&amp;12)=0,0,SUP_CONTROL!$C$8*IF($B19="V",1,IF($B19="D",(1+SUP_VOLUMEN!$C$26),(1+SUP_VOLUMEN!$C$27)))*INDEX(SUP_C3_EXPANSION!$C$6:$F$6,MIN(4,COUNTIF(CAPA3_EXPANSION!$D$56:BA$56,"&gt;="&amp;12)))*CAPA3_EXPANSION!BA$36)</f>
        <v>4026.9320000000007</v>
      </c>
      <c r="BB19" s="88">
        <f>IF(COUNTIF(CAPA3_EXPANSION!$D$56:BB$56,"&gt;="&amp;12)=0,0,SUP_CONTROL!$C$8*IF($B19="V",1,IF($B19="D",(1+SUP_VOLUMEN!$C$26),(1+SUP_VOLUMEN!$C$27)))*INDEX(SUP_C3_EXPANSION!$C$6:$F$6,MIN(4,COUNTIF(CAPA3_EXPANSION!$D$56:BB$56,"&gt;="&amp;12)))*CAPA3_EXPANSION!BB$36)</f>
        <v>4026.9320000000007</v>
      </c>
      <c r="BC19" s="88">
        <f>IF(COUNTIF(CAPA3_EXPANSION!$D$56:BC$56,"&gt;="&amp;12)=0,0,SUP_CONTROL!$C$8*IF($B19="V",1,IF($B19="D",(1+SUP_VOLUMEN!$C$26),(1+SUP_VOLUMEN!$C$27)))*INDEX(SUP_C3_EXPANSION!$C$6:$F$6,MIN(4,COUNTIF(CAPA3_EXPANSION!$D$56:BC$56,"&gt;="&amp;12)))*CAPA3_EXPANSION!BC$36)</f>
        <v>4026.9320000000007</v>
      </c>
      <c r="BD19" s="88">
        <f>IF(COUNTIF(CAPA3_EXPANSION!$D$56:BD$56,"&gt;="&amp;12)=0,0,SUP_CONTROL!$C$8*IF($B19="V",1,IF($B19="D",(1+SUP_VOLUMEN!$C$26),(1+SUP_VOLUMEN!$C$27)))*INDEX(SUP_C3_EXPANSION!$C$6:$F$6,MIN(4,COUNTIF(CAPA3_EXPANSION!$D$56:BD$56,"&gt;="&amp;12)))*CAPA3_EXPANSION!BD$36)</f>
        <v>4026.9320000000007</v>
      </c>
      <c r="BE19" s="88">
        <f>IF(COUNTIF(CAPA3_EXPANSION!$D$56:BE$56,"&gt;="&amp;12)=0,0,SUP_CONTROL!$C$8*IF($B19="V",1,IF($B19="D",(1+SUP_VOLUMEN!$C$26),(1+SUP_VOLUMEN!$C$27)))*INDEX(SUP_C3_EXPANSION!$C$6:$F$6,MIN(4,COUNTIF(CAPA3_EXPANSION!$D$56:BE$56,"&gt;="&amp;12)))*CAPA3_EXPANSION!BE$36)</f>
        <v>4026.9320000000007</v>
      </c>
      <c r="BF19" s="88">
        <f>IF(COUNTIF(CAPA3_EXPANSION!$D$56:BF$56,"&gt;="&amp;12)=0,0,SUP_CONTROL!$C$8*IF($B19="V",1,IF($B19="D",(1+SUP_VOLUMEN!$C$26),(1+SUP_VOLUMEN!$C$27)))*INDEX(SUP_C3_EXPANSION!$C$6:$F$6,MIN(4,COUNTIF(CAPA3_EXPANSION!$D$56:BF$56,"&gt;="&amp;12)))*CAPA3_EXPANSION!BF$36)</f>
        <v>3939.3900000000003</v>
      </c>
      <c r="BG19" s="88">
        <f>IF(COUNTIF(CAPA3_EXPANSION!$D$56:BG$56,"&gt;="&amp;12)=0,0,SUP_CONTROL!$C$8*IF($B19="V",1,IF($B19="D",(1+SUP_VOLUMEN!$C$26),(1+SUP_VOLUMEN!$C$27)))*INDEX(SUP_C3_EXPANSION!$C$6:$F$6,MIN(4,COUNTIF(CAPA3_EXPANSION!$D$56:BG$56,"&gt;="&amp;12)))*CAPA3_EXPANSION!BG$36)</f>
        <v>3939.3900000000003</v>
      </c>
      <c r="BH19" s="88">
        <f>IF(COUNTIF(CAPA3_EXPANSION!$D$56:BH$56,"&gt;="&amp;12)=0,0,SUP_CONTROL!$C$8*IF($B19="V",1,IF($B19="D",(1+SUP_VOLUMEN!$C$26),(1+SUP_VOLUMEN!$C$27)))*INDEX(SUP_C3_EXPANSION!$C$6:$F$6,MIN(4,COUNTIF(CAPA3_EXPANSION!$D$56:BH$56,"&gt;="&amp;12)))*CAPA3_EXPANSION!BH$36)</f>
        <v>3939.3900000000003</v>
      </c>
      <c r="BI19" s="88">
        <f>IF(COUNTIF(CAPA3_EXPANSION!$D$56:BI$56,"&gt;="&amp;12)=0,0,SUP_CONTROL!$C$8*IF($B19="V",1,IF($B19="D",(1+SUP_VOLUMEN!$C$26),(1+SUP_VOLUMEN!$C$27)))*INDEX(SUP_C3_EXPANSION!$C$6:$F$6,MIN(4,COUNTIF(CAPA3_EXPANSION!$D$56:BI$56,"&gt;="&amp;12)))*CAPA3_EXPANSION!BI$36)</f>
        <v>3939.3900000000003</v>
      </c>
      <c r="BJ19" s="88">
        <f>IF(COUNTIF(CAPA3_EXPANSION!$D$56:BJ$56,"&gt;="&amp;12)=0,0,SUP_CONTROL!$C$8*IF($B19="V",1,IF($B19="D",(1+SUP_VOLUMEN!$C$26),(1+SUP_VOLUMEN!$C$27)))*INDEX(SUP_C3_EXPANSION!$C$6:$F$6,MIN(4,COUNTIF(CAPA3_EXPANSION!$D$56:BJ$56,"&gt;="&amp;12)))*CAPA3_EXPANSION!BJ$36)</f>
        <v>3939.3900000000003</v>
      </c>
      <c r="BK19" s="88">
        <f>IF(COUNTIF(CAPA3_EXPANSION!$D$56:BK$56,"&gt;="&amp;12)=0,0,SUP_CONTROL!$C$8*IF($B19="V",1,IF($B19="D",(1+SUP_VOLUMEN!$C$26),(1+SUP_VOLUMEN!$C$27)))*INDEX(SUP_C3_EXPANSION!$C$6:$F$6,MIN(4,COUNTIF(CAPA3_EXPANSION!$D$56:BK$56,"&gt;="&amp;12)))*CAPA3_EXPANSION!BK$36)</f>
        <v>3851.8480000000004</v>
      </c>
      <c r="BL19" s="88">
        <f>IF(COUNTIF(CAPA3_EXPANSION!$D$56:BL$56,"&gt;="&amp;12)=0,0,SUP_CONTROL!$C$8*IF($B19="V",1,IF($B19="D",(1+SUP_VOLUMEN!$C$26),(1+SUP_VOLUMEN!$C$27)))*INDEX(SUP_C3_EXPANSION!$C$6:$F$6,MIN(4,COUNTIF(CAPA3_EXPANSION!$D$56:BL$56,"&gt;="&amp;12)))*CAPA3_EXPANSION!BL$36)</f>
        <v>3851.8480000000004</v>
      </c>
      <c r="BM19" s="88">
        <f>IF(COUNTIF(CAPA3_EXPANSION!$D$56:BM$56,"&gt;="&amp;12)=0,0,SUP_CONTROL!$C$8*IF($B19="V",1,IF($B19="D",(1+SUP_VOLUMEN!$C$26),(1+SUP_VOLUMEN!$C$27)))*INDEX(SUP_C3_EXPANSION!$C$6:$F$6,MIN(4,COUNTIF(CAPA3_EXPANSION!$D$56:BM$56,"&gt;="&amp;12)))*CAPA3_EXPANSION!BM$36)</f>
        <v>3851.8480000000004</v>
      </c>
      <c r="BN19" s="88">
        <f>IF(COUNTIF(CAPA3_EXPANSION!$D$56:BN$56,"&gt;="&amp;12)=0,0,SUP_CONTROL!$C$8*IF($B19="V",1,IF($B19="D",(1+SUP_VOLUMEN!$C$26),(1+SUP_VOLUMEN!$C$27)))*INDEX(SUP_C3_EXPANSION!$C$6:$F$6,MIN(4,COUNTIF(CAPA3_EXPANSION!$D$56:BN$56,"&gt;="&amp;12)))*CAPA3_EXPANSION!BN$36)</f>
        <v>3851.8480000000004</v>
      </c>
      <c r="BO19" s="88">
        <f>IF(COUNTIF(CAPA3_EXPANSION!$D$56:BO$56,"&gt;="&amp;12)=0,0,SUP_CONTROL!$C$8*IF($B19="V",1,IF($B19="D",(1+SUP_VOLUMEN!$C$26),(1+SUP_VOLUMEN!$C$27)))*INDEX(SUP_C3_EXPANSION!$C$6:$F$6,MIN(4,COUNTIF(CAPA3_EXPANSION!$D$56:BO$56,"&gt;="&amp;12)))*CAPA3_EXPANSION!BO$36)</f>
        <v>3851.8480000000004</v>
      </c>
      <c r="BP19" s="88">
        <f>IF(COUNTIF(CAPA3_EXPANSION!$D$56:BP$56,"&gt;="&amp;12)=0,0,SUP_CONTROL!$C$8*IF($B19="V",1,IF($B19="D",(1+SUP_VOLUMEN!$C$26),(1+SUP_VOLUMEN!$C$27)))*INDEX(SUP_C3_EXPANSION!$C$6:$F$6,MIN(4,COUNTIF(CAPA3_EXPANSION!$D$56:BP$56,"&gt;="&amp;12)))*CAPA3_EXPANSION!BP$36)</f>
        <v>3786.1915000000004</v>
      </c>
      <c r="BQ19" s="88">
        <f>IF(COUNTIF(CAPA3_EXPANSION!$D$56:BQ$56,"&gt;="&amp;12)=0,0,SUP_CONTROL!$C$8*IF($B19="V",1,IF($B19="D",(1+SUP_VOLUMEN!$C$26),(1+SUP_VOLUMEN!$C$27)))*INDEX(SUP_C3_EXPANSION!$C$6:$F$6,MIN(4,COUNTIF(CAPA3_EXPANSION!$D$56:BQ$56,"&gt;="&amp;12)))*CAPA3_EXPANSION!BQ$36)</f>
        <v>3786.1915000000004</v>
      </c>
      <c r="BR19" s="88">
        <f>IF(COUNTIF(CAPA3_EXPANSION!$D$56:BR$56,"&gt;="&amp;12)=0,0,SUP_CONTROL!$C$8*IF($B19="V",1,IF($B19="D",(1+SUP_VOLUMEN!$C$26),(1+SUP_VOLUMEN!$C$27)))*INDEX(SUP_C3_EXPANSION!$C$6:$F$6,MIN(4,COUNTIF(CAPA3_EXPANSION!$D$56:BR$56,"&gt;="&amp;12)))*CAPA3_EXPANSION!BR$36)</f>
        <v>3786.1915000000004</v>
      </c>
      <c r="BS19" s="88">
        <f>IF(COUNTIF(CAPA3_EXPANSION!$D$56:BS$56,"&gt;="&amp;12)=0,0,SUP_CONTROL!$C$8*IF($B19="V",1,IF($B19="D",(1+SUP_VOLUMEN!$C$26),(1+SUP_VOLUMEN!$C$27)))*INDEX(SUP_C3_EXPANSION!$C$6:$F$6,MIN(4,COUNTIF(CAPA3_EXPANSION!$D$56:BS$56,"&gt;="&amp;12)))*CAPA3_EXPANSION!BS$36)</f>
        <v>3786.1915000000004</v>
      </c>
      <c r="BT19" s="88">
        <f>IF(COUNTIF(CAPA3_EXPANSION!$D$56:BT$56,"&gt;="&amp;12)=0,0,SUP_CONTROL!$C$8*IF($B19="V",1,IF($B19="D",(1+SUP_VOLUMEN!$C$26),(1+SUP_VOLUMEN!$C$27)))*INDEX(SUP_C3_EXPANSION!$C$6:$F$6,MIN(4,COUNTIF(CAPA3_EXPANSION!$D$56:BT$56,"&gt;="&amp;12)))*CAPA3_EXPANSION!BT$36)</f>
        <v>3786.1915000000004</v>
      </c>
      <c r="BU19" s="88">
        <f>IF(COUNTIF(CAPA3_EXPANSION!$D$56:BU$56,"&gt;="&amp;12)=0,0,SUP_CONTROL!$C$8*IF($B19="V",1,IF($B19="D",(1+SUP_VOLUMEN!$C$26),(1+SUP_VOLUMEN!$C$27)))*INDEX(SUP_C3_EXPANSION!$C$6:$F$6,MIN(4,COUNTIF(CAPA3_EXPANSION!$D$56:BU$56,"&gt;="&amp;12)))*CAPA3_EXPANSION!BU$36)</f>
        <v>3720.5350000000003</v>
      </c>
      <c r="BV19" s="88">
        <f>IF(COUNTIF(CAPA3_EXPANSION!$D$56:BV$56,"&gt;="&amp;12)=0,0,SUP_CONTROL!$C$8*IF($B19="V",1,IF($B19="D",(1+SUP_VOLUMEN!$C$26),(1+SUP_VOLUMEN!$C$27)))*INDEX(SUP_C3_EXPANSION!$C$6:$F$6,MIN(4,COUNTIF(CAPA3_EXPANSION!$D$56:BV$56,"&gt;="&amp;12)))*CAPA3_EXPANSION!BV$36)</f>
        <v>3720.5350000000003</v>
      </c>
      <c r="BW19" s="88">
        <f>IF(COUNTIF(CAPA3_EXPANSION!$D$56:BW$56,"&gt;="&amp;12)=0,0,SUP_CONTROL!$C$8*IF($B19="V",1,IF($B19="D",(1+SUP_VOLUMEN!$C$26),(1+SUP_VOLUMEN!$C$27)))*INDEX(SUP_C3_EXPANSION!$C$6:$F$6,MIN(4,COUNTIF(CAPA3_EXPANSION!$D$56:BW$56,"&gt;="&amp;12)))*CAPA3_EXPANSION!BW$36)</f>
        <v>3720.5350000000003</v>
      </c>
      <c r="BX19" s="88">
        <f>IF(COUNTIF(CAPA3_EXPANSION!$D$56:BX$56,"&gt;="&amp;12)=0,0,SUP_CONTROL!$C$8*IF($B19="V",1,IF($B19="D",(1+SUP_VOLUMEN!$C$26),(1+SUP_VOLUMEN!$C$27)))*INDEX(SUP_C3_EXPANSION!$C$6:$F$6,MIN(4,COUNTIF(CAPA3_EXPANSION!$D$56:BX$56,"&gt;="&amp;12)))*CAPA3_EXPANSION!BX$36)</f>
        <v>3720.5350000000003</v>
      </c>
      <c r="BY19" s="88">
        <f>IF(COUNTIF(CAPA3_EXPANSION!$D$56:BY$56,"&gt;="&amp;12)=0,0,SUP_CONTROL!$C$8*IF($B19="V",1,IF($B19="D",(1+SUP_VOLUMEN!$C$26),(1+SUP_VOLUMEN!$C$27)))*INDEX(SUP_C3_EXPANSION!$C$6:$F$6,MIN(4,COUNTIF(CAPA3_EXPANSION!$D$56:BY$56,"&gt;="&amp;12)))*CAPA3_EXPANSION!BY$36)</f>
        <v>3720.5350000000003</v>
      </c>
      <c r="BZ19" s="88">
        <f>IF(COUNTIF(CAPA3_EXPANSION!$D$56:BZ$56,"&gt;="&amp;12)=0,0,SUP_CONTROL!$C$8*IF($B19="V",1,IF($B19="D",(1+SUP_VOLUMEN!$C$26),(1+SUP_VOLUMEN!$C$27)))*INDEX(SUP_C3_EXPANSION!$C$6:$F$6,MIN(4,COUNTIF(CAPA3_EXPANSION!$D$56:BZ$56,"&gt;="&amp;12)))*CAPA3_EXPANSION!BZ$36)</f>
        <v>3676.7640000000001</v>
      </c>
      <c r="CA19" s="88">
        <f>IF(COUNTIF(CAPA3_EXPANSION!$D$56:CA$56,"&gt;="&amp;12)=0,0,SUP_CONTROL!$C$8*IF($B19="V",1,IF($B19="D",(1+SUP_VOLUMEN!$C$26),(1+SUP_VOLUMEN!$C$27)))*INDEX(SUP_C3_EXPANSION!$C$6:$F$6,MIN(4,COUNTIF(CAPA3_EXPANSION!$D$56:CA$56,"&gt;="&amp;12)))*CAPA3_EXPANSION!CA$36)</f>
        <v>3676.7640000000001</v>
      </c>
      <c r="CB19" s="88">
        <f>IF(COUNTIF(CAPA3_EXPANSION!$D$56:CB$56,"&gt;="&amp;12)=0,0,SUP_CONTROL!$C$8*IF($B19="V",1,IF($B19="D",(1+SUP_VOLUMEN!$C$26),(1+SUP_VOLUMEN!$C$27)))*INDEX(SUP_C3_EXPANSION!$C$6:$F$6,MIN(4,COUNTIF(CAPA3_EXPANSION!$D$56:CB$56,"&gt;="&amp;12)))*CAPA3_EXPANSION!CB$36)</f>
        <v>3676.7640000000001</v>
      </c>
      <c r="CC19" s="88">
        <f>IF(COUNTIF(CAPA3_EXPANSION!$D$56:CC$56,"&gt;="&amp;12)=0,0,SUP_CONTROL!$C$8*IF($B19="V",1,IF($B19="D",(1+SUP_VOLUMEN!$C$26),(1+SUP_VOLUMEN!$C$27)))*INDEX(SUP_C3_EXPANSION!$C$6:$F$6,MIN(4,COUNTIF(CAPA3_EXPANSION!$D$56:CC$56,"&gt;="&amp;12)))*CAPA3_EXPANSION!CC$36)</f>
        <v>3676.7640000000001</v>
      </c>
      <c r="CD19" s="88">
        <f>IF(COUNTIF(CAPA3_EXPANSION!$D$56:CD$56,"&gt;="&amp;12)=0,0,SUP_CONTROL!$C$8*IF($B19="V",1,IF($B19="D",(1+SUP_VOLUMEN!$C$26),(1+SUP_VOLUMEN!$C$27)))*INDEX(SUP_C3_EXPANSION!$C$6:$F$6,MIN(4,COUNTIF(CAPA3_EXPANSION!$D$56:CD$56,"&gt;="&amp;12)))*CAPA3_EXPANSION!CD$36)</f>
        <v>3676.7640000000001</v>
      </c>
      <c r="CE19" s="88">
        <f>IF(COUNTIF(CAPA3_EXPANSION!$D$56:CE$56,"&gt;="&amp;12)=0,0,SUP_CONTROL!$C$8*IF($B19="V",1,IF($B19="D",(1+SUP_VOLUMEN!$C$26),(1+SUP_VOLUMEN!$C$27)))*INDEX(SUP_C3_EXPANSION!$C$6:$F$6,MIN(4,COUNTIF(CAPA3_EXPANSION!$D$56:CE$56,"&gt;="&amp;12)))*CAPA3_EXPANSION!CE$36)</f>
        <v>3676.7640000000001</v>
      </c>
      <c r="CF19" s="88">
        <f>IF(COUNTIF(CAPA3_EXPANSION!$D$56:CF$56,"&gt;="&amp;12)=0,0,SUP_CONTROL!$C$8*IF($B19="V",1,IF($B19="D",(1+SUP_VOLUMEN!$C$26),(1+SUP_VOLUMEN!$C$27)))*INDEX(SUP_C3_EXPANSION!$C$6:$F$6,MIN(4,COUNTIF(CAPA3_EXPANSION!$D$56:CF$56,"&gt;="&amp;12)))*CAPA3_EXPANSION!CF$36)</f>
        <v>3676.7640000000001</v>
      </c>
      <c r="CG19" s="88">
        <f>IF(COUNTIF(CAPA3_EXPANSION!$D$56:CG$56,"&gt;="&amp;12)=0,0,SUP_CONTROL!$C$8*IF($B19="V",1,IF($B19="D",(1+SUP_VOLUMEN!$C$26),(1+SUP_VOLUMEN!$C$27)))*INDEX(SUP_C3_EXPANSION!$C$6:$F$6,MIN(4,COUNTIF(CAPA3_EXPANSION!$D$56:CG$56,"&gt;="&amp;12)))*CAPA3_EXPANSION!CG$36)</f>
        <v>3676.7640000000001</v>
      </c>
      <c r="CH19" s="88">
        <f>IF(COUNTIF(CAPA3_EXPANSION!$D$56:CH$56,"&gt;="&amp;12)=0,0,SUP_CONTROL!$C$8*IF($B19="V",1,IF($B19="D",(1+SUP_VOLUMEN!$C$26),(1+SUP_VOLUMEN!$C$27)))*INDEX(SUP_C3_EXPANSION!$C$6:$F$6,MIN(4,COUNTIF(CAPA3_EXPANSION!$D$56:CH$56,"&gt;="&amp;12)))*CAPA3_EXPANSION!CH$36)</f>
        <v>3676.7640000000001</v>
      </c>
      <c r="CI19" s="88">
        <f>IF(COUNTIF(CAPA3_EXPANSION!$D$56:CI$56,"&gt;="&amp;12)=0,0,SUP_CONTROL!$C$8*IF($B19="V",1,IF($B19="D",(1+SUP_VOLUMEN!$C$26),(1+SUP_VOLUMEN!$C$27)))*INDEX(SUP_C3_EXPANSION!$C$6:$F$6,MIN(4,COUNTIF(CAPA3_EXPANSION!$D$56:CI$56,"&gt;="&amp;12)))*CAPA3_EXPANSION!CI$36)</f>
        <v>3676.7640000000001</v>
      </c>
      <c r="CJ19" s="88">
        <f>IF(COUNTIF(CAPA3_EXPANSION!$D$56:CJ$56,"&gt;="&amp;12)=0,0,SUP_CONTROL!$C$8*IF($B19="V",1,IF($B19="D",(1+SUP_VOLUMEN!$C$26),(1+SUP_VOLUMEN!$C$27)))*INDEX(SUP_C3_EXPANSION!$C$6:$F$6,MIN(4,COUNTIF(CAPA3_EXPANSION!$D$56:CJ$56,"&gt;="&amp;12)))*CAPA3_EXPANSION!CJ$36)</f>
        <v>3676.7640000000001</v>
      </c>
      <c r="CK19" s="88">
        <f>IF(COUNTIF(CAPA3_EXPANSION!$D$56:CK$56,"&gt;="&amp;12)=0,0,SUP_CONTROL!$C$8*IF($B19="V",1,IF($B19="D",(1+SUP_VOLUMEN!$C$26),(1+SUP_VOLUMEN!$C$27)))*INDEX(SUP_C3_EXPANSION!$C$6:$F$6,MIN(4,COUNTIF(CAPA3_EXPANSION!$D$56:CK$56,"&gt;="&amp;12)))*CAPA3_EXPANSION!CK$36)</f>
        <v>3676.7640000000001</v>
      </c>
      <c r="CL19" s="88">
        <f>IF(COUNTIF(CAPA3_EXPANSION!$D$56:CL$56,"&gt;="&amp;12)=0,0,SUP_CONTROL!$C$8*IF($B19="V",1,IF($B19="D",(1+SUP_VOLUMEN!$C$26),(1+SUP_VOLUMEN!$C$27)))*INDEX(SUP_C3_EXPANSION!$C$6:$F$6,MIN(4,COUNTIF(CAPA3_EXPANSION!$D$56:CL$56,"&gt;="&amp;12)))*CAPA3_EXPANSION!CL$36)</f>
        <v>3676.7640000000001</v>
      </c>
      <c r="CM19" s="88">
        <f>IF(COUNTIF(CAPA3_EXPANSION!$D$56:CM$56,"&gt;="&amp;12)=0,0,SUP_CONTROL!$C$8*IF($B19="V",1,IF($B19="D",(1+SUP_VOLUMEN!$C$26),(1+SUP_VOLUMEN!$C$27)))*INDEX(SUP_C3_EXPANSION!$C$6:$F$6,MIN(4,COUNTIF(CAPA3_EXPANSION!$D$56:CM$56,"&gt;="&amp;12)))*CAPA3_EXPANSION!CM$36)</f>
        <v>3676.7640000000001</v>
      </c>
      <c r="CN19" s="88">
        <f>IF(COUNTIF(CAPA3_EXPANSION!$D$56:CN$56,"&gt;="&amp;12)=0,0,SUP_CONTROL!$C$8*IF($B19="V",1,IF($B19="D",(1+SUP_VOLUMEN!$C$26),(1+SUP_VOLUMEN!$C$27)))*INDEX(SUP_C3_EXPANSION!$C$6:$F$6,MIN(4,COUNTIF(CAPA3_EXPANSION!$D$56:CN$56,"&gt;="&amp;12)))*CAPA3_EXPANSION!CN$36)</f>
        <v>3676.7640000000001</v>
      </c>
      <c r="CO19" s="88">
        <f>IF(COUNTIF(CAPA3_EXPANSION!$D$56:CO$56,"&gt;="&amp;12)=0,0,SUP_CONTROL!$C$8*IF($B19="V",1,IF($B19="D",(1+SUP_VOLUMEN!$C$26),(1+SUP_VOLUMEN!$C$27)))*INDEX(SUP_C3_EXPANSION!$C$6:$F$6,MIN(4,COUNTIF(CAPA3_EXPANSION!$D$56:CO$56,"&gt;="&amp;12)))*CAPA3_EXPANSION!CO$36)</f>
        <v>3676.7640000000001</v>
      </c>
      <c r="CP19" s="88">
        <f>IF(COUNTIF(CAPA3_EXPANSION!$D$56:CP$56,"&gt;="&amp;12)=0,0,SUP_CONTROL!$C$8*IF($B19="V",1,IF($B19="D",(1+SUP_VOLUMEN!$C$26),(1+SUP_VOLUMEN!$C$27)))*INDEX(SUP_C3_EXPANSION!$C$6:$F$6,MIN(4,COUNTIF(CAPA3_EXPANSION!$D$56:CP$56,"&gt;="&amp;12)))*CAPA3_EXPANSION!CP$36)</f>
        <v>3676.7640000000001</v>
      </c>
      <c r="CQ19" s="88">
        <f>IF(COUNTIF(CAPA3_EXPANSION!$D$56:CQ$56,"&gt;="&amp;12)=0,0,SUP_CONTROL!$C$8*IF($B19="V",1,IF($B19="D",(1+SUP_VOLUMEN!$C$26),(1+SUP_VOLUMEN!$C$27)))*INDEX(SUP_C3_EXPANSION!$C$6:$F$6,MIN(4,COUNTIF(CAPA3_EXPANSION!$D$56:CQ$56,"&gt;="&amp;12)))*CAPA3_EXPANSION!CQ$36)</f>
        <v>3676.7640000000001</v>
      </c>
      <c r="CR19" s="88">
        <f>IF(COUNTIF(CAPA3_EXPANSION!$D$56:CR$56,"&gt;="&amp;12)=0,0,SUP_CONTROL!$C$8*IF($B19="V",1,IF($B19="D",(1+SUP_VOLUMEN!$C$26),(1+SUP_VOLUMEN!$C$27)))*INDEX(SUP_C3_EXPANSION!$C$6:$F$6,MIN(4,COUNTIF(CAPA3_EXPANSION!$D$56:CR$56,"&gt;="&amp;12)))*CAPA3_EXPANSION!CR$36)</f>
        <v>3676.7640000000001</v>
      </c>
      <c r="CS19" s="88">
        <f>IF(COUNTIF(CAPA3_EXPANSION!$D$56:CS$56,"&gt;="&amp;12)=0,0,SUP_CONTROL!$C$8*IF($B19="V",1,IF($B19="D",(1+SUP_VOLUMEN!$C$26),(1+SUP_VOLUMEN!$C$27)))*INDEX(SUP_C3_EXPANSION!$C$6:$F$6,MIN(4,COUNTIF(CAPA3_EXPANSION!$D$56:CS$56,"&gt;="&amp;12)))*CAPA3_EXPANSION!CS$36)</f>
        <v>3676.7640000000001</v>
      </c>
      <c r="CT19" s="88">
        <f>IF(COUNTIF(CAPA3_EXPANSION!$D$56:CT$56,"&gt;="&amp;12)=0,0,SUP_CONTROL!$C$8*IF($B19="V",1,IF($B19="D",(1+SUP_VOLUMEN!$C$26),(1+SUP_VOLUMEN!$C$27)))*INDEX(SUP_C3_EXPANSION!$C$6:$F$6,MIN(4,COUNTIF(CAPA3_EXPANSION!$D$56:CT$56,"&gt;="&amp;12)))*CAPA3_EXPANSION!CT$36)</f>
        <v>3676.7640000000001</v>
      </c>
      <c r="CU19" s="88">
        <f>IF(COUNTIF(CAPA3_EXPANSION!$D$56:CU$56,"&gt;="&amp;12)=0,0,SUP_CONTROL!$C$8*IF($B19="V",1,IF($B19="D",(1+SUP_VOLUMEN!$C$26),(1+SUP_VOLUMEN!$C$27)))*INDEX(SUP_C3_EXPANSION!$C$6:$F$6,MIN(4,COUNTIF(CAPA3_EXPANSION!$D$56:CU$56,"&gt;="&amp;12)))*CAPA3_EXPANSION!CU$36)</f>
        <v>3676.7640000000001</v>
      </c>
      <c r="CV19" s="88">
        <f>IF(COUNTIF(CAPA3_EXPANSION!$D$56:CV$56,"&gt;="&amp;12)=0,0,SUP_CONTROL!$C$8*IF($B19="V",1,IF($B19="D",(1+SUP_VOLUMEN!$C$26),(1+SUP_VOLUMEN!$C$27)))*INDEX(SUP_C3_EXPANSION!$C$6:$F$6,MIN(4,COUNTIF(CAPA3_EXPANSION!$D$56:CV$56,"&gt;="&amp;12)))*CAPA3_EXPANSION!CV$36)</f>
        <v>3676.7640000000001</v>
      </c>
      <c r="CW19" s="88">
        <f>IF(COUNTIF(CAPA3_EXPANSION!$D$56:CW$56,"&gt;="&amp;12)=0,0,SUP_CONTROL!$C$8*IF($B19="V",1,IF($B19="D",(1+SUP_VOLUMEN!$C$26),(1+SUP_VOLUMEN!$C$27)))*INDEX(SUP_C3_EXPANSION!$C$6:$F$6,MIN(4,COUNTIF(CAPA3_EXPANSION!$D$56:CW$56,"&gt;="&amp;12)))*CAPA3_EXPANSION!CW$36)</f>
        <v>3676.7640000000001</v>
      </c>
      <c r="CX19" s="88">
        <f>IF(COUNTIF(CAPA3_EXPANSION!$D$56:CX$56,"&gt;="&amp;12)=0,0,SUP_CONTROL!$C$8*IF($B19="V",1,IF($B19="D",(1+SUP_VOLUMEN!$C$26),(1+SUP_VOLUMEN!$C$27)))*INDEX(SUP_C3_EXPANSION!$C$6:$F$6,MIN(4,COUNTIF(CAPA3_EXPANSION!$D$56:CX$56,"&gt;="&amp;12)))*CAPA3_EXPANSION!CX$36)</f>
        <v>3676.7640000000001</v>
      </c>
      <c r="CY19" s="88">
        <f>IF(COUNTIF(CAPA3_EXPANSION!$D$56:CY$56,"&gt;="&amp;12)=0,0,SUP_CONTROL!$C$8*IF($B19="V",1,IF($B19="D",(1+SUP_VOLUMEN!$C$26),(1+SUP_VOLUMEN!$C$27)))*INDEX(SUP_C3_EXPANSION!$C$6:$F$6,MIN(4,COUNTIF(CAPA3_EXPANSION!$D$56:CY$56,"&gt;="&amp;12)))*CAPA3_EXPANSION!CY$36)</f>
        <v>3676.7640000000001</v>
      </c>
      <c r="CZ19" s="88">
        <f>IF(COUNTIF(CAPA3_EXPANSION!$D$56:CZ$56,"&gt;="&amp;12)=0,0,SUP_CONTROL!$C$8*IF($B19="V",1,IF($B19="D",(1+SUP_VOLUMEN!$C$26),(1+SUP_VOLUMEN!$C$27)))*INDEX(SUP_C3_EXPANSION!$C$6:$F$6,MIN(4,COUNTIF(CAPA3_EXPANSION!$D$56:CZ$56,"&gt;="&amp;12)))*CAPA3_EXPANSION!CZ$36)</f>
        <v>3676.7640000000001</v>
      </c>
      <c r="DA19" s="88">
        <f>IF(COUNTIF(CAPA3_EXPANSION!$D$56:DA$56,"&gt;="&amp;12)=0,0,SUP_CONTROL!$C$8*IF($B19="V",1,IF($B19="D",(1+SUP_VOLUMEN!$C$26),(1+SUP_VOLUMEN!$C$27)))*INDEX(SUP_C3_EXPANSION!$C$6:$F$6,MIN(4,COUNTIF(CAPA3_EXPANSION!$D$56:DA$56,"&gt;="&amp;12)))*CAPA3_EXPANSION!DA$36)</f>
        <v>3676.7640000000001</v>
      </c>
      <c r="DB19" s="88">
        <f>IF(COUNTIF(CAPA3_EXPANSION!$D$56:DB$56,"&gt;="&amp;12)=0,0,SUP_CONTROL!$C$8*IF($B19="V",1,IF($B19="D",(1+SUP_VOLUMEN!$C$26),(1+SUP_VOLUMEN!$C$27)))*INDEX(SUP_C3_EXPANSION!$C$6:$F$6,MIN(4,COUNTIF(CAPA3_EXPANSION!$D$56:DB$56,"&gt;="&amp;12)))*CAPA3_EXPANSION!DB$36)</f>
        <v>3676.7640000000001</v>
      </c>
      <c r="DC19" s="88">
        <f>IF(COUNTIF(CAPA3_EXPANSION!$D$56:DC$56,"&gt;="&amp;12)=0,0,SUP_CONTROL!$C$8*IF($B19="V",1,IF($B19="D",(1+SUP_VOLUMEN!$C$26),(1+SUP_VOLUMEN!$C$27)))*INDEX(SUP_C3_EXPANSION!$C$6:$F$6,MIN(4,COUNTIF(CAPA3_EXPANSION!$D$56:DC$56,"&gt;="&amp;12)))*CAPA3_EXPANSION!DC$36)</f>
        <v>3676.7640000000001</v>
      </c>
      <c r="DD19" s="88">
        <f>IF(COUNTIF(CAPA3_EXPANSION!$D$56:DD$56,"&gt;="&amp;12)=0,0,SUP_CONTROL!$C$8*IF($B19="V",1,IF($B19="D",(1+SUP_VOLUMEN!$C$26),(1+SUP_VOLUMEN!$C$27)))*INDEX(SUP_C3_EXPANSION!$C$6:$F$6,MIN(4,COUNTIF(CAPA3_EXPANSION!$D$56:DD$56,"&gt;="&amp;12)))*CAPA3_EXPANSION!DD$36)</f>
        <v>3676.7640000000001</v>
      </c>
      <c r="DE19" s="88">
        <f>IF(COUNTIF(CAPA3_EXPANSION!$D$56:DE$56,"&gt;="&amp;12)=0,0,SUP_CONTROL!$C$8*IF($B19="V",1,IF($B19="D",(1+SUP_VOLUMEN!$C$26),(1+SUP_VOLUMEN!$C$27)))*INDEX(SUP_C3_EXPANSION!$C$6:$F$6,MIN(4,COUNTIF(CAPA3_EXPANSION!$D$56:DE$56,"&gt;="&amp;12)))*CAPA3_EXPANSION!DE$36)</f>
        <v>3676.7640000000001</v>
      </c>
      <c r="DF19" s="88">
        <f>IF(COUNTIF(CAPA3_EXPANSION!$D$56:DF$56,"&gt;="&amp;12)=0,0,SUP_CONTROL!$C$8*IF($B19="V",1,IF($B19="D",(1+SUP_VOLUMEN!$C$26),(1+SUP_VOLUMEN!$C$27)))*INDEX(SUP_C3_EXPANSION!$C$6:$F$6,MIN(4,COUNTIF(CAPA3_EXPANSION!$D$56:DF$56,"&gt;="&amp;12)))*CAPA3_EXPANSION!DF$36)</f>
        <v>3676.7640000000001</v>
      </c>
      <c r="DG19" s="88">
        <f>IF(COUNTIF(CAPA3_EXPANSION!$D$56:DG$56,"&gt;="&amp;12)=0,0,SUP_CONTROL!$C$8*IF($B19="V",1,IF($B19="D",(1+SUP_VOLUMEN!$C$26),(1+SUP_VOLUMEN!$C$27)))*INDEX(SUP_C3_EXPANSION!$C$6:$F$6,MIN(4,COUNTIF(CAPA3_EXPANSION!$D$56:DG$56,"&gt;="&amp;12)))*CAPA3_EXPANSION!DG$36)</f>
        <v>3676.7640000000001</v>
      </c>
      <c r="DH19" s="88">
        <f>IF(COUNTIF(CAPA3_EXPANSION!$D$56:DH$56,"&gt;="&amp;12)=0,0,SUP_CONTROL!$C$8*IF($B19="V",1,IF($B19="D",(1+SUP_VOLUMEN!$C$26),(1+SUP_VOLUMEN!$C$27)))*INDEX(SUP_C3_EXPANSION!$C$6:$F$6,MIN(4,COUNTIF(CAPA3_EXPANSION!$D$56:DH$56,"&gt;="&amp;12)))*CAPA3_EXPANSION!DH$36)</f>
        <v>3676.7640000000001</v>
      </c>
      <c r="DI19" s="88">
        <f>IF(COUNTIF(CAPA3_EXPANSION!$D$56:DI$56,"&gt;="&amp;12)=0,0,SUP_CONTROL!$C$8*IF($B19="V",1,IF($B19="D",(1+SUP_VOLUMEN!$C$26),(1+SUP_VOLUMEN!$C$27)))*INDEX(SUP_C3_EXPANSION!$C$6:$F$6,MIN(4,COUNTIF(CAPA3_EXPANSION!$D$56:DI$56,"&gt;="&amp;12)))*CAPA3_EXPANSION!DI$36)</f>
        <v>3676.7640000000001</v>
      </c>
      <c r="DJ19" s="88">
        <f>IF(COUNTIF(CAPA3_EXPANSION!$D$56:DJ$56,"&gt;="&amp;12)=0,0,SUP_CONTROL!$C$8*IF($B19="V",1,IF($B19="D",(1+SUP_VOLUMEN!$C$26),(1+SUP_VOLUMEN!$C$27)))*INDEX(SUP_C3_EXPANSION!$C$6:$F$6,MIN(4,COUNTIF(CAPA3_EXPANSION!$D$56:DJ$56,"&gt;="&amp;12)))*CAPA3_EXPANSION!DJ$36)</f>
        <v>3676.7640000000001</v>
      </c>
      <c r="DK19" s="88">
        <f>IF(COUNTIF(CAPA3_EXPANSION!$D$56:DK$56,"&gt;="&amp;12)=0,0,SUP_CONTROL!$C$8*IF($B19="V",1,IF($B19="D",(1+SUP_VOLUMEN!$C$26),(1+SUP_VOLUMEN!$C$27)))*INDEX(SUP_C3_EXPANSION!$C$6:$F$6,MIN(4,COUNTIF(CAPA3_EXPANSION!$D$56:DK$56,"&gt;="&amp;12)))*CAPA3_EXPANSION!DK$36)</f>
        <v>3676.7640000000001</v>
      </c>
      <c r="DL19" s="88">
        <f>IF(COUNTIF(CAPA3_EXPANSION!$D$56:DL$56,"&gt;="&amp;12)=0,0,SUP_CONTROL!$C$8*IF($B19="V",1,IF($B19="D",(1+SUP_VOLUMEN!$C$26),(1+SUP_VOLUMEN!$C$27)))*INDEX(SUP_C3_EXPANSION!$C$6:$F$6,MIN(4,COUNTIF(CAPA3_EXPANSION!$D$56:DL$56,"&gt;="&amp;12)))*CAPA3_EXPANSION!DL$36)</f>
        <v>3676.7640000000001</v>
      </c>
      <c r="DM19" s="88">
        <f>IF(COUNTIF(CAPA3_EXPANSION!$D$56:DM$56,"&gt;="&amp;12)=0,0,SUP_CONTROL!$C$8*IF($B19="V",1,IF($B19="D",(1+SUP_VOLUMEN!$C$26),(1+SUP_VOLUMEN!$C$27)))*INDEX(SUP_C3_EXPANSION!$C$6:$F$6,MIN(4,COUNTIF(CAPA3_EXPANSION!$D$56:DM$56,"&gt;="&amp;12)))*CAPA3_EXPANSION!DM$36)</f>
        <v>3676.7640000000001</v>
      </c>
      <c r="DN19" s="88">
        <f>IF(COUNTIF(CAPA3_EXPANSION!$D$56:DN$56,"&gt;="&amp;12)=0,0,SUP_CONTROL!$C$8*IF($B19="V",1,IF($B19="D",(1+SUP_VOLUMEN!$C$26),(1+SUP_VOLUMEN!$C$27)))*INDEX(SUP_C3_EXPANSION!$C$6:$F$6,MIN(4,COUNTIF(CAPA3_EXPANSION!$D$56:DN$56,"&gt;="&amp;12)))*CAPA3_EXPANSION!DN$36)</f>
        <v>3676.7640000000001</v>
      </c>
      <c r="DO19" s="88">
        <f>IF(COUNTIF(CAPA3_EXPANSION!$D$56:DO$56,"&gt;="&amp;12)=0,0,SUP_CONTROL!$C$8*IF($B19="V",1,IF($B19="D",(1+SUP_VOLUMEN!$C$26),(1+SUP_VOLUMEN!$C$27)))*INDEX(SUP_C3_EXPANSION!$C$6:$F$6,MIN(4,COUNTIF(CAPA3_EXPANSION!$D$56:DO$56,"&gt;="&amp;12)))*CAPA3_EXPANSION!DO$36)</f>
        <v>3676.7640000000001</v>
      </c>
      <c r="DP19" s="88">
        <f>IF(COUNTIF(CAPA3_EXPANSION!$D$56:DP$56,"&gt;="&amp;12)=0,0,SUP_CONTROL!$C$8*IF($B19="V",1,IF($B19="D",(1+SUP_VOLUMEN!$C$26),(1+SUP_VOLUMEN!$C$27)))*INDEX(SUP_C3_EXPANSION!$C$6:$F$6,MIN(4,COUNTIF(CAPA3_EXPANSION!$D$56:DP$56,"&gt;="&amp;12)))*CAPA3_EXPANSION!DP$36)</f>
        <v>3676.7640000000001</v>
      </c>
      <c r="DQ19" s="88">
        <f>IF(COUNTIF(CAPA3_EXPANSION!$D$56:DQ$56,"&gt;="&amp;12)=0,0,SUP_CONTROL!$C$8*IF($B19="V",1,IF($B19="D",(1+SUP_VOLUMEN!$C$26),(1+SUP_VOLUMEN!$C$27)))*INDEX(SUP_C3_EXPANSION!$C$6:$F$6,MIN(4,COUNTIF(CAPA3_EXPANSION!$D$56:DQ$56,"&gt;="&amp;12)))*CAPA3_EXPANSION!DQ$36)</f>
        <v>3676.7640000000001</v>
      </c>
      <c r="DR19" s="88">
        <f>IF(COUNTIF(CAPA3_EXPANSION!$D$56:DR$56,"&gt;="&amp;12)=0,0,SUP_CONTROL!$C$8*IF($B19="V",1,IF($B19="D",(1+SUP_VOLUMEN!$C$26),(1+SUP_VOLUMEN!$C$27)))*INDEX(SUP_C3_EXPANSION!$C$6:$F$6,MIN(4,COUNTIF(CAPA3_EXPANSION!$D$56:DR$56,"&gt;="&amp;12)))*CAPA3_EXPANSION!DR$36)</f>
        <v>3676.7640000000001</v>
      </c>
      <c r="DS19" s="88">
        <f>IF(COUNTIF(CAPA3_EXPANSION!$D$56:DS$56,"&gt;="&amp;12)=0,0,SUP_CONTROL!$C$8*IF($B19="V",1,IF($B19="D",(1+SUP_VOLUMEN!$C$26),(1+SUP_VOLUMEN!$C$27)))*INDEX(SUP_C3_EXPANSION!$C$6:$F$6,MIN(4,COUNTIF(CAPA3_EXPANSION!$D$56:DS$56,"&gt;="&amp;12)))*CAPA3_EXPANSION!DS$36)</f>
        <v>3676.7640000000001</v>
      </c>
    </row>
    <row r="20" spans="1:123" ht="15" customHeight="1" x14ac:dyDescent="0.2">
      <c r="A20" s="88">
        <v>23</v>
      </c>
      <c r="B20" s="104" t="str">
        <f>SUP_C3_EXPANSION!B32</f>
        <v>V</v>
      </c>
      <c r="C20" s="73">
        <f>SUP_C3_EXPANSION!G32</f>
        <v>40</v>
      </c>
      <c r="D20" s="88">
        <f>IF(COUNTIF(CAPA3_EXPANSION!$D$56:D$56,"&gt;="&amp;13)=0,0,SUP_CONTROL!$C$8*IF($B20="V",1,IF($B20="D",(1+SUP_VOLUMEN!$C$26),(1+SUP_VOLUMEN!$C$27)))*INDEX(SUP_C3_EXPANSION!$C$6:$F$6,MIN(4,COUNTIF(CAPA3_EXPANSION!$D$56:D$56,"&gt;="&amp;13)))*CAPA3_EXPANSION!D$36)</f>
        <v>0</v>
      </c>
      <c r="E20" s="88">
        <f>IF(COUNTIF(CAPA3_EXPANSION!$D$56:E$56,"&gt;="&amp;13)=0,0,SUP_CONTROL!$C$8*IF($B20="V",1,IF($B20="D",(1+SUP_VOLUMEN!$C$26),(1+SUP_VOLUMEN!$C$27)))*INDEX(SUP_C3_EXPANSION!$C$6:$F$6,MIN(4,COUNTIF(CAPA3_EXPANSION!$D$56:E$56,"&gt;="&amp;13)))*CAPA3_EXPANSION!E$36)</f>
        <v>0</v>
      </c>
      <c r="F20" s="88">
        <f>IF(COUNTIF(CAPA3_EXPANSION!$D$56:F$56,"&gt;="&amp;13)=0,0,SUP_CONTROL!$C$8*IF($B20="V",1,IF($B20="D",(1+SUP_VOLUMEN!$C$26),(1+SUP_VOLUMEN!$C$27)))*INDEX(SUP_C3_EXPANSION!$C$6:$F$6,MIN(4,COUNTIF(CAPA3_EXPANSION!$D$56:F$56,"&gt;="&amp;13)))*CAPA3_EXPANSION!F$36)</f>
        <v>0</v>
      </c>
      <c r="G20" s="88">
        <f>IF(COUNTIF(CAPA3_EXPANSION!$D$56:G$56,"&gt;="&amp;13)=0,0,SUP_CONTROL!$C$8*IF($B20="V",1,IF($B20="D",(1+SUP_VOLUMEN!$C$26),(1+SUP_VOLUMEN!$C$27)))*INDEX(SUP_C3_EXPANSION!$C$6:$F$6,MIN(4,COUNTIF(CAPA3_EXPANSION!$D$56:G$56,"&gt;="&amp;13)))*CAPA3_EXPANSION!G$36)</f>
        <v>0</v>
      </c>
      <c r="H20" s="88">
        <f>IF(COUNTIF(CAPA3_EXPANSION!$D$56:H$56,"&gt;="&amp;13)=0,0,SUP_CONTROL!$C$8*IF($B20="V",1,IF($B20="D",(1+SUP_VOLUMEN!$C$26),(1+SUP_VOLUMEN!$C$27)))*INDEX(SUP_C3_EXPANSION!$C$6:$F$6,MIN(4,COUNTIF(CAPA3_EXPANSION!$D$56:H$56,"&gt;="&amp;13)))*CAPA3_EXPANSION!H$36)</f>
        <v>0</v>
      </c>
      <c r="I20" s="88">
        <f>IF(COUNTIF(CAPA3_EXPANSION!$D$56:I$56,"&gt;="&amp;13)=0,0,SUP_CONTROL!$C$8*IF($B20="V",1,IF($B20="D",(1+SUP_VOLUMEN!$C$26),(1+SUP_VOLUMEN!$C$27)))*INDEX(SUP_C3_EXPANSION!$C$6:$F$6,MIN(4,COUNTIF(CAPA3_EXPANSION!$D$56:I$56,"&gt;="&amp;13)))*CAPA3_EXPANSION!I$36)</f>
        <v>0</v>
      </c>
      <c r="J20" s="88">
        <f>IF(COUNTIF(CAPA3_EXPANSION!$D$56:J$56,"&gt;="&amp;13)=0,0,SUP_CONTROL!$C$8*IF($B20="V",1,IF($B20="D",(1+SUP_VOLUMEN!$C$26),(1+SUP_VOLUMEN!$C$27)))*INDEX(SUP_C3_EXPANSION!$C$6:$F$6,MIN(4,COUNTIF(CAPA3_EXPANSION!$D$56:J$56,"&gt;="&amp;13)))*CAPA3_EXPANSION!J$36)</f>
        <v>0</v>
      </c>
      <c r="K20" s="88">
        <f>IF(COUNTIF(CAPA3_EXPANSION!$D$56:K$56,"&gt;="&amp;13)=0,0,SUP_CONTROL!$C$8*IF($B20="V",1,IF($B20="D",(1+SUP_VOLUMEN!$C$26),(1+SUP_VOLUMEN!$C$27)))*INDEX(SUP_C3_EXPANSION!$C$6:$F$6,MIN(4,COUNTIF(CAPA3_EXPANSION!$D$56:K$56,"&gt;="&amp;13)))*CAPA3_EXPANSION!K$36)</f>
        <v>0</v>
      </c>
      <c r="L20" s="88">
        <f>IF(COUNTIF(CAPA3_EXPANSION!$D$56:L$56,"&gt;="&amp;13)=0,0,SUP_CONTROL!$C$8*IF($B20="V",1,IF($B20="D",(1+SUP_VOLUMEN!$C$26),(1+SUP_VOLUMEN!$C$27)))*INDEX(SUP_C3_EXPANSION!$C$6:$F$6,MIN(4,COUNTIF(CAPA3_EXPANSION!$D$56:L$56,"&gt;="&amp;13)))*CAPA3_EXPANSION!L$36)</f>
        <v>0</v>
      </c>
      <c r="M20" s="88">
        <f>IF(COUNTIF(CAPA3_EXPANSION!$D$56:M$56,"&gt;="&amp;13)=0,0,SUP_CONTROL!$C$8*IF($B20="V",1,IF($B20="D",(1+SUP_VOLUMEN!$C$26),(1+SUP_VOLUMEN!$C$27)))*INDEX(SUP_C3_EXPANSION!$C$6:$F$6,MIN(4,COUNTIF(CAPA3_EXPANSION!$D$56:M$56,"&gt;="&amp;13)))*CAPA3_EXPANSION!M$36)</f>
        <v>0</v>
      </c>
      <c r="N20" s="88">
        <f>IF(COUNTIF(CAPA3_EXPANSION!$D$56:N$56,"&gt;="&amp;13)=0,0,SUP_CONTROL!$C$8*IF($B20="V",1,IF($B20="D",(1+SUP_VOLUMEN!$C$26),(1+SUP_VOLUMEN!$C$27)))*INDEX(SUP_C3_EXPANSION!$C$6:$F$6,MIN(4,COUNTIF(CAPA3_EXPANSION!$D$56:N$56,"&gt;="&amp;13)))*CAPA3_EXPANSION!N$36)</f>
        <v>0</v>
      </c>
      <c r="O20" s="88">
        <f>IF(COUNTIF(CAPA3_EXPANSION!$D$56:O$56,"&gt;="&amp;13)=0,0,SUP_CONTROL!$C$8*IF($B20="V",1,IF($B20="D",(1+SUP_VOLUMEN!$C$26),(1+SUP_VOLUMEN!$C$27)))*INDEX(SUP_C3_EXPANSION!$C$6:$F$6,MIN(4,COUNTIF(CAPA3_EXPANSION!$D$56:O$56,"&gt;="&amp;13)))*CAPA3_EXPANSION!O$36)</f>
        <v>0</v>
      </c>
      <c r="P20" s="88">
        <f>IF(COUNTIF(CAPA3_EXPANSION!$D$56:P$56,"&gt;="&amp;13)=0,0,SUP_CONTROL!$C$8*IF($B20="V",1,IF($B20="D",(1+SUP_VOLUMEN!$C$26),(1+SUP_VOLUMEN!$C$27)))*INDEX(SUP_C3_EXPANSION!$C$6:$F$6,MIN(4,COUNTIF(CAPA3_EXPANSION!$D$56:P$56,"&gt;="&amp;13)))*CAPA3_EXPANSION!P$36)</f>
        <v>0</v>
      </c>
      <c r="Q20" s="88">
        <f>IF(COUNTIF(CAPA3_EXPANSION!$D$56:Q$56,"&gt;="&amp;13)=0,0,SUP_CONTROL!$C$8*IF($B20="V",1,IF($B20="D",(1+SUP_VOLUMEN!$C$26),(1+SUP_VOLUMEN!$C$27)))*INDEX(SUP_C3_EXPANSION!$C$6:$F$6,MIN(4,COUNTIF(CAPA3_EXPANSION!$D$56:Q$56,"&gt;="&amp;13)))*CAPA3_EXPANSION!Q$36)</f>
        <v>0</v>
      </c>
      <c r="R20" s="88">
        <f>IF(COUNTIF(CAPA3_EXPANSION!$D$56:R$56,"&gt;="&amp;13)=0,0,SUP_CONTROL!$C$8*IF($B20="V",1,IF($B20="D",(1+SUP_VOLUMEN!$C$26),(1+SUP_VOLUMEN!$C$27)))*INDEX(SUP_C3_EXPANSION!$C$6:$F$6,MIN(4,COUNTIF(CAPA3_EXPANSION!$D$56:R$56,"&gt;="&amp;13)))*CAPA3_EXPANSION!R$36)</f>
        <v>0</v>
      </c>
      <c r="S20" s="88">
        <f>IF(COUNTIF(CAPA3_EXPANSION!$D$56:S$56,"&gt;="&amp;13)=0,0,SUP_CONTROL!$C$8*IF($B20="V",1,IF($B20="D",(1+SUP_VOLUMEN!$C$26),(1+SUP_VOLUMEN!$C$27)))*INDEX(SUP_C3_EXPANSION!$C$6:$F$6,MIN(4,COUNTIF(CAPA3_EXPANSION!$D$56:S$56,"&gt;="&amp;13)))*CAPA3_EXPANSION!S$36)</f>
        <v>0</v>
      </c>
      <c r="T20" s="88">
        <f>IF(COUNTIF(CAPA3_EXPANSION!$D$56:T$56,"&gt;="&amp;13)=0,0,SUP_CONTROL!$C$8*IF($B20="V",1,IF($B20="D",(1+SUP_VOLUMEN!$C$26),(1+SUP_VOLUMEN!$C$27)))*INDEX(SUP_C3_EXPANSION!$C$6:$F$6,MIN(4,COUNTIF(CAPA3_EXPANSION!$D$56:T$56,"&gt;="&amp;13)))*CAPA3_EXPANSION!T$36)</f>
        <v>0</v>
      </c>
      <c r="U20" s="88">
        <f>IF(COUNTIF(CAPA3_EXPANSION!$D$56:U$56,"&gt;="&amp;13)=0,0,SUP_CONTROL!$C$8*IF($B20="V",1,IF($B20="D",(1+SUP_VOLUMEN!$C$26),(1+SUP_VOLUMEN!$C$27)))*INDEX(SUP_C3_EXPANSION!$C$6:$F$6,MIN(4,COUNTIF(CAPA3_EXPANSION!$D$56:U$56,"&gt;="&amp;13)))*CAPA3_EXPANSION!U$36)</f>
        <v>0</v>
      </c>
      <c r="V20" s="88">
        <f>IF(COUNTIF(CAPA3_EXPANSION!$D$56:V$56,"&gt;="&amp;13)=0,0,SUP_CONTROL!$C$8*IF($B20="V",1,IF($B20="D",(1+SUP_VOLUMEN!$C$26),(1+SUP_VOLUMEN!$C$27)))*INDEX(SUP_C3_EXPANSION!$C$6:$F$6,MIN(4,COUNTIF(CAPA3_EXPANSION!$D$56:V$56,"&gt;="&amp;13)))*CAPA3_EXPANSION!V$36)</f>
        <v>0</v>
      </c>
      <c r="W20" s="88">
        <f>IF(COUNTIF(CAPA3_EXPANSION!$D$56:W$56,"&gt;="&amp;13)=0,0,SUP_CONTROL!$C$8*IF($B20="V",1,IF($B20="D",(1+SUP_VOLUMEN!$C$26),(1+SUP_VOLUMEN!$C$27)))*INDEX(SUP_C3_EXPANSION!$C$6:$F$6,MIN(4,COUNTIF(CAPA3_EXPANSION!$D$56:W$56,"&gt;="&amp;13)))*CAPA3_EXPANSION!W$36)</f>
        <v>0</v>
      </c>
      <c r="X20" s="88">
        <f>IF(COUNTIF(CAPA3_EXPANSION!$D$56:X$56,"&gt;="&amp;13)=0,0,SUP_CONTROL!$C$8*IF($B20="V",1,IF($B20="D",(1+SUP_VOLUMEN!$C$26),(1+SUP_VOLUMEN!$C$27)))*INDEX(SUP_C3_EXPANSION!$C$6:$F$6,MIN(4,COUNTIF(CAPA3_EXPANSION!$D$56:X$56,"&gt;="&amp;13)))*CAPA3_EXPANSION!X$36)</f>
        <v>0</v>
      </c>
      <c r="Y20" s="88">
        <f>IF(COUNTIF(CAPA3_EXPANSION!$D$56:Y$56,"&gt;="&amp;13)=0,0,SUP_CONTROL!$C$8*IF($B20="V",1,IF($B20="D",(1+SUP_VOLUMEN!$C$26),(1+SUP_VOLUMEN!$C$27)))*INDEX(SUP_C3_EXPANSION!$C$6:$F$6,MIN(4,COUNTIF(CAPA3_EXPANSION!$D$56:Y$56,"&gt;="&amp;13)))*CAPA3_EXPANSION!Y$36)</f>
        <v>0</v>
      </c>
      <c r="Z20" s="88">
        <f>IF(COUNTIF(CAPA3_EXPANSION!$D$56:Z$56,"&gt;="&amp;13)=0,0,SUP_CONTROL!$C$8*IF($B20="V",1,IF($B20="D",(1+SUP_VOLUMEN!$C$26),(1+SUP_VOLUMEN!$C$27)))*INDEX(SUP_C3_EXPANSION!$C$6:$F$6,MIN(4,COUNTIF(CAPA3_EXPANSION!$D$56:Z$56,"&gt;="&amp;13)))*CAPA3_EXPANSION!Z$36)</f>
        <v>0</v>
      </c>
      <c r="AA20" s="88">
        <f>IF(COUNTIF(CAPA3_EXPANSION!$D$56:AA$56,"&gt;="&amp;13)=0,0,SUP_CONTROL!$C$8*IF($B20="V",1,IF($B20="D",(1+SUP_VOLUMEN!$C$26),(1+SUP_VOLUMEN!$C$27)))*INDEX(SUP_C3_EXPANSION!$C$6:$F$6,MIN(4,COUNTIF(CAPA3_EXPANSION!$D$56:AA$56,"&gt;="&amp;13)))*CAPA3_EXPANSION!AA$36)</f>
        <v>0</v>
      </c>
      <c r="AB20" s="88">
        <f>IF(COUNTIF(CAPA3_EXPANSION!$D$56:AB$56,"&gt;="&amp;13)=0,0,SUP_CONTROL!$C$8*IF($B20="V",1,IF($B20="D",(1+SUP_VOLUMEN!$C$26),(1+SUP_VOLUMEN!$C$27)))*INDEX(SUP_C3_EXPANSION!$C$6:$F$6,MIN(4,COUNTIF(CAPA3_EXPANSION!$D$56:AB$56,"&gt;="&amp;13)))*CAPA3_EXPANSION!AB$36)</f>
        <v>0</v>
      </c>
      <c r="AC20" s="88">
        <f>IF(COUNTIF(CAPA3_EXPANSION!$D$56:AC$56,"&gt;="&amp;13)=0,0,SUP_CONTROL!$C$8*IF($B20="V",1,IF($B20="D",(1+SUP_VOLUMEN!$C$26),(1+SUP_VOLUMEN!$C$27)))*INDEX(SUP_C3_EXPANSION!$C$6:$F$6,MIN(4,COUNTIF(CAPA3_EXPANSION!$D$56:AC$56,"&gt;="&amp;13)))*CAPA3_EXPANSION!AC$36)</f>
        <v>0</v>
      </c>
      <c r="AD20" s="88">
        <f>IF(COUNTIF(CAPA3_EXPANSION!$D$56:AD$56,"&gt;="&amp;13)=0,0,SUP_CONTROL!$C$8*IF($B20="V",1,IF($B20="D",(1+SUP_VOLUMEN!$C$26),(1+SUP_VOLUMEN!$C$27)))*INDEX(SUP_C3_EXPANSION!$C$6:$F$6,MIN(4,COUNTIF(CAPA3_EXPANSION!$D$56:AD$56,"&gt;="&amp;13)))*CAPA3_EXPANSION!AD$36)</f>
        <v>0</v>
      </c>
      <c r="AE20" s="88">
        <f>IF(COUNTIF(CAPA3_EXPANSION!$D$56:AE$56,"&gt;="&amp;13)=0,0,SUP_CONTROL!$C$8*IF($B20="V",1,IF($B20="D",(1+SUP_VOLUMEN!$C$26),(1+SUP_VOLUMEN!$C$27)))*INDEX(SUP_C3_EXPANSION!$C$6:$F$6,MIN(4,COUNTIF(CAPA3_EXPANSION!$D$56:AE$56,"&gt;="&amp;13)))*CAPA3_EXPANSION!AE$36)</f>
        <v>0</v>
      </c>
      <c r="AF20" s="88">
        <f>IF(COUNTIF(CAPA3_EXPANSION!$D$56:AF$56,"&gt;="&amp;13)=0,0,SUP_CONTROL!$C$8*IF($B20="V",1,IF($B20="D",(1+SUP_VOLUMEN!$C$26),(1+SUP_VOLUMEN!$C$27)))*INDEX(SUP_C3_EXPANSION!$C$6:$F$6,MIN(4,COUNTIF(CAPA3_EXPANSION!$D$56:AF$56,"&gt;="&amp;13)))*CAPA3_EXPANSION!AF$36)</f>
        <v>0</v>
      </c>
      <c r="AG20" s="88">
        <f>IF(COUNTIF(CAPA3_EXPANSION!$D$56:AG$56,"&gt;="&amp;13)=0,0,SUP_CONTROL!$C$8*IF($B20="V",1,IF($B20="D",(1+SUP_VOLUMEN!$C$26),(1+SUP_VOLUMEN!$C$27)))*INDEX(SUP_C3_EXPANSION!$C$6:$F$6,MIN(4,COUNTIF(CAPA3_EXPANSION!$D$56:AG$56,"&gt;="&amp;13)))*CAPA3_EXPANSION!AG$36)</f>
        <v>0</v>
      </c>
      <c r="AH20" s="88">
        <f>IF(COUNTIF(CAPA3_EXPANSION!$D$56:AH$56,"&gt;="&amp;13)=0,0,SUP_CONTROL!$C$8*IF($B20="V",1,IF($B20="D",(1+SUP_VOLUMEN!$C$26),(1+SUP_VOLUMEN!$C$27)))*INDEX(SUP_C3_EXPANSION!$C$6:$F$6,MIN(4,COUNTIF(CAPA3_EXPANSION!$D$56:AH$56,"&gt;="&amp;13)))*CAPA3_EXPANSION!AH$36)</f>
        <v>0</v>
      </c>
      <c r="AI20" s="88">
        <f>IF(COUNTIF(CAPA3_EXPANSION!$D$56:AI$56,"&gt;="&amp;13)=0,0,SUP_CONTROL!$C$8*IF($B20="V",1,IF($B20="D",(1+SUP_VOLUMEN!$C$26),(1+SUP_VOLUMEN!$C$27)))*INDEX(SUP_C3_EXPANSION!$C$6:$F$6,MIN(4,COUNTIF(CAPA3_EXPANSION!$D$56:AI$56,"&gt;="&amp;13)))*CAPA3_EXPANSION!AI$36)</f>
        <v>0</v>
      </c>
      <c r="AJ20" s="88">
        <f>IF(COUNTIF(CAPA3_EXPANSION!$D$56:AJ$56,"&gt;="&amp;13)=0,0,SUP_CONTROL!$C$8*IF($B20="V",1,IF($B20="D",(1+SUP_VOLUMEN!$C$26),(1+SUP_VOLUMEN!$C$27)))*INDEX(SUP_C3_EXPANSION!$C$6:$F$6,MIN(4,COUNTIF(CAPA3_EXPANSION!$D$56:AJ$56,"&gt;="&amp;13)))*CAPA3_EXPANSION!AJ$36)</f>
        <v>0</v>
      </c>
      <c r="AK20" s="88">
        <f>IF(COUNTIF(CAPA3_EXPANSION!$D$56:AK$56,"&gt;="&amp;13)=0,0,SUP_CONTROL!$C$8*IF($B20="V",1,IF($B20="D",(1+SUP_VOLUMEN!$C$26),(1+SUP_VOLUMEN!$C$27)))*INDEX(SUP_C3_EXPANSION!$C$6:$F$6,MIN(4,COUNTIF(CAPA3_EXPANSION!$D$56:AK$56,"&gt;="&amp;13)))*CAPA3_EXPANSION!AK$36)</f>
        <v>0</v>
      </c>
      <c r="AL20" s="88">
        <f>IF(COUNTIF(CAPA3_EXPANSION!$D$56:AL$56,"&gt;="&amp;13)=0,0,SUP_CONTROL!$C$8*IF($B20="V",1,IF($B20="D",(1+SUP_VOLUMEN!$C$26),(1+SUP_VOLUMEN!$C$27)))*INDEX(SUP_C3_EXPANSION!$C$6:$F$6,MIN(4,COUNTIF(CAPA3_EXPANSION!$D$56:AL$56,"&gt;="&amp;13)))*CAPA3_EXPANSION!AL$36)</f>
        <v>0</v>
      </c>
      <c r="AM20" s="88">
        <f>IF(COUNTIF(CAPA3_EXPANSION!$D$56:AM$56,"&gt;="&amp;13)=0,0,SUP_CONTROL!$C$8*IF($B20="V",1,IF($B20="D",(1+SUP_VOLUMEN!$C$26),(1+SUP_VOLUMEN!$C$27)))*INDEX(SUP_C3_EXPANSION!$C$6:$F$6,MIN(4,COUNTIF(CAPA3_EXPANSION!$D$56:AM$56,"&gt;="&amp;13)))*CAPA3_EXPANSION!AM$36)</f>
        <v>0</v>
      </c>
      <c r="AN20" s="88">
        <f>IF(COUNTIF(CAPA3_EXPANSION!$D$56:AN$56,"&gt;="&amp;13)=0,0,SUP_CONTROL!$C$8*IF($B20="V",1,IF($B20="D",(1+SUP_VOLUMEN!$C$26),(1+SUP_VOLUMEN!$C$27)))*INDEX(SUP_C3_EXPANSION!$C$6:$F$6,MIN(4,COUNTIF(CAPA3_EXPANSION!$D$56:AN$56,"&gt;="&amp;13)))*CAPA3_EXPANSION!AN$36)</f>
        <v>0</v>
      </c>
      <c r="AO20" s="88">
        <f>IF(COUNTIF(CAPA3_EXPANSION!$D$56:AO$56,"&gt;="&amp;13)=0,0,SUP_CONTROL!$C$8*IF($B20="V",1,IF($B20="D",(1+SUP_VOLUMEN!$C$26),(1+SUP_VOLUMEN!$C$27)))*INDEX(SUP_C3_EXPANSION!$C$6:$F$6,MIN(4,COUNTIF(CAPA3_EXPANSION!$D$56:AO$56,"&gt;="&amp;13)))*CAPA3_EXPANSION!AO$36)</f>
        <v>0</v>
      </c>
      <c r="AP20" s="88">
        <f>IF(COUNTIF(CAPA3_EXPANSION!$D$56:AP$56,"&gt;="&amp;13)=0,0,SUP_CONTROL!$C$8*IF($B20="V",1,IF($B20="D",(1+SUP_VOLUMEN!$C$26),(1+SUP_VOLUMEN!$C$27)))*INDEX(SUP_C3_EXPANSION!$C$6:$F$6,MIN(4,COUNTIF(CAPA3_EXPANSION!$D$56:AP$56,"&gt;="&amp;13)))*CAPA3_EXPANSION!AP$36)</f>
        <v>0</v>
      </c>
      <c r="AQ20" s="88">
        <f>IF(COUNTIF(CAPA3_EXPANSION!$D$56:AQ$56,"&gt;="&amp;13)=0,0,SUP_CONTROL!$C$8*IF($B20="V",1,IF($B20="D",(1+SUP_VOLUMEN!$C$26),(1+SUP_VOLUMEN!$C$27)))*INDEX(SUP_C3_EXPANSION!$C$6:$F$6,MIN(4,COUNTIF(CAPA3_EXPANSION!$D$56:AQ$56,"&gt;="&amp;13)))*CAPA3_EXPANSION!AQ$36)</f>
        <v>0</v>
      </c>
      <c r="AR20" s="88">
        <f>IF(COUNTIF(CAPA3_EXPANSION!$D$56:AR$56,"&gt;="&amp;13)=0,0,SUP_CONTROL!$C$8*IF($B20="V",1,IF($B20="D",(1+SUP_VOLUMEN!$C$26),(1+SUP_VOLUMEN!$C$27)))*INDEX(SUP_C3_EXPANSION!$C$6:$F$6,MIN(4,COUNTIF(CAPA3_EXPANSION!$D$56:AR$56,"&gt;="&amp;13)))*CAPA3_EXPANSION!AR$36)</f>
        <v>0</v>
      </c>
      <c r="AS20" s="88">
        <f>IF(COUNTIF(CAPA3_EXPANSION!$D$56:AS$56,"&gt;="&amp;13)=0,0,SUP_CONTROL!$C$8*IF($B20="V",1,IF($B20="D",(1+SUP_VOLUMEN!$C$26),(1+SUP_VOLUMEN!$C$27)))*INDEX(SUP_C3_EXPANSION!$C$6:$F$6,MIN(4,COUNTIF(CAPA3_EXPANSION!$D$56:AS$56,"&gt;="&amp;13)))*CAPA3_EXPANSION!AS$36)</f>
        <v>0</v>
      </c>
      <c r="AT20" s="88">
        <f>IF(COUNTIF(CAPA3_EXPANSION!$D$56:AT$56,"&gt;="&amp;13)=0,0,SUP_CONTROL!$C$8*IF($B20="V",1,IF($B20="D",(1+SUP_VOLUMEN!$C$26),(1+SUP_VOLUMEN!$C$27)))*INDEX(SUP_C3_EXPANSION!$C$6:$F$6,MIN(4,COUNTIF(CAPA3_EXPANSION!$D$56:AT$56,"&gt;="&amp;13)))*CAPA3_EXPANSION!AT$36)</f>
        <v>2068.1797500000002</v>
      </c>
      <c r="AU20" s="88">
        <f>IF(COUNTIF(CAPA3_EXPANSION!$D$56:AU$56,"&gt;="&amp;13)=0,0,SUP_CONTROL!$C$8*IF($B20="V",1,IF($B20="D",(1+SUP_VOLUMEN!$C$26),(1+SUP_VOLUMEN!$C$27)))*INDEX(SUP_C3_EXPANSION!$C$6:$F$6,MIN(4,COUNTIF(CAPA3_EXPANSION!$D$56:AU$56,"&gt;="&amp;13)))*CAPA3_EXPANSION!AU$36)</f>
        <v>2545.4520000000002</v>
      </c>
      <c r="AV20" s="88">
        <f>IF(COUNTIF(CAPA3_EXPANSION!$D$56:AV$56,"&gt;="&amp;13)=0,0,SUP_CONTROL!$C$8*IF($B20="V",1,IF($B20="D",(1+SUP_VOLUMEN!$C$26),(1+SUP_VOLUMEN!$C$27)))*INDEX(SUP_C3_EXPANSION!$C$6:$F$6,MIN(4,COUNTIF(CAPA3_EXPANSION!$D$56:AV$56,"&gt;="&amp;13)))*CAPA3_EXPANSION!AV$36)</f>
        <v>2863.6334999999999</v>
      </c>
      <c r="AW20" s="88">
        <f>IF(COUNTIF(CAPA3_EXPANSION!$D$56:AW$56,"&gt;="&amp;13)=0,0,SUP_CONTROL!$C$8*IF($B20="V",1,IF($B20="D",(1+SUP_VOLUMEN!$C$26),(1+SUP_VOLUMEN!$C$27)))*INDEX(SUP_C3_EXPANSION!$C$6:$F$6,MIN(4,COUNTIF(CAPA3_EXPANSION!$D$56:AW$56,"&gt;="&amp;13)))*CAPA3_EXPANSION!AW$36)</f>
        <v>3181.8150000000001</v>
      </c>
      <c r="AX20" s="88">
        <f>IF(COUNTIF(CAPA3_EXPANSION!$D$56:AX$56,"&gt;="&amp;13)=0,0,SUP_CONTROL!$C$8*IF($B20="V",1,IF($B20="D",(1+SUP_VOLUMEN!$C$26),(1+SUP_VOLUMEN!$C$27)))*INDEX(SUP_C3_EXPANSION!$C$6:$F$6,MIN(4,COUNTIF(CAPA3_EXPANSION!$D$56:AX$56,"&gt;="&amp;13)))*CAPA3_EXPANSION!AX$36)</f>
        <v>3181.8150000000001</v>
      </c>
      <c r="AY20" s="88">
        <f>IF(COUNTIF(CAPA3_EXPANSION!$D$56:AY$56,"&gt;="&amp;13)=0,0,SUP_CONTROL!$C$8*IF($B20="V",1,IF($B20="D",(1+SUP_VOLUMEN!$C$26),(1+SUP_VOLUMEN!$C$27)))*INDEX(SUP_C3_EXPANSION!$C$6:$F$6,MIN(4,COUNTIF(CAPA3_EXPANSION!$D$56:AY$56,"&gt;="&amp;13)))*CAPA3_EXPANSION!AY$36)</f>
        <v>3181.8150000000001</v>
      </c>
      <c r="AZ20" s="88">
        <f>IF(COUNTIF(CAPA3_EXPANSION!$D$56:AZ$56,"&gt;="&amp;13)=0,0,SUP_CONTROL!$C$8*IF($B20="V",1,IF($B20="D",(1+SUP_VOLUMEN!$C$26),(1+SUP_VOLUMEN!$C$27)))*INDEX(SUP_C3_EXPANSION!$C$6:$F$6,MIN(4,COUNTIF(CAPA3_EXPANSION!$D$56:AZ$56,"&gt;="&amp;13)))*CAPA3_EXPANSION!AZ$36)</f>
        <v>3181.8150000000001</v>
      </c>
      <c r="BA20" s="88">
        <f>IF(COUNTIF(CAPA3_EXPANSION!$D$56:BA$56,"&gt;="&amp;13)=0,0,SUP_CONTROL!$C$8*IF($B20="V",1,IF($B20="D",(1+SUP_VOLUMEN!$C$26),(1+SUP_VOLUMEN!$C$27)))*INDEX(SUP_C3_EXPANSION!$C$6:$F$6,MIN(4,COUNTIF(CAPA3_EXPANSION!$D$56:BA$56,"&gt;="&amp;13)))*CAPA3_EXPANSION!BA$36)</f>
        <v>3097.6400000000003</v>
      </c>
      <c r="BB20" s="88">
        <f>IF(COUNTIF(CAPA3_EXPANSION!$D$56:BB$56,"&gt;="&amp;13)=0,0,SUP_CONTROL!$C$8*IF($B20="V",1,IF($B20="D",(1+SUP_VOLUMEN!$C$26),(1+SUP_VOLUMEN!$C$27)))*INDEX(SUP_C3_EXPANSION!$C$6:$F$6,MIN(4,COUNTIF(CAPA3_EXPANSION!$D$56:BB$56,"&gt;="&amp;13)))*CAPA3_EXPANSION!BB$36)</f>
        <v>3097.6400000000003</v>
      </c>
      <c r="BC20" s="88">
        <f>IF(COUNTIF(CAPA3_EXPANSION!$D$56:BC$56,"&gt;="&amp;13)=0,0,SUP_CONTROL!$C$8*IF($B20="V",1,IF($B20="D",(1+SUP_VOLUMEN!$C$26),(1+SUP_VOLUMEN!$C$27)))*INDEX(SUP_C3_EXPANSION!$C$6:$F$6,MIN(4,COUNTIF(CAPA3_EXPANSION!$D$56:BC$56,"&gt;="&amp;13)))*CAPA3_EXPANSION!BC$36)</f>
        <v>3097.6400000000003</v>
      </c>
      <c r="BD20" s="88">
        <f>IF(COUNTIF(CAPA3_EXPANSION!$D$56:BD$56,"&gt;="&amp;13)=0,0,SUP_CONTROL!$C$8*IF($B20="V",1,IF($B20="D",(1+SUP_VOLUMEN!$C$26),(1+SUP_VOLUMEN!$C$27)))*INDEX(SUP_C3_EXPANSION!$C$6:$F$6,MIN(4,COUNTIF(CAPA3_EXPANSION!$D$56:BD$56,"&gt;="&amp;13)))*CAPA3_EXPANSION!BD$36)</f>
        <v>3097.6400000000003</v>
      </c>
      <c r="BE20" s="88">
        <f>IF(COUNTIF(CAPA3_EXPANSION!$D$56:BE$56,"&gt;="&amp;13)=0,0,SUP_CONTROL!$C$8*IF($B20="V",1,IF($B20="D",(1+SUP_VOLUMEN!$C$26),(1+SUP_VOLUMEN!$C$27)))*INDEX(SUP_C3_EXPANSION!$C$6:$F$6,MIN(4,COUNTIF(CAPA3_EXPANSION!$D$56:BE$56,"&gt;="&amp;13)))*CAPA3_EXPANSION!BE$36)</f>
        <v>3097.6400000000003</v>
      </c>
      <c r="BF20" s="88">
        <f>IF(COUNTIF(CAPA3_EXPANSION!$D$56:BF$56,"&gt;="&amp;13)=0,0,SUP_CONTROL!$C$8*IF($B20="V",1,IF($B20="D",(1+SUP_VOLUMEN!$C$26),(1+SUP_VOLUMEN!$C$27)))*INDEX(SUP_C3_EXPANSION!$C$6:$F$6,MIN(4,COUNTIF(CAPA3_EXPANSION!$D$56:BF$56,"&gt;="&amp;13)))*CAPA3_EXPANSION!BF$36)</f>
        <v>3030.3</v>
      </c>
      <c r="BG20" s="88">
        <f>IF(COUNTIF(CAPA3_EXPANSION!$D$56:BG$56,"&gt;="&amp;13)=0,0,SUP_CONTROL!$C$8*IF($B20="V",1,IF($B20="D",(1+SUP_VOLUMEN!$C$26),(1+SUP_VOLUMEN!$C$27)))*INDEX(SUP_C3_EXPANSION!$C$6:$F$6,MIN(4,COUNTIF(CAPA3_EXPANSION!$D$56:BG$56,"&gt;="&amp;13)))*CAPA3_EXPANSION!BG$36)</f>
        <v>3030.3</v>
      </c>
      <c r="BH20" s="88">
        <f>IF(COUNTIF(CAPA3_EXPANSION!$D$56:BH$56,"&gt;="&amp;13)=0,0,SUP_CONTROL!$C$8*IF($B20="V",1,IF($B20="D",(1+SUP_VOLUMEN!$C$26),(1+SUP_VOLUMEN!$C$27)))*INDEX(SUP_C3_EXPANSION!$C$6:$F$6,MIN(4,COUNTIF(CAPA3_EXPANSION!$D$56:BH$56,"&gt;="&amp;13)))*CAPA3_EXPANSION!BH$36)</f>
        <v>3030.3</v>
      </c>
      <c r="BI20" s="88">
        <f>IF(COUNTIF(CAPA3_EXPANSION!$D$56:BI$56,"&gt;="&amp;13)=0,0,SUP_CONTROL!$C$8*IF($B20="V",1,IF($B20="D",(1+SUP_VOLUMEN!$C$26),(1+SUP_VOLUMEN!$C$27)))*INDEX(SUP_C3_EXPANSION!$C$6:$F$6,MIN(4,COUNTIF(CAPA3_EXPANSION!$D$56:BI$56,"&gt;="&amp;13)))*CAPA3_EXPANSION!BI$36)</f>
        <v>3030.3</v>
      </c>
      <c r="BJ20" s="88">
        <f>IF(COUNTIF(CAPA3_EXPANSION!$D$56:BJ$56,"&gt;="&amp;13)=0,0,SUP_CONTROL!$C$8*IF($B20="V",1,IF($B20="D",(1+SUP_VOLUMEN!$C$26),(1+SUP_VOLUMEN!$C$27)))*INDEX(SUP_C3_EXPANSION!$C$6:$F$6,MIN(4,COUNTIF(CAPA3_EXPANSION!$D$56:BJ$56,"&gt;="&amp;13)))*CAPA3_EXPANSION!BJ$36)</f>
        <v>3030.3</v>
      </c>
      <c r="BK20" s="88">
        <f>IF(COUNTIF(CAPA3_EXPANSION!$D$56:BK$56,"&gt;="&amp;13)=0,0,SUP_CONTROL!$C$8*IF($B20="V",1,IF($B20="D",(1+SUP_VOLUMEN!$C$26),(1+SUP_VOLUMEN!$C$27)))*INDEX(SUP_C3_EXPANSION!$C$6:$F$6,MIN(4,COUNTIF(CAPA3_EXPANSION!$D$56:BK$56,"&gt;="&amp;13)))*CAPA3_EXPANSION!BK$36)</f>
        <v>2962.96</v>
      </c>
      <c r="BL20" s="88">
        <f>IF(COUNTIF(CAPA3_EXPANSION!$D$56:BL$56,"&gt;="&amp;13)=0,0,SUP_CONTROL!$C$8*IF($B20="V",1,IF($B20="D",(1+SUP_VOLUMEN!$C$26),(1+SUP_VOLUMEN!$C$27)))*INDEX(SUP_C3_EXPANSION!$C$6:$F$6,MIN(4,COUNTIF(CAPA3_EXPANSION!$D$56:BL$56,"&gt;="&amp;13)))*CAPA3_EXPANSION!BL$36)</f>
        <v>2962.96</v>
      </c>
      <c r="BM20" s="88">
        <f>IF(COUNTIF(CAPA3_EXPANSION!$D$56:BM$56,"&gt;="&amp;13)=0,0,SUP_CONTROL!$C$8*IF($B20="V",1,IF($B20="D",(1+SUP_VOLUMEN!$C$26),(1+SUP_VOLUMEN!$C$27)))*INDEX(SUP_C3_EXPANSION!$C$6:$F$6,MIN(4,COUNTIF(CAPA3_EXPANSION!$D$56:BM$56,"&gt;="&amp;13)))*CAPA3_EXPANSION!BM$36)</f>
        <v>2962.96</v>
      </c>
      <c r="BN20" s="88">
        <f>IF(COUNTIF(CAPA3_EXPANSION!$D$56:BN$56,"&gt;="&amp;13)=0,0,SUP_CONTROL!$C$8*IF($B20="V",1,IF($B20="D",(1+SUP_VOLUMEN!$C$26),(1+SUP_VOLUMEN!$C$27)))*INDEX(SUP_C3_EXPANSION!$C$6:$F$6,MIN(4,COUNTIF(CAPA3_EXPANSION!$D$56:BN$56,"&gt;="&amp;13)))*CAPA3_EXPANSION!BN$36)</f>
        <v>2962.96</v>
      </c>
      <c r="BO20" s="88">
        <f>IF(COUNTIF(CAPA3_EXPANSION!$D$56:BO$56,"&gt;="&amp;13)=0,0,SUP_CONTROL!$C$8*IF($B20="V",1,IF($B20="D",(1+SUP_VOLUMEN!$C$26),(1+SUP_VOLUMEN!$C$27)))*INDEX(SUP_C3_EXPANSION!$C$6:$F$6,MIN(4,COUNTIF(CAPA3_EXPANSION!$D$56:BO$56,"&gt;="&amp;13)))*CAPA3_EXPANSION!BO$36)</f>
        <v>2962.96</v>
      </c>
      <c r="BP20" s="88">
        <f>IF(COUNTIF(CAPA3_EXPANSION!$D$56:BP$56,"&gt;="&amp;13)=0,0,SUP_CONTROL!$C$8*IF($B20="V",1,IF($B20="D",(1+SUP_VOLUMEN!$C$26),(1+SUP_VOLUMEN!$C$27)))*INDEX(SUP_C3_EXPANSION!$C$6:$F$6,MIN(4,COUNTIF(CAPA3_EXPANSION!$D$56:BP$56,"&gt;="&amp;13)))*CAPA3_EXPANSION!BP$36)</f>
        <v>2912.4549999999999</v>
      </c>
      <c r="BQ20" s="88">
        <f>IF(COUNTIF(CAPA3_EXPANSION!$D$56:BQ$56,"&gt;="&amp;13)=0,0,SUP_CONTROL!$C$8*IF($B20="V",1,IF($B20="D",(1+SUP_VOLUMEN!$C$26),(1+SUP_VOLUMEN!$C$27)))*INDEX(SUP_C3_EXPANSION!$C$6:$F$6,MIN(4,COUNTIF(CAPA3_EXPANSION!$D$56:BQ$56,"&gt;="&amp;13)))*CAPA3_EXPANSION!BQ$36)</f>
        <v>2912.4549999999999</v>
      </c>
      <c r="BR20" s="88">
        <f>IF(COUNTIF(CAPA3_EXPANSION!$D$56:BR$56,"&gt;="&amp;13)=0,0,SUP_CONTROL!$C$8*IF($B20="V",1,IF($B20="D",(1+SUP_VOLUMEN!$C$26),(1+SUP_VOLUMEN!$C$27)))*INDEX(SUP_C3_EXPANSION!$C$6:$F$6,MIN(4,COUNTIF(CAPA3_EXPANSION!$D$56:BR$56,"&gt;="&amp;13)))*CAPA3_EXPANSION!BR$36)</f>
        <v>2912.4549999999999</v>
      </c>
      <c r="BS20" s="88">
        <f>IF(COUNTIF(CAPA3_EXPANSION!$D$56:BS$56,"&gt;="&amp;13)=0,0,SUP_CONTROL!$C$8*IF($B20="V",1,IF($B20="D",(1+SUP_VOLUMEN!$C$26),(1+SUP_VOLUMEN!$C$27)))*INDEX(SUP_C3_EXPANSION!$C$6:$F$6,MIN(4,COUNTIF(CAPA3_EXPANSION!$D$56:BS$56,"&gt;="&amp;13)))*CAPA3_EXPANSION!BS$36)</f>
        <v>2912.4549999999999</v>
      </c>
      <c r="BT20" s="88">
        <f>IF(COUNTIF(CAPA3_EXPANSION!$D$56:BT$56,"&gt;="&amp;13)=0,0,SUP_CONTROL!$C$8*IF($B20="V",1,IF($B20="D",(1+SUP_VOLUMEN!$C$26),(1+SUP_VOLUMEN!$C$27)))*INDEX(SUP_C3_EXPANSION!$C$6:$F$6,MIN(4,COUNTIF(CAPA3_EXPANSION!$D$56:BT$56,"&gt;="&amp;13)))*CAPA3_EXPANSION!BT$36)</f>
        <v>2912.4549999999999</v>
      </c>
      <c r="BU20" s="88">
        <f>IF(COUNTIF(CAPA3_EXPANSION!$D$56:BU$56,"&gt;="&amp;13)=0,0,SUP_CONTROL!$C$8*IF($B20="V",1,IF($B20="D",(1+SUP_VOLUMEN!$C$26),(1+SUP_VOLUMEN!$C$27)))*INDEX(SUP_C3_EXPANSION!$C$6:$F$6,MIN(4,COUNTIF(CAPA3_EXPANSION!$D$56:BU$56,"&gt;="&amp;13)))*CAPA3_EXPANSION!BU$36)</f>
        <v>2861.95</v>
      </c>
      <c r="BV20" s="88">
        <f>IF(COUNTIF(CAPA3_EXPANSION!$D$56:BV$56,"&gt;="&amp;13)=0,0,SUP_CONTROL!$C$8*IF($B20="V",1,IF($B20="D",(1+SUP_VOLUMEN!$C$26),(1+SUP_VOLUMEN!$C$27)))*INDEX(SUP_C3_EXPANSION!$C$6:$F$6,MIN(4,COUNTIF(CAPA3_EXPANSION!$D$56:BV$56,"&gt;="&amp;13)))*CAPA3_EXPANSION!BV$36)</f>
        <v>2861.95</v>
      </c>
      <c r="BW20" s="88">
        <f>IF(COUNTIF(CAPA3_EXPANSION!$D$56:BW$56,"&gt;="&amp;13)=0,0,SUP_CONTROL!$C$8*IF($B20="V",1,IF($B20="D",(1+SUP_VOLUMEN!$C$26),(1+SUP_VOLUMEN!$C$27)))*INDEX(SUP_C3_EXPANSION!$C$6:$F$6,MIN(4,COUNTIF(CAPA3_EXPANSION!$D$56:BW$56,"&gt;="&amp;13)))*CAPA3_EXPANSION!BW$36)</f>
        <v>2861.95</v>
      </c>
      <c r="BX20" s="88">
        <f>IF(COUNTIF(CAPA3_EXPANSION!$D$56:BX$56,"&gt;="&amp;13)=0,0,SUP_CONTROL!$C$8*IF($B20="V",1,IF($B20="D",(1+SUP_VOLUMEN!$C$26),(1+SUP_VOLUMEN!$C$27)))*INDEX(SUP_C3_EXPANSION!$C$6:$F$6,MIN(4,COUNTIF(CAPA3_EXPANSION!$D$56:BX$56,"&gt;="&amp;13)))*CAPA3_EXPANSION!BX$36)</f>
        <v>2861.95</v>
      </c>
      <c r="BY20" s="88">
        <f>IF(COUNTIF(CAPA3_EXPANSION!$D$56:BY$56,"&gt;="&amp;13)=0,0,SUP_CONTROL!$C$8*IF($B20="V",1,IF($B20="D",(1+SUP_VOLUMEN!$C$26),(1+SUP_VOLUMEN!$C$27)))*INDEX(SUP_C3_EXPANSION!$C$6:$F$6,MIN(4,COUNTIF(CAPA3_EXPANSION!$D$56:BY$56,"&gt;="&amp;13)))*CAPA3_EXPANSION!BY$36)</f>
        <v>2861.95</v>
      </c>
      <c r="BZ20" s="88">
        <f>IF(COUNTIF(CAPA3_EXPANSION!$D$56:BZ$56,"&gt;="&amp;13)=0,0,SUP_CONTROL!$C$8*IF($B20="V",1,IF($B20="D",(1+SUP_VOLUMEN!$C$26),(1+SUP_VOLUMEN!$C$27)))*INDEX(SUP_C3_EXPANSION!$C$6:$F$6,MIN(4,COUNTIF(CAPA3_EXPANSION!$D$56:BZ$56,"&gt;="&amp;13)))*CAPA3_EXPANSION!BZ$36)</f>
        <v>2828.2799999999997</v>
      </c>
      <c r="CA20" s="88">
        <f>IF(COUNTIF(CAPA3_EXPANSION!$D$56:CA$56,"&gt;="&amp;13)=0,0,SUP_CONTROL!$C$8*IF($B20="V",1,IF($B20="D",(1+SUP_VOLUMEN!$C$26),(1+SUP_VOLUMEN!$C$27)))*INDEX(SUP_C3_EXPANSION!$C$6:$F$6,MIN(4,COUNTIF(CAPA3_EXPANSION!$D$56:CA$56,"&gt;="&amp;13)))*CAPA3_EXPANSION!CA$36)</f>
        <v>2828.2799999999997</v>
      </c>
      <c r="CB20" s="88">
        <f>IF(COUNTIF(CAPA3_EXPANSION!$D$56:CB$56,"&gt;="&amp;13)=0,0,SUP_CONTROL!$C$8*IF($B20="V",1,IF($B20="D",(1+SUP_VOLUMEN!$C$26),(1+SUP_VOLUMEN!$C$27)))*INDEX(SUP_C3_EXPANSION!$C$6:$F$6,MIN(4,COUNTIF(CAPA3_EXPANSION!$D$56:CB$56,"&gt;="&amp;13)))*CAPA3_EXPANSION!CB$36)</f>
        <v>2828.2799999999997</v>
      </c>
      <c r="CC20" s="88">
        <f>IF(COUNTIF(CAPA3_EXPANSION!$D$56:CC$56,"&gt;="&amp;13)=0,0,SUP_CONTROL!$C$8*IF($B20="V",1,IF($B20="D",(1+SUP_VOLUMEN!$C$26),(1+SUP_VOLUMEN!$C$27)))*INDEX(SUP_C3_EXPANSION!$C$6:$F$6,MIN(4,COUNTIF(CAPA3_EXPANSION!$D$56:CC$56,"&gt;="&amp;13)))*CAPA3_EXPANSION!CC$36)</f>
        <v>2828.2799999999997</v>
      </c>
      <c r="CD20" s="88">
        <f>IF(COUNTIF(CAPA3_EXPANSION!$D$56:CD$56,"&gt;="&amp;13)=0,0,SUP_CONTROL!$C$8*IF($B20="V",1,IF($B20="D",(1+SUP_VOLUMEN!$C$26),(1+SUP_VOLUMEN!$C$27)))*INDEX(SUP_C3_EXPANSION!$C$6:$F$6,MIN(4,COUNTIF(CAPA3_EXPANSION!$D$56:CD$56,"&gt;="&amp;13)))*CAPA3_EXPANSION!CD$36)</f>
        <v>2828.2799999999997</v>
      </c>
      <c r="CE20" s="88">
        <f>IF(COUNTIF(CAPA3_EXPANSION!$D$56:CE$56,"&gt;="&amp;13)=0,0,SUP_CONTROL!$C$8*IF($B20="V",1,IF($B20="D",(1+SUP_VOLUMEN!$C$26),(1+SUP_VOLUMEN!$C$27)))*INDEX(SUP_C3_EXPANSION!$C$6:$F$6,MIN(4,COUNTIF(CAPA3_EXPANSION!$D$56:CE$56,"&gt;="&amp;13)))*CAPA3_EXPANSION!CE$36)</f>
        <v>2828.2799999999997</v>
      </c>
      <c r="CF20" s="88">
        <f>IF(COUNTIF(CAPA3_EXPANSION!$D$56:CF$56,"&gt;="&amp;13)=0,0,SUP_CONTROL!$C$8*IF($B20="V",1,IF($B20="D",(1+SUP_VOLUMEN!$C$26),(1+SUP_VOLUMEN!$C$27)))*INDEX(SUP_C3_EXPANSION!$C$6:$F$6,MIN(4,COUNTIF(CAPA3_EXPANSION!$D$56:CF$56,"&gt;="&amp;13)))*CAPA3_EXPANSION!CF$36)</f>
        <v>2828.2799999999997</v>
      </c>
      <c r="CG20" s="88">
        <f>IF(COUNTIF(CAPA3_EXPANSION!$D$56:CG$56,"&gt;="&amp;13)=0,0,SUP_CONTROL!$C$8*IF($B20="V",1,IF($B20="D",(1+SUP_VOLUMEN!$C$26),(1+SUP_VOLUMEN!$C$27)))*INDEX(SUP_C3_EXPANSION!$C$6:$F$6,MIN(4,COUNTIF(CAPA3_EXPANSION!$D$56:CG$56,"&gt;="&amp;13)))*CAPA3_EXPANSION!CG$36)</f>
        <v>2828.2799999999997</v>
      </c>
      <c r="CH20" s="88">
        <f>IF(COUNTIF(CAPA3_EXPANSION!$D$56:CH$56,"&gt;="&amp;13)=0,0,SUP_CONTROL!$C$8*IF($B20="V",1,IF($B20="D",(1+SUP_VOLUMEN!$C$26),(1+SUP_VOLUMEN!$C$27)))*INDEX(SUP_C3_EXPANSION!$C$6:$F$6,MIN(4,COUNTIF(CAPA3_EXPANSION!$D$56:CH$56,"&gt;="&amp;13)))*CAPA3_EXPANSION!CH$36)</f>
        <v>2828.2799999999997</v>
      </c>
      <c r="CI20" s="88">
        <f>IF(COUNTIF(CAPA3_EXPANSION!$D$56:CI$56,"&gt;="&amp;13)=0,0,SUP_CONTROL!$C$8*IF($B20="V",1,IF($B20="D",(1+SUP_VOLUMEN!$C$26),(1+SUP_VOLUMEN!$C$27)))*INDEX(SUP_C3_EXPANSION!$C$6:$F$6,MIN(4,COUNTIF(CAPA3_EXPANSION!$D$56:CI$56,"&gt;="&amp;13)))*CAPA3_EXPANSION!CI$36)</f>
        <v>2828.2799999999997</v>
      </c>
      <c r="CJ20" s="88">
        <f>IF(COUNTIF(CAPA3_EXPANSION!$D$56:CJ$56,"&gt;="&amp;13)=0,0,SUP_CONTROL!$C$8*IF($B20="V",1,IF($B20="D",(1+SUP_VOLUMEN!$C$26),(1+SUP_VOLUMEN!$C$27)))*INDEX(SUP_C3_EXPANSION!$C$6:$F$6,MIN(4,COUNTIF(CAPA3_EXPANSION!$D$56:CJ$56,"&gt;="&amp;13)))*CAPA3_EXPANSION!CJ$36)</f>
        <v>2828.2799999999997</v>
      </c>
      <c r="CK20" s="88">
        <f>IF(COUNTIF(CAPA3_EXPANSION!$D$56:CK$56,"&gt;="&amp;13)=0,0,SUP_CONTROL!$C$8*IF($B20="V",1,IF($B20="D",(1+SUP_VOLUMEN!$C$26),(1+SUP_VOLUMEN!$C$27)))*INDEX(SUP_C3_EXPANSION!$C$6:$F$6,MIN(4,COUNTIF(CAPA3_EXPANSION!$D$56:CK$56,"&gt;="&amp;13)))*CAPA3_EXPANSION!CK$36)</f>
        <v>2828.2799999999997</v>
      </c>
      <c r="CL20" s="88">
        <f>IF(COUNTIF(CAPA3_EXPANSION!$D$56:CL$56,"&gt;="&amp;13)=0,0,SUP_CONTROL!$C$8*IF($B20="V",1,IF($B20="D",(1+SUP_VOLUMEN!$C$26),(1+SUP_VOLUMEN!$C$27)))*INDEX(SUP_C3_EXPANSION!$C$6:$F$6,MIN(4,COUNTIF(CAPA3_EXPANSION!$D$56:CL$56,"&gt;="&amp;13)))*CAPA3_EXPANSION!CL$36)</f>
        <v>2828.2799999999997</v>
      </c>
      <c r="CM20" s="88">
        <f>IF(COUNTIF(CAPA3_EXPANSION!$D$56:CM$56,"&gt;="&amp;13)=0,0,SUP_CONTROL!$C$8*IF($B20="V",1,IF($B20="D",(1+SUP_VOLUMEN!$C$26),(1+SUP_VOLUMEN!$C$27)))*INDEX(SUP_C3_EXPANSION!$C$6:$F$6,MIN(4,COUNTIF(CAPA3_EXPANSION!$D$56:CM$56,"&gt;="&amp;13)))*CAPA3_EXPANSION!CM$36)</f>
        <v>2828.2799999999997</v>
      </c>
      <c r="CN20" s="88">
        <f>IF(COUNTIF(CAPA3_EXPANSION!$D$56:CN$56,"&gt;="&amp;13)=0,0,SUP_CONTROL!$C$8*IF($B20="V",1,IF($B20="D",(1+SUP_VOLUMEN!$C$26),(1+SUP_VOLUMEN!$C$27)))*INDEX(SUP_C3_EXPANSION!$C$6:$F$6,MIN(4,COUNTIF(CAPA3_EXPANSION!$D$56:CN$56,"&gt;="&amp;13)))*CAPA3_EXPANSION!CN$36)</f>
        <v>2828.2799999999997</v>
      </c>
      <c r="CO20" s="88">
        <f>IF(COUNTIF(CAPA3_EXPANSION!$D$56:CO$56,"&gt;="&amp;13)=0,0,SUP_CONTROL!$C$8*IF($B20="V",1,IF($B20="D",(1+SUP_VOLUMEN!$C$26),(1+SUP_VOLUMEN!$C$27)))*INDEX(SUP_C3_EXPANSION!$C$6:$F$6,MIN(4,COUNTIF(CAPA3_EXPANSION!$D$56:CO$56,"&gt;="&amp;13)))*CAPA3_EXPANSION!CO$36)</f>
        <v>2828.2799999999997</v>
      </c>
      <c r="CP20" s="88">
        <f>IF(COUNTIF(CAPA3_EXPANSION!$D$56:CP$56,"&gt;="&amp;13)=0,0,SUP_CONTROL!$C$8*IF($B20="V",1,IF($B20="D",(1+SUP_VOLUMEN!$C$26),(1+SUP_VOLUMEN!$C$27)))*INDEX(SUP_C3_EXPANSION!$C$6:$F$6,MIN(4,COUNTIF(CAPA3_EXPANSION!$D$56:CP$56,"&gt;="&amp;13)))*CAPA3_EXPANSION!CP$36)</f>
        <v>2828.2799999999997</v>
      </c>
      <c r="CQ20" s="88">
        <f>IF(COUNTIF(CAPA3_EXPANSION!$D$56:CQ$56,"&gt;="&amp;13)=0,0,SUP_CONTROL!$C$8*IF($B20="V",1,IF($B20="D",(1+SUP_VOLUMEN!$C$26),(1+SUP_VOLUMEN!$C$27)))*INDEX(SUP_C3_EXPANSION!$C$6:$F$6,MIN(4,COUNTIF(CAPA3_EXPANSION!$D$56:CQ$56,"&gt;="&amp;13)))*CAPA3_EXPANSION!CQ$36)</f>
        <v>2828.2799999999997</v>
      </c>
      <c r="CR20" s="88">
        <f>IF(COUNTIF(CAPA3_EXPANSION!$D$56:CR$56,"&gt;="&amp;13)=0,0,SUP_CONTROL!$C$8*IF($B20="V",1,IF($B20="D",(1+SUP_VOLUMEN!$C$26),(1+SUP_VOLUMEN!$C$27)))*INDEX(SUP_C3_EXPANSION!$C$6:$F$6,MIN(4,COUNTIF(CAPA3_EXPANSION!$D$56:CR$56,"&gt;="&amp;13)))*CAPA3_EXPANSION!CR$36)</f>
        <v>2828.2799999999997</v>
      </c>
      <c r="CS20" s="88">
        <f>IF(COUNTIF(CAPA3_EXPANSION!$D$56:CS$56,"&gt;="&amp;13)=0,0,SUP_CONTROL!$C$8*IF($B20="V",1,IF($B20="D",(1+SUP_VOLUMEN!$C$26),(1+SUP_VOLUMEN!$C$27)))*INDEX(SUP_C3_EXPANSION!$C$6:$F$6,MIN(4,COUNTIF(CAPA3_EXPANSION!$D$56:CS$56,"&gt;="&amp;13)))*CAPA3_EXPANSION!CS$36)</f>
        <v>2828.2799999999997</v>
      </c>
      <c r="CT20" s="88">
        <f>IF(COUNTIF(CAPA3_EXPANSION!$D$56:CT$56,"&gt;="&amp;13)=0,0,SUP_CONTROL!$C$8*IF($B20="V",1,IF($B20="D",(1+SUP_VOLUMEN!$C$26),(1+SUP_VOLUMEN!$C$27)))*INDEX(SUP_C3_EXPANSION!$C$6:$F$6,MIN(4,COUNTIF(CAPA3_EXPANSION!$D$56:CT$56,"&gt;="&amp;13)))*CAPA3_EXPANSION!CT$36)</f>
        <v>2828.2799999999997</v>
      </c>
      <c r="CU20" s="88">
        <f>IF(COUNTIF(CAPA3_EXPANSION!$D$56:CU$56,"&gt;="&amp;13)=0,0,SUP_CONTROL!$C$8*IF($B20="V",1,IF($B20="D",(1+SUP_VOLUMEN!$C$26),(1+SUP_VOLUMEN!$C$27)))*INDEX(SUP_C3_EXPANSION!$C$6:$F$6,MIN(4,COUNTIF(CAPA3_EXPANSION!$D$56:CU$56,"&gt;="&amp;13)))*CAPA3_EXPANSION!CU$36)</f>
        <v>2828.2799999999997</v>
      </c>
      <c r="CV20" s="88">
        <f>IF(COUNTIF(CAPA3_EXPANSION!$D$56:CV$56,"&gt;="&amp;13)=0,0,SUP_CONTROL!$C$8*IF($B20="V",1,IF($B20="D",(1+SUP_VOLUMEN!$C$26),(1+SUP_VOLUMEN!$C$27)))*INDEX(SUP_C3_EXPANSION!$C$6:$F$6,MIN(4,COUNTIF(CAPA3_EXPANSION!$D$56:CV$56,"&gt;="&amp;13)))*CAPA3_EXPANSION!CV$36)</f>
        <v>2828.2799999999997</v>
      </c>
      <c r="CW20" s="88">
        <f>IF(COUNTIF(CAPA3_EXPANSION!$D$56:CW$56,"&gt;="&amp;13)=0,0,SUP_CONTROL!$C$8*IF($B20="V",1,IF($B20="D",(1+SUP_VOLUMEN!$C$26),(1+SUP_VOLUMEN!$C$27)))*INDEX(SUP_C3_EXPANSION!$C$6:$F$6,MIN(4,COUNTIF(CAPA3_EXPANSION!$D$56:CW$56,"&gt;="&amp;13)))*CAPA3_EXPANSION!CW$36)</f>
        <v>2828.2799999999997</v>
      </c>
      <c r="CX20" s="88">
        <f>IF(COUNTIF(CAPA3_EXPANSION!$D$56:CX$56,"&gt;="&amp;13)=0,0,SUP_CONTROL!$C$8*IF($B20="V",1,IF($B20="D",(1+SUP_VOLUMEN!$C$26),(1+SUP_VOLUMEN!$C$27)))*INDEX(SUP_C3_EXPANSION!$C$6:$F$6,MIN(4,COUNTIF(CAPA3_EXPANSION!$D$56:CX$56,"&gt;="&amp;13)))*CAPA3_EXPANSION!CX$36)</f>
        <v>2828.2799999999997</v>
      </c>
      <c r="CY20" s="88">
        <f>IF(COUNTIF(CAPA3_EXPANSION!$D$56:CY$56,"&gt;="&amp;13)=0,0,SUP_CONTROL!$C$8*IF($B20="V",1,IF($B20="D",(1+SUP_VOLUMEN!$C$26),(1+SUP_VOLUMEN!$C$27)))*INDEX(SUP_C3_EXPANSION!$C$6:$F$6,MIN(4,COUNTIF(CAPA3_EXPANSION!$D$56:CY$56,"&gt;="&amp;13)))*CAPA3_EXPANSION!CY$36)</f>
        <v>2828.2799999999997</v>
      </c>
      <c r="CZ20" s="88">
        <f>IF(COUNTIF(CAPA3_EXPANSION!$D$56:CZ$56,"&gt;="&amp;13)=0,0,SUP_CONTROL!$C$8*IF($B20="V",1,IF($B20="D",(1+SUP_VOLUMEN!$C$26),(1+SUP_VOLUMEN!$C$27)))*INDEX(SUP_C3_EXPANSION!$C$6:$F$6,MIN(4,COUNTIF(CAPA3_EXPANSION!$D$56:CZ$56,"&gt;="&amp;13)))*CAPA3_EXPANSION!CZ$36)</f>
        <v>2828.2799999999997</v>
      </c>
      <c r="DA20" s="88">
        <f>IF(COUNTIF(CAPA3_EXPANSION!$D$56:DA$56,"&gt;="&amp;13)=0,0,SUP_CONTROL!$C$8*IF($B20="V",1,IF($B20="D",(1+SUP_VOLUMEN!$C$26),(1+SUP_VOLUMEN!$C$27)))*INDEX(SUP_C3_EXPANSION!$C$6:$F$6,MIN(4,COUNTIF(CAPA3_EXPANSION!$D$56:DA$56,"&gt;="&amp;13)))*CAPA3_EXPANSION!DA$36)</f>
        <v>2828.2799999999997</v>
      </c>
      <c r="DB20" s="88">
        <f>IF(COUNTIF(CAPA3_EXPANSION!$D$56:DB$56,"&gt;="&amp;13)=0,0,SUP_CONTROL!$C$8*IF($B20="V",1,IF($B20="D",(1+SUP_VOLUMEN!$C$26),(1+SUP_VOLUMEN!$C$27)))*INDEX(SUP_C3_EXPANSION!$C$6:$F$6,MIN(4,COUNTIF(CAPA3_EXPANSION!$D$56:DB$56,"&gt;="&amp;13)))*CAPA3_EXPANSION!DB$36)</f>
        <v>2828.2799999999997</v>
      </c>
      <c r="DC20" s="88">
        <f>IF(COUNTIF(CAPA3_EXPANSION!$D$56:DC$56,"&gt;="&amp;13)=0,0,SUP_CONTROL!$C$8*IF($B20="V",1,IF($B20="D",(1+SUP_VOLUMEN!$C$26),(1+SUP_VOLUMEN!$C$27)))*INDEX(SUP_C3_EXPANSION!$C$6:$F$6,MIN(4,COUNTIF(CAPA3_EXPANSION!$D$56:DC$56,"&gt;="&amp;13)))*CAPA3_EXPANSION!DC$36)</f>
        <v>2828.2799999999997</v>
      </c>
      <c r="DD20" s="88">
        <f>IF(COUNTIF(CAPA3_EXPANSION!$D$56:DD$56,"&gt;="&amp;13)=0,0,SUP_CONTROL!$C$8*IF($B20="V",1,IF($B20="D",(1+SUP_VOLUMEN!$C$26),(1+SUP_VOLUMEN!$C$27)))*INDEX(SUP_C3_EXPANSION!$C$6:$F$6,MIN(4,COUNTIF(CAPA3_EXPANSION!$D$56:DD$56,"&gt;="&amp;13)))*CAPA3_EXPANSION!DD$36)</f>
        <v>2828.2799999999997</v>
      </c>
      <c r="DE20" s="88">
        <f>IF(COUNTIF(CAPA3_EXPANSION!$D$56:DE$56,"&gt;="&amp;13)=0,0,SUP_CONTROL!$C$8*IF($B20="V",1,IF($B20="D",(1+SUP_VOLUMEN!$C$26),(1+SUP_VOLUMEN!$C$27)))*INDEX(SUP_C3_EXPANSION!$C$6:$F$6,MIN(4,COUNTIF(CAPA3_EXPANSION!$D$56:DE$56,"&gt;="&amp;13)))*CAPA3_EXPANSION!DE$36)</f>
        <v>2828.2799999999997</v>
      </c>
      <c r="DF20" s="88">
        <f>IF(COUNTIF(CAPA3_EXPANSION!$D$56:DF$56,"&gt;="&amp;13)=0,0,SUP_CONTROL!$C$8*IF($B20="V",1,IF($B20="D",(1+SUP_VOLUMEN!$C$26),(1+SUP_VOLUMEN!$C$27)))*INDEX(SUP_C3_EXPANSION!$C$6:$F$6,MIN(4,COUNTIF(CAPA3_EXPANSION!$D$56:DF$56,"&gt;="&amp;13)))*CAPA3_EXPANSION!DF$36)</f>
        <v>2828.2799999999997</v>
      </c>
      <c r="DG20" s="88">
        <f>IF(COUNTIF(CAPA3_EXPANSION!$D$56:DG$56,"&gt;="&amp;13)=0,0,SUP_CONTROL!$C$8*IF($B20="V",1,IF($B20="D",(1+SUP_VOLUMEN!$C$26),(1+SUP_VOLUMEN!$C$27)))*INDEX(SUP_C3_EXPANSION!$C$6:$F$6,MIN(4,COUNTIF(CAPA3_EXPANSION!$D$56:DG$56,"&gt;="&amp;13)))*CAPA3_EXPANSION!DG$36)</f>
        <v>2828.2799999999997</v>
      </c>
      <c r="DH20" s="88">
        <f>IF(COUNTIF(CAPA3_EXPANSION!$D$56:DH$56,"&gt;="&amp;13)=0,0,SUP_CONTROL!$C$8*IF($B20="V",1,IF($B20="D",(1+SUP_VOLUMEN!$C$26),(1+SUP_VOLUMEN!$C$27)))*INDEX(SUP_C3_EXPANSION!$C$6:$F$6,MIN(4,COUNTIF(CAPA3_EXPANSION!$D$56:DH$56,"&gt;="&amp;13)))*CAPA3_EXPANSION!DH$36)</f>
        <v>2828.2799999999997</v>
      </c>
      <c r="DI20" s="88">
        <f>IF(COUNTIF(CAPA3_EXPANSION!$D$56:DI$56,"&gt;="&amp;13)=0,0,SUP_CONTROL!$C$8*IF($B20="V",1,IF($B20="D",(1+SUP_VOLUMEN!$C$26),(1+SUP_VOLUMEN!$C$27)))*INDEX(SUP_C3_EXPANSION!$C$6:$F$6,MIN(4,COUNTIF(CAPA3_EXPANSION!$D$56:DI$56,"&gt;="&amp;13)))*CAPA3_EXPANSION!DI$36)</f>
        <v>2828.2799999999997</v>
      </c>
      <c r="DJ20" s="88">
        <f>IF(COUNTIF(CAPA3_EXPANSION!$D$56:DJ$56,"&gt;="&amp;13)=0,0,SUP_CONTROL!$C$8*IF($B20="V",1,IF($B20="D",(1+SUP_VOLUMEN!$C$26),(1+SUP_VOLUMEN!$C$27)))*INDEX(SUP_C3_EXPANSION!$C$6:$F$6,MIN(4,COUNTIF(CAPA3_EXPANSION!$D$56:DJ$56,"&gt;="&amp;13)))*CAPA3_EXPANSION!DJ$36)</f>
        <v>2828.2799999999997</v>
      </c>
      <c r="DK20" s="88">
        <f>IF(COUNTIF(CAPA3_EXPANSION!$D$56:DK$56,"&gt;="&amp;13)=0,0,SUP_CONTROL!$C$8*IF($B20="V",1,IF($B20="D",(1+SUP_VOLUMEN!$C$26),(1+SUP_VOLUMEN!$C$27)))*INDEX(SUP_C3_EXPANSION!$C$6:$F$6,MIN(4,COUNTIF(CAPA3_EXPANSION!$D$56:DK$56,"&gt;="&amp;13)))*CAPA3_EXPANSION!DK$36)</f>
        <v>2828.2799999999997</v>
      </c>
      <c r="DL20" s="88">
        <f>IF(COUNTIF(CAPA3_EXPANSION!$D$56:DL$56,"&gt;="&amp;13)=0,0,SUP_CONTROL!$C$8*IF($B20="V",1,IF($B20="D",(1+SUP_VOLUMEN!$C$26),(1+SUP_VOLUMEN!$C$27)))*INDEX(SUP_C3_EXPANSION!$C$6:$F$6,MIN(4,COUNTIF(CAPA3_EXPANSION!$D$56:DL$56,"&gt;="&amp;13)))*CAPA3_EXPANSION!DL$36)</f>
        <v>2828.2799999999997</v>
      </c>
      <c r="DM20" s="88">
        <f>IF(COUNTIF(CAPA3_EXPANSION!$D$56:DM$56,"&gt;="&amp;13)=0,0,SUP_CONTROL!$C$8*IF($B20="V",1,IF($B20="D",(1+SUP_VOLUMEN!$C$26),(1+SUP_VOLUMEN!$C$27)))*INDEX(SUP_C3_EXPANSION!$C$6:$F$6,MIN(4,COUNTIF(CAPA3_EXPANSION!$D$56:DM$56,"&gt;="&amp;13)))*CAPA3_EXPANSION!DM$36)</f>
        <v>2828.2799999999997</v>
      </c>
      <c r="DN20" s="88">
        <f>IF(COUNTIF(CAPA3_EXPANSION!$D$56:DN$56,"&gt;="&amp;13)=0,0,SUP_CONTROL!$C$8*IF($B20="V",1,IF($B20="D",(1+SUP_VOLUMEN!$C$26),(1+SUP_VOLUMEN!$C$27)))*INDEX(SUP_C3_EXPANSION!$C$6:$F$6,MIN(4,COUNTIF(CAPA3_EXPANSION!$D$56:DN$56,"&gt;="&amp;13)))*CAPA3_EXPANSION!DN$36)</f>
        <v>2828.2799999999997</v>
      </c>
      <c r="DO20" s="88">
        <f>IF(COUNTIF(CAPA3_EXPANSION!$D$56:DO$56,"&gt;="&amp;13)=0,0,SUP_CONTROL!$C$8*IF($B20="V",1,IF($B20="D",(1+SUP_VOLUMEN!$C$26),(1+SUP_VOLUMEN!$C$27)))*INDEX(SUP_C3_EXPANSION!$C$6:$F$6,MIN(4,COUNTIF(CAPA3_EXPANSION!$D$56:DO$56,"&gt;="&amp;13)))*CAPA3_EXPANSION!DO$36)</f>
        <v>2828.2799999999997</v>
      </c>
      <c r="DP20" s="88">
        <f>IF(COUNTIF(CAPA3_EXPANSION!$D$56:DP$56,"&gt;="&amp;13)=0,0,SUP_CONTROL!$C$8*IF($B20="V",1,IF($B20="D",(1+SUP_VOLUMEN!$C$26),(1+SUP_VOLUMEN!$C$27)))*INDEX(SUP_C3_EXPANSION!$C$6:$F$6,MIN(4,COUNTIF(CAPA3_EXPANSION!$D$56:DP$56,"&gt;="&amp;13)))*CAPA3_EXPANSION!DP$36)</f>
        <v>2828.2799999999997</v>
      </c>
      <c r="DQ20" s="88">
        <f>IF(COUNTIF(CAPA3_EXPANSION!$D$56:DQ$56,"&gt;="&amp;13)=0,0,SUP_CONTROL!$C$8*IF($B20="V",1,IF($B20="D",(1+SUP_VOLUMEN!$C$26),(1+SUP_VOLUMEN!$C$27)))*INDEX(SUP_C3_EXPANSION!$C$6:$F$6,MIN(4,COUNTIF(CAPA3_EXPANSION!$D$56:DQ$56,"&gt;="&amp;13)))*CAPA3_EXPANSION!DQ$36)</f>
        <v>2828.2799999999997</v>
      </c>
      <c r="DR20" s="88">
        <f>IF(COUNTIF(CAPA3_EXPANSION!$D$56:DR$56,"&gt;="&amp;13)=0,0,SUP_CONTROL!$C$8*IF($B20="V",1,IF($B20="D",(1+SUP_VOLUMEN!$C$26),(1+SUP_VOLUMEN!$C$27)))*INDEX(SUP_C3_EXPANSION!$C$6:$F$6,MIN(4,COUNTIF(CAPA3_EXPANSION!$D$56:DR$56,"&gt;="&amp;13)))*CAPA3_EXPANSION!DR$36)</f>
        <v>2828.2799999999997</v>
      </c>
      <c r="DS20" s="88">
        <f>IF(COUNTIF(CAPA3_EXPANSION!$D$56:DS$56,"&gt;="&amp;13)=0,0,SUP_CONTROL!$C$8*IF($B20="V",1,IF($B20="D",(1+SUP_VOLUMEN!$C$26),(1+SUP_VOLUMEN!$C$27)))*INDEX(SUP_C3_EXPANSION!$C$6:$F$6,MIN(4,COUNTIF(CAPA3_EXPANSION!$D$56:DS$56,"&gt;="&amp;13)))*CAPA3_EXPANSION!DS$36)</f>
        <v>2828.2799999999997</v>
      </c>
    </row>
    <row r="21" spans="1:123" ht="15" customHeight="1" x14ac:dyDescent="0.2">
      <c r="A21" s="88">
        <v>24</v>
      </c>
      <c r="B21" s="104" t="str">
        <f>SUP_C3_EXPANSION!B33</f>
        <v>V</v>
      </c>
      <c r="C21" s="73">
        <f>SUP_C3_EXPANSION!G33</f>
        <v>41</v>
      </c>
      <c r="D21" s="88">
        <f>IF(COUNTIF(CAPA3_EXPANSION!$D$56:D$56,"&gt;="&amp;14)=0,0,SUP_CONTROL!$C$8*IF($B21="V",1,IF($B21="D",(1+SUP_VOLUMEN!$C$26),(1+SUP_VOLUMEN!$C$27)))*INDEX(SUP_C3_EXPANSION!$C$6:$F$6,MIN(4,COUNTIF(CAPA3_EXPANSION!$D$56:D$56,"&gt;="&amp;14)))*CAPA3_EXPANSION!D$36)</f>
        <v>0</v>
      </c>
      <c r="E21" s="88">
        <f>IF(COUNTIF(CAPA3_EXPANSION!$D$56:E$56,"&gt;="&amp;14)=0,0,SUP_CONTROL!$C$8*IF($B21="V",1,IF($B21="D",(1+SUP_VOLUMEN!$C$26),(1+SUP_VOLUMEN!$C$27)))*INDEX(SUP_C3_EXPANSION!$C$6:$F$6,MIN(4,COUNTIF(CAPA3_EXPANSION!$D$56:E$56,"&gt;="&amp;14)))*CAPA3_EXPANSION!E$36)</f>
        <v>0</v>
      </c>
      <c r="F21" s="88">
        <f>IF(COUNTIF(CAPA3_EXPANSION!$D$56:F$56,"&gt;="&amp;14)=0,0,SUP_CONTROL!$C$8*IF($B21="V",1,IF($B21="D",(1+SUP_VOLUMEN!$C$26),(1+SUP_VOLUMEN!$C$27)))*INDEX(SUP_C3_EXPANSION!$C$6:$F$6,MIN(4,COUNTIF(CAPA3_EXPANSION!$D$56:F$56,"&gt;="&amp;14)))*CAPA3_EXPANSION!F$36)</f>
        <v>0</v>
      </c>
      <c r="G21" s="88">
        <f>IF(COUNTIF(CAPA3_EXPANSION!$D$56:G$56,"&gt;="&amp;14)=0,0,SUP_CONTROL!$C$8*IF($B21="V",1,IF($B21="D",(1+SUP_VOLUMEN!$C$26),(1+SUP_VOLUMEN!$C$27)))*INDEX(SUP_C3_EXPANSION!$C$6:$F$6,MIN(4,COUNTIF(CAPA3_EXPANSION!$D$56:G$56,"&gt;="&amp;14)))*CAPA3_EXPANSION!G$36)</f>
        <v>0</v>
      </c>
      <c r="H21" s="88">
        <f>IF(COUNTIF(CAPA3_EXPANSION!$D$56:H$56,"&gt;="&amp;14)=0,0,SUP_CONTROL!$C$8*IF($B21="V",1,IF($B21="D",(1+SUP_VOLUMEN!$C$26),(1+SUP_VOLUMEN!$C$27)))*INDEX(SUP_C3_EXPANSION!$C$6:$F$6,MIN(4,COUNTIF(CAPA3_EXPANSION!$D$56:H$56,"&gt;="&amp;14)))*CAPA3_EXPANSION!H$36)</f>
        <v>0</v>
      </c>
      <c r="I21" s="88">
        <f>IF(COUNTIF(CAPA3_EXPANSION!$D$56:I$56,"&gt;="&amp;14)=0,0,SUP_CONTROL!$C$8*IF($B21="V",1,IF($B21="D",(1+SUP_VOLUMEN!$C$26),(1+SUP_VOLUMEN!$C$27)))*INDEX(SUP_C3_EXPANSION!$C$6:$F$6,MIN(4,COUNTIF(CAPA3_EXPANSION!$D$56:I$56,"&gt;="&amp;14)))*CAPA3_EXPANSION!I$36)</f>
        <v>0</v>
      </c>
      <c r="J21" s="88">
        <f>IF(COUNTIF(CAPA3_EXPANSION!$D$56:J$56,"&gt;="&amp;14)=0,0,SUP_CONTROL!$C$8*IF($B21="V",1,IF($B21="D",(1+SUP_VOLUMEN!$C$26),(1+SUP_VOLUMEN!$C$27)))*INDEX(SUP_C3_EXPANSION!$C$6:$F$6,MIN(4,COUNTIF(CAPA3_EXPANSION!$D$56:J$56,"&gt;="&amp;14)))*CAPA3_EXPANSION!J$36)</f>
        <v>0</v>
      </c>
      <c r="K21" s="88">
        <f>IF(COUNTIF(CAPA3_EXPANSION!$D$56:K$56,"&gt;="&amp;14)=0,0,SUP_CONTROL!$C$8*IF($B21="V",1,IF($B21="D",(1+SUP_VOLUMEN!$C$26),(1+SUP_VOLUMEN!$C$27)))*INDEX(SUP_C3_EXPANSION!$C$6:$F$6,MIN(4,COUNTIF(CAPA3_EXPANSION!$D$56:K$56,"&gt;="&amp;14)))*CAPA3_EXPANSION!K$36)</f>
        <v>0</v>
      </c>
      <c r="L21" s="88">
        <f>IF(COUNTIF(CAPA3_EXPANSION!$D$56:L$56,"&gt;="&amp;14)=0,0,SUP_CONTROL!$C$8*IF($B21="V",1,IF($B21="D",(1+SUP_VOLUMEN!$C$26),(1+SUP_VOLUMEN!$C$27)))*INDEX(SUP_C3_EXPANSION!$C$6:$F$6,MIN(4,COUNTIF(CAPA3_EXPANSION!$D$56:L$56,"&gt;="&amp;14)))*CAPA3_EXPANSION!L$36)</f>
        <v>0</v>
      </c>
      <c r="M21" s="88">
        <f>IF(COUNTIF(CAPA3_EXPANSION!$D$56:M$56,"&gt;="&amp;14)=0,0,SUP_CONTROL!$C$8*IF($B21="V",1,IF($B21="D",(1+SUP_VOLUMEN!$C$26),(1+SUP_VOLUMEN!$C$27)))*INDEX(SUP_C3_EXPANSION!$C$6:$F$6,MIN(4,COUNTIF(CAPA3_EXPANSION!$D$56:M$56,"&gt;="&amp;14)))*CAPA3_EXPANSION!M$36)</f>
        <v>0</v>
      </c>
      <c r="N21" s="88">
        <f>IF(COUNTIF(CAPA3_EXPANSION!$D$56:N$56,"&gt;="&amp;14)=0,0,SUP_CONTROL!$C$8*IF($B21="V",1,IF($B21="D",(1+SUP_VOLUMEN!$C$26),(1+SUP_VOLUMEN!$C$27)))*INDEX(SUP_C3_EXPANSION!$C$6:$F$6,MIN(4,COUNTIF(CAPA3_EXPANSION!$D$56:N$56,"&gt;="&amp;14)))*CAPA3_EXPANSION!N$36)</f>
        <v>0</v>
      </c>
      <c r="O21" s="88">
        <f>IF(COUNTIF(CAPA3_EXPANSION!$D$56:O$56,"&gt;="&amp;14)=0,0,SUP_CONTROL!$C$8*IF($B21="V",1,IF($B21="D",(1+SUP_VOLUMEN!$C$26),(1+SUP_VOLUMEN!$C$27)))*INDEX(SUP_C3_EXPANSION!$C$6:$F$6,MIN(4,COUNTIF(CAPA3_EXPANSION!$D$56:O$56,"&gt;="&amp;14)))*CAPA3_EXPANSION!O$36)</f>
        <v>0</v>
      </c>
      <c r="P21" s="88">
        <f>IF(COUNTIF(CAPA3_EXPANSION!$D$56:P$56,"&gt;="&amp;14)=0,0,SUP_CONTROL!$C$8*IF($B21="V",1,IF($B21="D",(1+SUP_VOLUMEN!$C$26),(1+SUP_VOLUMEN!$C$27)))*INDEX(SUP_C3_EXPANSION!$C$6:$F$6,MIN(4,COUNTIF(CAPA3_EXPANSION!$D$56:P$56,"&gt;="&amp;14)))*CAPA3_EXPANSION!P$36)</f>
        <v>0</v>
      </c>
      <c r="Q21" s="88">
        <f>IF(COUNTIF(CAPA3_EXPANSION!$D$56:Q$56,"&gt;="&amp;14)=0,0,SUP_CONTROL!$C$8*IF($B21="V",1,IF($B21="D",(1+SUP_VOLUMEN!$C$26),(1+SUP_VOLUMEN!$C$27)))*INDEX(SUP_C3_EXPANSION!$C$6:$F$6,MIN(4,COUNTIF(CAPA3_EXPANSION!$D$56:Q$56,"&gt;="&amp;14)))*CAPA3_EXPANSION!Q$36)</f>
        <v>0</v>
      </c>
      <c r="R21" s="88">
        <f>IF(COUNTIF(CAPA3_EXPANSION!$D$56:R$56,"&gt;="&amp;14)=0,0,SUP_CONTROL!$C$8*IF($B21="V",1,IF($B21="D",(1+SUP_VOLUMEN!$C$26),(1+SUP_VOLUMEN!$C$27)))*INDEX(SUP_C3_EXPANSION!$C$6:$F$6,MIN(4,COUNTIF(CAPA3_EXPANSION!$D$56:R$56,"&gt;="&amp;14)))*CAPA3_EXPANSION!R$36)</f>
        <v>0</v>
      </c>
      <c r="S21" s="88">
        <f>IF(COUNTIF(CAPA3_EXPANSION!$D$56:S$56,"&gt;="&amp;14)=0,0,SUP_CONTROL!$C$8*IF($B21="V",1,IF($B21="D",(1+SUP_VOLUMEN!$C$26),(1+SUP_VOLUMEN!$C$27)))*INDEX(SUP_C3_EXPANSION!$C$6:$F$6,MIN(4,COUNTIF(CAPA3_EXPANSION!$D$56:S$56,"&gt;="&amp;14)))*CAPA3_EXPANSION!S$36)</f>
        <v>0</v>
      </c>
      <c r="T21" s="88">
        <f>IF(COUNTIF(CAPA3_EXPANSION!$D$56:T$56,"&gt;="&amp;14)=0,0,SUP_CONTROL!$C$8*IF($B21="V",1,IF($B21="D",(1+SUP_VOLUMEN!$C$26),(1+SUP_VOLUMEN!$C$27)))*INDEX(SUP_C3_EXPANSION!$C$6:$F$6,MIN(4,COUNTIF(CAPA3_EXPANSION!$D$56:T$56,"&gt;="&amp;14)))*CAPA3_EXPANSION!T$36)</f>
        <v>0</v>
      </c>
      <c r="U21" s="88">
        <f>IF(COUNTIF(CAPA3_EXPANSION!$D$56:U$56,"&gt;="&amp;14)=0,0,SUP_CONTROL!$C$8*IF($B21="V",1,IF($B21="D",(1+SUP_VOLUMEN!$C$26),(1+SUP_VOLUMEN!$C$27)))*INDEX(SUP_C3_EXPANSION!$C$6:$F$6,MIN(4,COUNTIF(CAPA3_EXPANSION!$D$56:U$56,"&gt;="&amp;14)))*CAPA3_EXPANSION!U$36)</f>
        <v>0</v>
      </c>
      <c r="V21" s="88">
        <f>IF(COUNTIF(CAPA3_EXPANSION!$D$56:V$56,"&gt;="&amp;14)=0,0,SUP_CONTROL!$C$8*IF($B21="V",1,IF($B21="D",(1+SUP_VOLUMEN!$C$26),(1+SUP_VOLUMEN!$C$27)))*INDEX(SUP_C3_EXPANSION!$C$6:$F$6,MIN(4,COUNTIF(CAPA3_EXPANSION!$D$56:V$56,"&gt;="&amp;14)))*CAPA3_EXPANSION!V$36)</f>
        <v>0</v>
      </c>
      <c r="W21" s="88">
        <f>IF(COUNTIF(CAPA3_EXPANSION!$D$56:W$56,"&gt;="&amp;14)=0,0,SUP_CONTROL!$C$8*IF($B21="V",1,IF($B21="D",(1+SUP_VOLUMEN!$C$26),(1+SUP_VOLUMEN!$C$27)))*INDEX(SUP_C3_EXPANSION!$C$6:$F$6,MIN(4,COUNTIF(CAPA3_EXPANSION!$D$56:W$56,"&gt;="&amp;14)))*CAPA3_EXPANSION!W$36)</f>
        <v>0</v>
      </c>
      <c r="X21" s="88">
        <f>IF(COUNTIF(CAPA3_EXPANSION!$D$56:X$56,"&gt;="&amp;14)=0,0,SUP_CONTROL!$C$8*IF($B21="V",1,IF($B21="D",(1+SUP_VOLUMEN!$C$26),(1+SUP_VOLUMEN!$C$27)))*INDEX(SUP_C3_EXPANSION!$C$6:$F$6,MIN(4,COUNTIF(CAPA3_EXPANSION!$D$56:X$56,"&gt;="&amp;14)))*CAPA3_EXPANSION!X$36)</f>
        <v>0</v>
      </c>
      <c r="Y21" s="88">
        <f>IF(COUNTIF(CAPA3_EXPANSION!$D$56:Y$56,"&gt;="&amp;14)=0,0,SUP_CONTROL!$C$8*IF($B21="V",1,IF($B21="D",(1+SUP_VOLUMEN!$C$26),(1+SUP_VOLUMEN!$C$27)))*INDEX(SUP_C3_EXPANSION!$C$6:$F$6,MIN(4,COUNTIF(CAPA3_EXPANSION!$D$56:Y$56,"&gt;="&amp;14)))*CAPA3_EXPANSION!Y$36)</f>
        <v>0</v>
      </c>
      <c r="Z21" s="88">
        <f>IF(COUNTIF(CAPA3_EXPANSION!$D$56:Z$56,"&gt;="&amp;14)=0,0,SUP_CONTROL!$C$8*IF($B21="V",1,IF($B21="D",(1+SUP_VOLUMEN!$C$26),(1+SUP_VOLUMEN!$C$27)))*INDEX(SUP_C3_EXPANSION!$C$6:$F$6,MIN(4,COUNTIF(CAPA3_EXPANSION!$D$56:Z$56,"&gt;="&amp;14)))*CAPA3_EXPANSION!Z$36)</f>
        <v>0</v>
      </c>
      <c r="AA21" s="88">
        <f>IF(COUNTIF(CAPA3_EXPANSION!$D$56:AA$56,"&gt;="&amp;14)=0,0,SUP_CONTROL!$C$8*IF($B21="V",1,IF($B21="D",(1+SUP_VOLUMEN!$C$26),(1+SUP_VOLUMEN!$C$27)))*INDEX(SUP_C3_EXPANSION!$C$6:$F$6,MIN(4,COUNTIF(CAPA3_EXPANSION!$D$56:AA$56,"&gt;="&amp;14)))*CAPA3_EXPANSION!AA$36)</f>
        <v>0</v>
      </c>
      <c r="AB21" s="88">
        <f>IF(COUNTIF(CAPA3_EXPANSION!$D$56:AB$56,"&gt;="&amp;14)=0,0,SUP_CONTROL!$C$8*IF($B21="V",1,IF($B21="D",(1+SUP_VOLUMEN!$C$26),(1+SUP_VOLUMEN!$C$27)))*INDEX(SUP_C3_EXPANSION!$C$6:$F$6,MIN(4,COUNTIF(CAPA3_EXPANSION!$D$56:AB$56,"&gt;="&amp;14)))*CAPA3_EXPANSION!AB$36)</f>
        <v>0</v>
      </c>
      <c r="AC21" s="88">
        <f>IF(COUNTIF(CAPA3_EXPANSION!$D$56:AC$56,"&gt;="&amp;14)=0,0,SUP_CONTROL!$C$8*IF($B21="V",1,IF($B21="D",(1+SUP_VOLUMEN!$C$26),(1+SUP_VOLUMEN!$C$27)))*INDEX(SUP_C3_EXPANSION!$C$6:$F$6,MIN(4,COUNTIF(CAPA3_EXPANSION!$D$56:AC$56,"&gt;="&amp;14)))*CAPA3_EXPANSION!AC$36)</f>
        <v>0</v>
      </c>
      <c r="AD21" s="88">
        <f>IF(COUNTIF(CAPA3_EXPANSION!$D$56:AD$56,"&gt;="&amp;14)=0,0,SUP_CONTROL!$C$8*IF($B21="V",1,IF($B21="D",(1+SUP_VOLUMEN!$C$26),(1+SUP_VOLUMEN!$C$27)))*INDEX(SUP_C3_EXPANSION!$C$6:$F$6,MIN(4,COUNTIF(CAPA3_EXPANSION!$D$56:AD$56,"&gt;="&amp;14)))*CAPA3_EXPANSION!AD$36)</f>
        <v>0</v>
      </c>
      <c r="AE21" s="88">
        <f>IF(COUNTIF(CAPA3_EXPANSION!$D$56:AE$56,"&gt;="&amp;14)=0,0,SUP_CONTROL!$C$8*IF($B21="V",1,IF($B21="D",(1+SUP_VOLUMEN!$C$26),(1+SUP_VOLUMEN!$C$27)))*INDEX(SUP_C3_EXPANSION!$C$6:$F$6,MIN(4,COUNTIF(CAPA3_EXPANSION!$D$56:AE$56,"&gt;="&amp;14)))*CAPA3_EXPANSION!AE$36)</f>
        <v>0</v>
      </c>
      <c r="AF21" s="88">
        <f>IF(COUNTIF(CAPA3_EXPANSION!$D$56:AF$56,"&gt;="&amp;14)=0,0,SUP_CONTROL!$C$8*IF($B21="V",1,IF($B21="D",(1+SUP_VOLUMEN!$C$26),(1+SUP_VOLUMEN!$C$27)))*INDEX(SUP_C3_EXPANSION!$C$6:$F$6,MIN(4,COUNTIF(CAPA3_EXPANSION!$D$56:AF$56,"&gt;="&amp;14)))*CAPA3_EXPANSION!AF$36)</f>
        <v>0</v>
      </c>
      <c r="AG21" s="88">
        <f>IF(COUNTIF(CAPA3_EXPANSION!$D$56:AG$56,"&gt;="&amp;14)=0,0,SUP_CONTROL!$C$8*IF($B21="V",1,IF($B21="D",(1+SUP_VOLUMEN!$C$26),(1+SUP_VOLUMEN!$C$27)))*INDEX(SUP_C3_EXPANSION!$C$6:$F$6,MIN(4,COUNTIF(CAPA3_EXPANSION!$D$56:AG$56,"&gt;="&amp;14)))*CAPA3_EXPANSION!AG$36)</f>
        <v>0</v>
      </c>
      <c r="AH21" s="88">
        <f>IF(COUNTIF(CAPA3_EXPANSION!$D$56:AH$56,"&gt;="&amp;14)=0,0,SUP_CONTROL!$C$8*IF($B21="V",1,IF($B21="D",(1+SUP_VOLUMEN!$C$26),(1+SUP_VOLUMEN!$C$27)))*INDEX(SUP_C3_EXPANSION!$C$6:$F$6,MIN(4,COUNTIF(CAPA3_EXPANSION!$D$56:AH$56,"&gt;="&amp;14)))*CAPA3_EXPANSION!AH$36)</f>
        <v>0</v>
      </c>
      <c r="AI21" s="88">
        <f>IF(COUNTIF(CAPA3_EXPANSION!$D$56:AI$56,"&gt;="&amp;14)=0,0,SUP_CONTROL!$C$8*IF($B21="V",1,IF($B21="D",(1+SUP_VOLUMEN!$C$26),(1+SUP_VOLUMEN!$C$27)))*INDEX(SUP_C3_EXPANSION!$C$6:$F$6,MIN(4,COUNTIF(CAPA3_EXPANSION!$D$56:AI$56,"&gt;="&amp;14)))*CAPA3_EXPANSION!AI$36)</f>
        <v>0</v>
      </c>
      <c r="AJ21" s="88">
        <f>IF(COUNTIF(CAPA3_EXPANSION!$D$56:AJ$56,"&gt;="&amp;14)=0,0,SUP_CONTROL!$C$8*IF($B21="V",1,IF($B21="D",(1+SUP_VOLUMEN!$C$26),(1+SUP_VOLUMEN!$C$27)))*INDEX(SUP_C3_EXPANSION!$C$6:$F$6,MIN(4,COUNTIF(CAPA3_EXPANSION!$D$56:AJ$56,"&gt;="&amp;14)))*CAPA3_EXPANSION!AJ$36)</f>
        <v>0</v>
      </c>
      <c r="AK21" s="88">
        <f>IF(COUNTIF(CAPA3_EXPANSION!$D$56:AK$56,"&gt;="&amp;14)=0,0,SUP_CONTROL!$C$8*IF($B21="V",1,IF($B21="D",(1+SUP_VOLUMEN!$C$26),(1+SUP_VOLUMEN!$C$27)))*INDEX(SUP_C3_EXPANSION!$C$6:$F$6,MIN(4,COUNTIF(CAPA3_EXPANSION!$D$56:AK$56,"&gt;="&amp;14)))*CAPA3_EXPANSION!AK$36)</f>
        <v>0</v>
      </c>
      <c r="AL21" s="88">
        <f>IF(COUNTIF(CAPA3_EXPANSION!$D$56:AL$56,"&gt;="&amp;14)=0,0,SUP_CONTROL!$C$8*IF($B21="V",1,IF($B21="D",(1+SUP_VOLUMEN!$C$26),(1+SUP_VOLUMEN!$C$27)))*INDEX(SUP_C3_EXPANSION!$C$6:$F$6,MIN(4,COUNTIF(CAPA3_EXPANSION!$D$56:AL$56,"&gt;="&amp;14)))*CAPA3_EXPANSION!AL$36)</f>
        <v>0</v>
      </c>
      <c r="AM21" s="88">
        <f>IF(COUNTIF(CAPA3_EXPANSION!$D$56:AM$56,"&gt;="&amp;14)=0,0,SUP_CONTROL!$C$8*IF($B21="V",1,IF($B21="D",(1+SUP_VOLUMEN!$C$26),(1+SUP_VOLUMEN!$C$27)))*INDEX(SUP_C3_EXPANSION!$C$6:$F$6,MIN(4,COUNTIF(CAPA3_EXPANSION!$D$56:AM$56,"&gt;="&amp;14)))*CAPA3_EXPANSION!AM$36)</f>
        <v>0</v>
      </c>
      <c r="AN21" s="88">
        <f>IF(COUNTIF(CAPA3_EXPANSION!$D$56:AN$56,"&gt;="&amp;14)=0,0,SUP_CONTROL!$C$8*IF($B21="V",1,IF($B21="D",(1+SUP_VOLUMEN!$C$26),(1+SUP_VOLUMEN!$C$27)))*INDEX(SUP_C3_EXPANSION!$C$6:$F$6,MIN(4,COUNTIF(CAPA3_EXPANSION!$D$56:AN$56,"&gt;="&amp;14)))*CAPA3_EXPANSION!AN$36)</f>
        <v>0</v>
      </c>
      <c r="AO21" s="88">
        <f>IF(COUNTIF(CAPA3_EXPANSION!$D$56:AO$56,"&gt;="&amp;14)=0,0,SUP_CONTROL!$C$8*IF($B21="V",1,IF($B21="D",(1+SUP_VOLUMEN!$C$26),(1+SUP_VOLUMEN!$C$27)))*INDEX(SUP_C3_EXPANSION!$C$6:$F$6,MIN(4,COUNTIF(CAPA3_EXPANSION!$D$56:AO$56,"&gt;="&amp;14)))*CAPA3_EXPANSION!AO$36)</f>
        <v>0</v>
      </c>
      <c r="AP21" s="88">
        <f>IF(COUNTIF(CAPA3_EXPANSION!$D$56:AP$56,"&gt;="&amp;14)=0,0,SUP_CONTROL!$C$8*IF($B21="V",1,IF($B21="D",(1+SUP_VOLUMEN!$C$26),(1+SUP_VOLUMEN!$C$27)))*INDEX(SUP_C3_EXPANSION!$C$6:$F$6,MIN(4,COUNTIF(CAPA3_EXPANSION!$D$56:AP$56,"&gt;="&amp;14)))*CAPA3_EXPANSION!AP$36)</f>
        <v>0</v>
      </c>
      <c r="AQ21" s="88">
        <f>IF(COUNTIF(CAPA3_EXPANSION!$D$56:AQ$56,"&gt;="&amp;14)=0,0,SUP_CONTROL!$C$8*IF($B21="V",1,IF($B21="D",(1+SUP_VOLUMEN!$C$26),(1+SUP_VOLUMEN!$C$27)))*INDEX(SUP_C3_EXPANSION!$C$6:$F$6,MIN(4,COUNTIF(CAPA3_EXPANSION!$D$56:AQ$56,"&gt;="&amp;14)))*CAPA3_EXPANSION!AQ$36)</f>
        <v>0</v>
      </c>
      <c r="AR21" s="88">
        <f>IF(COUNTIF(CAPA3_EXPANSION!$D$56:AR$56,"&gt;="&amp;14)=0,0,SUP_CONTROL!$C$8*IF($B21="V",1,IF($B21="D",(1+SUP_VOLUMEN!$C$26),(1+SUP_VOLUMEN!$C$27)))*INDEX(SUP_C3_EXPANSION!$C$6:$F$6,MIN(4,COUNTIF(CAPA3_EXPANSION!$D$56:AR$56,"&gt;="&amp;14)))*CAPA3_EXPANSION!AR$36)</f>
        <v>0</v>
      </c>
      <c r="AS21" s="88">
        <f>IF(COUNTIF(CAPA3_EXPANSION!$D$56:AS$56,"&gt;="&amp;14)=0,0,SUP_CONTROL!$C$8*IF($B21="V",1,IF($B21="D",(1+SUP_VOLUMEN!$C$26),(1+SUP_VOLUMEN!$C$27)))*INDEX(SUP_C3_EXPANSION!$C$6:$F$6,MIN(4,COUNTIF(CAPA3_EXPANSION!$D$56:AS$56,"&gt;="&amp;14)))*CAPA3_EXPANSION!AS$36)</f>
        <v>0</v>
      </c>
      <c r="AT21" s="88">
        <f>IF(COUNTIF(CAPA3_EXPANSION!$D$56:AT$56,"&gt;="&amp;14)=0,0,SUP_CONTROL!$C$8*IF($B21="V",1,IF($B21="D",(1+SUP_VOLUMEN!$C$26),(1+SUP_VOLUMEN!$C$27)))*INDEX(SUP_C3_EXPANSION!$C$6:$F$6,MIN(4,COUNTIF(CAPA3_EXPANSION!$D$56:AT$56,"&gt;="&amp;14)))*CAPA3_EXPANSION!AT$36)</f>
        <v>0</v>
      </c>
      <c r="AU21" s="88">
        <f>IF(COUNTIF(CAPA3_EXPANSION!$D$56:AU$56,"&gt;="&amp;14)=0,0,SUP_CONTROL!$C$8*IF($B21="V",1,IF($B21="D",(1+SUP_VOLUMEN!$C$26),(1+SUP_VOLUMEN!$C$27)))*INDEX(SUP_C3_EXPANSION!$C$6:$F$6,MIN(4,COUNTIF(CAPA3_EXPANSION!$D$56:AU$56,"&gt;="&amp;14)))*CAPA3_EXPANSION!AU$36)</f>
        <v>2068.1797500000002</v>
      </c>
      <c r="AV21" s="88">
        <f>IF(COUNTIF(CAPA3_EXPANSION!$D$56:AV$56,"&gt;="&amp;14)=0,0,SUP_CONTROL!$C$8*IF($B21="V",1,IF($B21="D",(1+SUP_VOLUMEN!$C$26),(1+SUP_VOLUMEN!$C$27)))*INDEX(SUP_C3_EXPANSION!$C$6:$F$6,MIN(4,COUNTIF(CAPA3_EXPANSION!$D$56:AV$56,"&gt;="&amp;14)))*CAPA3_EXPANSION!AV$36)</f>
        <v>2545.4520000000002</v>
      </c>
      <c r="AW21" s="88">
        <f>IF(COUNTIF(CAPA3_EXPANSION!$D$56:AW$56,"&gt;="&amp;14)=0,0,SUP_CONTROL!$C$8*IF($B21="V",1,IF($B21="D",(1+SUP_VOLUMEN!$C$26),(1+SUP_VOLUMEN!$C$27)))*INDEX(SUP_C3_EXPANSION!$C$6:$F$6,MIN(4,COUNTIF(CAPA3_EXPANSION!$D$56:AW$56,"&gt;="&amp;14)))*CAPA3_EXPANSION!AW$36)</f>
        <v>2863.6334999999999</v>
      </c>
      <c r="AX21" s="88">
        <f>IF(COUNTIF(CAPA3_EXPANSION!$D$56:AX$56,"&gt;="&amp;14)=0,0,SUP_CONTROL!$C$8*IF($B21="V",1,IF($B21="D",(1+SUP_VOLUMEN!$C$26),(1+SUP_VOLUMEN!$C$27)))*INDEX(SUP_C3_EXPANSION!$C$6:$F$6,MIN(4,COUNTIF(CAPA3_EXPANSION!$D$56:AX$56,"&gt;="&amp;14)))*CAPA3_EXPANSION!AX$36)</f>
        <v>3181.8150000000001</v>
      </c>
      <c r="AY21" s="88">
        <f>IF(COUNTIF(CAPA3_EXPANSION!$D$56:AY$56,"&gt;="&amp;14)=0,0,SUP_CONTROL!$C$8*IF($B21="V",1,IF($B21="D",(1+SUP_VOLUMEN!$C$26),(1+SUP_VOLUMEN!$C$27)))*INDEX(SUP_C3_EXPANSION!$C$6:$F$6,MIN(4,COUNTIF(CAPA3_EXPANSION!$D$56:AY$56,"&gt;="&amp;14)))*CAPA3_EXPANSION!AY$36)</f>
        <v>3181.8150000000001</v>
      </c>
      <c r="AZ21" s="88">
        <f>IF(COUNTIF(CAPA3_EXPANSION!$D$56:AZ$56,"&gt;="&amp;14)=0,0,SUP_CONTROL!$C$8*IF($B21="V",1,IF($B21="D",(1+SUP_VOLUMEN!$C$26),(1+SUP_VOLUMEN!$C$27)))*INDEX(SUP_C3_EXPANSION!$C$6:$F$6,MIN(4,COUNTIF(CAPA3_EXPANSION!$D$56:AZ$56,"&gt;="&amp;14)))*CAPA3_EXPANSION!AZ$36)</f>
        <v>3181.8150000000001</v>
      </c>
      <c r="BA21" s="88">
        <f>IF(COUNTIF(CAPA3_EXPANSION!$D$56:BA$56,"&gt;="&amp;14)=0,0,SUP_CONTROL!$C$8*IF($B21="V",1,IF($B21="D",(1+SUP_VOLUMEN!$C$26),(1+SUP_VOLUMEN!$C$27)))*INDEX(SUP_C3_EXPANSION!$C$6:$F$6,MIN(4,COUNTIF(CAPA3_EXPANSION!$D$56:BA$56,"&gt;="&amp;14)))*CAPA3_EXPANSION!BA$36)</f>
        <v>3097.6400000000003</v>
      </c>
      <c r="BB21" s="88">
        <f>IF(COUNTIF(CAPA3_EXPANSION!$D$56:BB$56,"&gt;="&amp;14)=0,0,SUP_CONTROL!$C$8*IF($B21="V",1,IF($B21="D",(1+SUP_VOLUMEN!$C$26),(1+SUP_VOLUMEN!$C$27)))*INDEX(SUP_C3_EXPANSION!$C$6:$F$6,MIN(4,COUNTIF(CAPA3_EXPANSION!$D$56:BB$56,"&gt;="&amp;14)))*CAPA3_EXPANSION!BB$36)</f>
        <v>3097.6400000000003</v>
      </c>
      <c r="BC21" s="88">
        <f>IF(COUNTIF(CAPA3_EXPANSION!$D$56:BC$56,"&gt;="&amp;14)=0,0,SUP_CONTROL!$C$8*IF($B21="V",1,IF($B21="D",(1+SUP_VOLUMEN!$C$26),(1+SUP_VOLUMEN!$C$27)))*INDEX(SUP_C3_EXPANSION!$C$6:$F$6,MIN(4,COUNTIF(CAPA3_EXPANSION!$D$56:BC$56,"&gt;="&amp;14)))*CAPA3_EXPANSION!BC$36)</f>
        <v>3097.6400000000003</v>
      </c>
      <c r="BD21" s="88">
        <f>IF(COUNTIF(CAPA3_EXPANSION!$D$56:BD$56,"&gt;="&amp;14)=0,0,SUP_CONTROL!$C$8*IF($B21="V",1,IF($B21="D",(1+SUP_VOLUMEN!$C$26),(1+SUP_VOLUMEN!$C$27)))*INDEX(SUP_C3_EXPANSION!$C$6:$F$6,MIN(4,COUNTIF(CAPA3_EXPANSION!$D$56:BD$56,"&gt;="&amp;14)))*CAPA3_EXPANSION!BD$36)</f>
        <v>3097.6400000000003</v>
      </c>
      <c r="BE21" s="88">
        <f>IF(COUNTIF(CAPA3_EXPANSION!$D$56:BE$56,"&gt;="&amp;14)=0,0,SUP_CONTROL!$C$8*IF($B21="V",1,IF($B21="D",(1+SUP_VOLUMEN!$C$26),(1+SUP_VOLUMEN!$C$27)))*INDEX(SUP_C3_EXPANSION!$C$6:$F$6,MIN(4,COUNTIF(CAPA3_EXPANSION!$D$56:BE$56,"&gt;="&amp;14)))*CAPA3_EXPANSION!BE$36)</f>
        <v>3097.6400000000003</v>
      </c>
      <c r="BF21" s="88">
        <f>IF(COUNTIF(CAPA3_EXPANSION!$D$56:BF$56,"&gt;="&amp;14)=0,0,SUP_CONTROL!$C$8*IF($B21="V",1,IF($B21="D",(1+SUP_VOLUMEN!$C$26),(1+SUP_VOLUMEN!$C$27)))*INDEX(SUP_C3_EXPANSION!$C$6:$F$6,MIN(4,COUNTIF(CAPA3_EXPANSION!$D$56:BF$56,"&gt;="&amp;14)))*CAPA3_EXPANSION!BF$36)</f>
        <v>3030.3</v>
      </c>
      <c r="BG21" s="88">
        <f>IF(COUNTIF(CAPA3_EXPANSION!$D$56:BG$56,"&gt;="&amp;14)=0,0,SUP_CONTROL!$C$8*IF($B21="V",1,IF($B21="D",(1+SUP_VOLUMEN!$C$26),(1+SUP_VOLUMEN!$C$27)))*INDEX(SUP_C3_EXPANSION!$C$6:$F$6,MIN(4,COUNTIF(CAPA3_EXPANSION!$D$56:BG$56,"&gt;="&amp;14)))*CAPA3_EXPANSION!BG$36)</f>
        <v>3030.3</v>
      </c>
      <c r="BH21" s="88">
        <f>IF(COUNTIF(CAPA3_EXPANSION!$D$56:BH$56,"&gt;="&amp;14)=0,0,SUP_CONTROL!$C$8*IF($B21="V",1,IF($B21="D",(1+SUP_VOLUMEN!$C$26),(1+SUP_VOLUMEN!$C$27)))*INDEX(SUP_C3_EXPANSION!$C$6:$F$6,MIN(4,COUNTIF(CAPA3_EXPANSION!$D$56:BH$56,"&gt;="&amp;14)))*CAPA3_EXPANSION!BH$36)</f>
        <v>3030.3</v>
      </c>
      <c r="BI21" s="88">
        <f>IF(COUNTIF(CAPA3_EXPANSION!$D$56:BI$56,"&gt;="&amp;14)=0,0,SUP_CONTROL!$C$8*IF($B21="V",1,IF($B21="D",(1+SUP_VOLUMEN!$C$26),(1+SUP_VOLUMEN!$C$27)))*INDEX(SUP_C3_EXPANSION!$C$6:$F$6,MIN(4,COUNTIF(CAPA3_EXPANSION!$D$56:BI$56,"&gt;="&amp;14)))*CAPA3_EXPANSION!BI$36)</f>
        <v>3030.3</v>
      </c>
      <c r="BJ21" s="88">
        <f>IF(COUNTIF(CAPA3_EXPANSION!$D$56:BJ$56,"&gt;="&amp;14)=0,0,SUP_CONTROL!$C$8*IF($B21="V",1,IF($B21="D",(1+SUP_VOLUMEN!$C$26),(1+SUP_VOLUMEN!$C$27)))*INDEX(SUP_C3_EXPANSION!$C$6:$F$6,MIN(4,COUNTIF(CAPA3_EXPANSION!$D$56:BJ$56,"&gt;="&amp;14)))*CAPA3_EXPANSION!BJ$36)</f>
        <v>3030.3</v>
      </c>
      <c r="BK21" s="88">
        <f>IF(COUNTIF(CAPA3_EXPANSION!$D$56:BK$56,"&gt;="&amp;14)=0,0,SUP_CONTROL!$C$8*IF($B21="V",1,IF($B21="D",(1+SUP_VOLUMEN!$C$26),(1+SUP_VOLUMEN!$C$27)))*INDEX(SUP_C3_EXPANSION!$C$6:$F$6,MIN(4,COUNTIF(CAPA3_EXPANSION!$D$56:BK$56,"&gt;="&amp;14)))*CAPA3_EXPANSION!BK$36)</f>
        <v>2962.96</v>
      </c>
      <c r="BL21" s="88">
        <f>IF(COUNTIF(CAPA3_EXPANSION!$D$56:BL$56,"&gt;="&amp;14)=0,0,SUP_CONTROL!$C$8*IF($B21="V",1,IF($B21="D",(1+SUP_VOLUMEN!$C$26),(1+SUP_VOLUMEN!$C$27)))*INDEX(SUP_C3_EXPANSION!$C$6:$F$6,MIN(4,COUNTIF(CAPA3_EXPANSION!$D$56:BL$56,"&gt;="&amp;14)))*CAPA3_EXPANSION!BL$36)</f>
        <v>2962.96</v>
      </c>
      <c r="BM21" s="88">
        <f>IF(COUNTIF(CAPA3_EXPANSION!$D$56:BM$56,"&gt;="&amp;14)=0,0,SUP_CONTROL!$C$8*IF($B21="V",1,IF($B21="D",(1+SUP_VOLUMEN!$C$26),(1+SUP_VOLUMEN!$C$27)))*INDEX(SUP_C3_EXPANSION!$C$6:$F$6,MIN(4,COUNTIF(CAPA3_EXPANSION!$D$56:BM$56,"&gt;="&amp;14)))*CAPA3_EXPANSION!BM$36)</f>
        <v>2962.96</v>
      </c>
      <c r="BN21" s="88">
        <f>IF(COUNTIF(CAPA3_EXPANSION!$D$56:BN$56,"&gt;="&amp;14)=0,0,SUP_CONTROL!$C$8*IF($B21="V",1,IF($B21="D",(1+SUP_VOLUMEN!$C$26),(1+SUP_VOLUMEN!$C$27)))*INDEX(SUP_C3_EXPANSION!$C$6:$F$6,MIN(4,COUNTIF(CAPA3_EXPANSION!$D$56:BN$56,"&gt;="&amp;14)))*CAPA3_EXPANSION!BN$36)</f>
        <v>2962.96</v>
      </c>
      <c r="BO21" s="88">
        <f>IF(COUNTIF(CAPA3_EXPANSION!$D$56:BO$56,"&gt;="&amp;14)=0,0,SUP_CONTROL!$C$8*IF($B21="V",1,IF($B21="D",(1+SUP_VOLUMEN!$C$26),(1+SUP_VOLUMEN!$C$27)))*INDEX(SUP_C3_EXPANSION!$C$6:$F$6,MIN(4,COUNTIF(CAPA3_EXPANSION!$D$56:BO$56,"&gt;="&amp;14)))*CAPA3_EXPANSION!BO$36)</f>
        <v>2962.96</v>
      </c>
      <c r="BP21" s="88">
        <f>IF(COUNTIF(CAPA3_EXPANSION!$D$56:BP$56,"&gt;="&amp;14)=0,0,SUP_CONTROL!$C$8*IF($B21="V",1,IF($B21="D",(1+SUP_VOLUMEN!$C$26),(1+SUP_VOLUMEN!$C$27)))*INDEX(SUP_C3_EXPANSION!$C$6:$F$6,MIN(4,COUNTIF(CAPA3_EXPANSION!$D$56:BP$56,"&gt;="&amp;14)))*CAPA3_EXPANSION!BP$36)</f>
        <v>2912.4549999999999</v>
      </c>
      <c r="BQ21" s="88">
        <f>IF(COUNTIF(CAPA3_EXPANSION!$D$56:BQ$56,"&gt;="&amp;14)=0,0,SUP_CONTROL!$C$8*IF($B21="V",1,IF($B21="D",(1+SUP_VOLUMEN!$C$26),(1+SUP_VOLUMEN!$C$27)))*INDEX(SUP_C3_EXPANSION!$C$6:$F$6,MIN(4,COUNTIF(CAPA3_EXPANSION!$D$56:BQ$56,"&gt;="&amp;14)))*CAPA3_EXPANSION!BQ$36)</f>
        <v>2912.4549999999999</v>
      </c>
      <c r="BR21" s="88">
        <f>IF(COUNTIF(CAPA3_EXPANSION!$D$56:BR$56,"&gt;="&amp;14)=0,0,SUP_CONTROL!$C$8*IF($B21="V",1,IF($B21="D",(1+SUP_VOLUMEN!$C$26),(1+SUP_VOLUMEN!$C$27)))*INDEX(SUP_C3_EXPANSION!$C$6:$F$6,MIN(4,COUNTIF(CAPA3_EXPANSION!$D$56:BR$56,"&gt;="&amp;14)))*CAPA3_EXPANSION!BR$36)</f>
        <v>2912.4549999999999</v>
      </c>
      <c r="BS21" s="88">
        <f>IF(COUNTIF(CAPA3_EXPANSION!$D$56:BS$56,"&gt;="&amp;14)=0,0,SUP_CONTROL!$C$8*IF($B21="V",1,IF($B21="D",(1+SUP_VOLUMEN!$C$26),(1+SUP_VOLUMEN!$C$27)))*INDEX(SUP_C3_EXPANSION!$C$6:$F$6,MIN(4,COUNTIF(CAPA3_EXPANSION!$D$56:BS$56,"&gt;="&amp;14)))*CAPA3_EXPANSION!BS$36)</f>
        <v>2912.4549999999999</v>
      </c>
      <c r="BT21" s="88">
        <f>IF(COUNTIF(CAPA3_EXPANSION!$D$56:BT$56,"&gt;="&amp;14)=0,0,SUP_CONTROL!$C$8*IF($B21="V",1,IF($B21="D",(1+SUP_VOLUMEN!$C$26),(1+SUP_VOLUMEN!$C$27)))*INDEX(SUP_C3_EXPANSION!$C$6:$F$6,MIN(4,COUNTIF(CAPA3_EXPANSION!$D$56:BT$56,"&gt;="&amp;14)))*CAPA3_EXPANSION!BT$36)</f>
        <v>2912.4549999999999</v>
      </c>
      <c r="BU21" s="88">
        <f>IF(COUNTIF(CAPA3_EXPANSION!$D$56:BU$56,"&gt;="&amp;14)=0,0,SUP_CONTROL!$C$8*IF($B21="V",1,IF($B21="D",(1+SUP_VOLUMEN!$C$26),(1+SUP_VOLUMEN!$C$27)))*INDEX(SUP_C3_EXPANSION!$C$6:$F$6,MIN(4,COUNTIF(CAPA3_EXPANSION!$D$56:BU$56,"&gt;="&amp;14)))*CAPA3_EXPANSION!BU$36)</f>
        <v>2861.95</v>
      </c>
      <c r="BV21" s="88">
        <f>IF(COUNTIF(CAPA3_EXPANSION!$D$56:BV$56,"&gt;="&amp;14)=0,0,SUP_CONTROL!$C$8*IF($B21="V",1,IF($B21="D",(1+SUP_VOLUMEN!$C$26),(1+SUP_VOLUMEN!$C$27)))*INDEX(SUP_C3_EXPANSION!$C$6:$F$6,MIN(4,COUNTIF(CAPA3_EXPANSION!$D$56:BV$56,"&gt;="&amp;14)))*CAPA3_EXPANSION!BV$36)</f>
        <v>2861.95</v>
      </c>
      <c r="BW21" s="88">
        <f>IF(COUNTIF(CAPA3_EXPANSION!$D$56:BW$56,"&gt;="&amp;14)=0,0,SUP_CONTROL!$C$8*IF($B21="V",1,IF($B21="D",(1+SUP_VOLUMEN!$C$26),(1+SUP_VOLUMEN!$C$27)))*INDEX(SUP_C3_EXPANSION!$C$6:$F$6,MIN(4,COUNTIF(CAPA3_EXPANSION!$D$56:BW$56,"&gt;="&amp;14)))*CAPA3_EXPANSION!BW$36)</f>
        <v>2861.95</v>
      </c>
      <c r="BX21" s="88">
        <f>IF(COUNTIF(CAPA3_EXPANSION!$D$56:BX$56,"&gt;="&amp;14)=0,0,SUP_CONTROL!$C$8*IF($B21="V",1,IF($B21="D",(1+SUP_VOLUMEN!$C$26),(1+SUP_VOLUMEN!$C$27)))*INDEX(SUP_C3_EXPANSION!$C$6:$F$6,MIN(4,COUNTIF(CAPA3_EXPANSION!$D$56:BX$56,"&gt;="&amp;14)))*CAPA3_EXPANSION!BX$36)</f>
        <v>2861.95</v>
      </c>
      <c r="BY21" s="88">
        <f>IF(COUNTIF(CAPA3_EXPANSION!$D$56:BY$56,"&gt;="&amp;14)=0,0,SUP_CONTROL!$C$8*IF($B21="V",1,IF($B21="D",(1+SUP_VOLUMEN!$C$26),(1+SUP_VOLUMEN!$C$27)))*INDEX(SUP_C3_EXPANSION!$C$6:$F$6,MIN(4,COUNTIF(CAPA3_EXPANSION!$D$56:BY$56,"&gt;="&amp;14)))*CAPA3_EXPANSION!BY$36)</f>
        <v>2861.95</v>
      </c>
      <c r="BZ21" s="88">
        <f>IF(COUNTIF(CAPA3_EXPANSION!$D$56:BZ$56,"&gt;="&amp;14)=0,0,SUP_CONTROL!$C$8*IF($B21="V",1,IF($B21="D",(1+SUP_VOLUMEN!$C$26),(1+SUP_VOLUMEN!$C$27)))*INDEX(SUP_C3_EXPANSION!$C$6:$F$6,MIN(4,COUNTIF(CAPA3_EXPANSION!$D$56:BZ$56,"&gt;="&amp;14)))*CAPA3_EXPANSION!BZ$36)</f>
        <v>2828.2799999999997</v>
      </c>
      <c r="CA21" s="88">
        <f>IF(COUNTIF(CAPA3_EXPANSION!$D$56:CA$56,"&gt;="&amp;14)=0,0,SUP_CONTROL!$C$8*IF($B21="V",1,IF($B21="D",(1+SUP_VOLUMEN!$C$26),(1+SUP_VOLUMEN!$C$27)))*INDEX(SUP_C3_EXPANSION!$C$6:$F$6,MIN(4,COUNTIF(CAPA3_EXPANSION!$D$56:CA$56,"&gt;="&amp;14)))*CAPA3_EXPANSION!CA$36)</f>
        <v>2828.2799999999997</v>
      </c>
      <c r="CB21" s="88">
        <f>IF(COUNTIF(CAPA3_EXPANSION!$D$56:CB$56,"&gt;="&amp;14)=0,0,SUP_CONTROL!$C$8*IF($B21="V",1,IF($B21="D",(1+SUP_VOLUMEN!$C$26),(1+SUP_VOLUMEN!$C$27)))*INDEX(SUP_C3_EXPANSION!$C$6:$F$6,MIN(4,COUNTIF(CAPA3_EXPANSION!$D$56:CB$56,"&gt;="&amp;14)))*CAPA3_EXPANSION!CB$36)</f>
        <v>2828.2799999999997</v>
      </c>
      <c r="CC21" s="88">
        <f>IF(COUNTIF(CAPA3_EXPANSION!$D$56:CC$56,"&gt;="&amp;14)=0,0,SUP_CONTROL!$C$8*IF($B21="V",1,IF($B21="D",(1+SUP_VOLUMEN!$C$26),(1+SUP_VOLUMEN!$C$27)))*INDEX(SUP_C3_EXPANSION!$C$6:$F$6,MIN(4,COUNTIF(CAPA3_EXPANSION!$D$56:CC$56,"&gt;="&amp;14)))*CAPA3_EXPANSION!CC$36)</f>
        <v>2828.2799999999997</v>
      </c>
      <c r="CD21" s="88">
        <f>IF(COUNTIF(CAPA3_EXPANSION!$D$56:CD$56,"&gt;="&amp;14)=0,0,SUP_CONTROL!$C$8*IF($B21="V",1,IF($B21="D",(1+SUP_VOLUMEN!$C$26),(1+SUP_VOLUMEN!$C$27)))*INDEX(SUP_C3_EXPANSION!$C$6:$F$6,MIN(4,COUNTIF(CAPA3_EXPANSION!$D$56:CD$56,"&gt;="&amp;14)))*CAPA3_EXPANSION!CD$36)</f>
        <v>2828.2799999999997</v>
      </c>
      <c r="CE21" s="88">
        <f>IF(COUNTIF(CAPA3_EXPANSION!$D$56:CE$56,"&gt;="&amp;14)=0,0,SUP_CONTROL!$C$8*IF($B21="V",1,IF($B21="D",(1+SUP_VOLUMEN!$C$26),(1+SUP_VOLUMEN!$C$27)))*INDEX(SUP_C3_EXPANSION!$C$6:$F$6,MIN(4,COUNTIF(CAPA3_EXPANSION!$D$56:CE$56,"&gt;="&amp;14)))*CAPA3_EXPANSION!CE$36)</f>
        <v>2828.2799999999997</v>
      </c>
      <c r="CF21" s="88">
        <f>IF(COUNTIF(CAPA3_EXPANSION!$D$56:CF$56,"&gt;="&amp;14)=0,0,SUP_CONTROL!$C$8*IF($B21="V",1,IF($B21="D",(1+SUP_VOLUMEN!$C$26),(1+SUP_VOLUMEN!$C$27)))*INDEX(SUP_C3_EXPANSION!$C$6:$F$6,MIN(4,COUNTIF(CAPA3_EXPANSION!$D$56:CF$56,"&gt;="&amp;14)))*CAPA3_EXPANSION!CF$36)</f>
        <v>2828.2799999999997</v>
      </c>
      <c r="CG21" s="88">
        <f>IF(COUNTIF(CAPA3_EXPANSION!$D$56:CG$56,"&gt;="&amp;14)=0,0,SUP_CONTROL!$C$8*IF($B21="V",1,IF($B21="D",(1+SUP_VOLUMEN!$C$26),(1+SUP_VOLUMEN!$C$27)))*INDEX(SUP_C3_EXPANSION!$C$6:$F$6,MIN(4,COUNTIF(CAPA3_EXPANSION!$D$56:CG$56,"&gt;="&amp;14)))*CAPA3_EXPANSION!CG$36)</f>
        <v>2828.2799999999997</v>
      </c>
      <c r="CH21" s="88">
        <f>IF(COUNTIF(CAPA3_EXPANSION!$D$56:CH$56,"&gt;="&amp;14)=0,0,SUP_CONTROL!$C$8*IF($B21="V",1,IF($B21="D",(1+SUP_VOLUMEN!$C$26),(1+SUP_VOLUMEN!$C$27)))*INDEX(SUP_C3_EXPANSION!$C$6:$F$6,MIN(4,COUNTIF(CAPA3_EXPANSION!$D$56:CH$56,"&gt;="&amp;14)))*CAPA3_EXPANSION!CH$36)</f>
        <v>2828.2799999999997</v>
      </c>
      <c r="CI21" s="88">
        <f>IF(COUNTIF(CAPA3_EXPANSION!$D$56:CI$56,"&gt;="&amp;14)=0,0,SUP_CONTROL!$C$8*IF($B21="V",1,IF($B21="D",(1+SUP_VOLUMEN!$C$26),(1+SUP_VOLUMEN!$C$27)))*INDEX(SUP_C3_EXPANSION!$C$6:$F$6,MIN(4,COUNTIF(CAPA3_EXPANSION!$D$56:CI$56,"&gt;="&amp;14)))*CAPA3_EXPANSION!CI$36)</f>
        <v>2828.2799999999997</v>
      </c>
      <c r="CJ21" s="88">
        <f>IF(COUNTIF(CAPA3_EXPANSION!$D$56:CJ$56,"&gt;="&amp;14)=0,0,SUP_CONTROL!$C$8*IF($B21="V",1,IF($B21="D",(1+SUP_VOLUMEN!$C$26),(1+SUP_VOLUMEN!$C$27)))*INDEX(SUP_C3_EXPANSION!$C$6:$F$6,MIN(4,COUNTIF(CAPA3_EXPANSION!$D$56:CJ$56,"&gt;="&amp;14)))*CAPA3_EXPANSION!CJ$36)</f>
        <v>2828.2799999999997</v>
      </c>
      <c r="CK21" s="88">
        <f>IF(COUNTIF(CAPA3_EXPANSION!$D$56:CK$56,"&gt;="&amp;14)=0,0,SUP_CONTROL!$C$8*IF($B21="V",1,IF($B21="D",(1+SUP_VOLUMEN!$C$26),(1+SUP_VOLUMEN!$C$27)))*INDEX(SUP_C3_EXPANSION!$C$6:$F$6,MIN(4,COUNTIF(CAPA3_EXPANSION!$D$56:CK$56,"&gt;="&amp;14)))*CAPA3_EXPANSION!CK$36)</f>
        <v>2828.2799999999997</v>
      </c>
      <c r="CL21" s="88">
        <f>IF(COUNTIF(CAPA3_EXPANSION!$D$56:CL$56,"&gt;="&amp;14)=0,0,SUP_CONTROL!$C$8*IF($B21="V",1,IF($B21="D",(1+SUP_VOLUMEN!$C$26),(1+SUP_VOLUMEN!$C$27)))*INDEX(SUP_C3_EXPANSION!$C$6:$F$6,MIN(4,COUNTIF(CAPA3_EXPANSION!$D$56:CL$56,"&gt;="&amp;14)))*CAPA3_EXPANSION!CL$36)</f>
        <v>2828.2799999999997</v>
      </c>
      <c r="CM21" s="88">
        <f>IF(COUNTIF(CAPA3_EXPANSION!$D$56:CM$56,"&gt;="&amp;14)=0,0,SUP_CONTROL!$C$8*IF($B21="V",1,IF($B21="D",(1+SUP_VOLUMEN!$C$26),(1+SUP_VOLUMEN!$C$27)))*INDEX(SUP_C3_EXPANSION!$C$6:$F$6,MIN(4,COUNTIF(CAPA3_EXPANSION!$D$56:CM$56,"&gt;="&amp;14)))*CAPA3_EXPANSION!CM$36)</f>
        <v>2828.2799999999997</v>
      </c>
      <c r="CN21" s="88">
        <f>IF(COUNTIF(CAPA3_EXPANSION!$D$56:CN$56,"&gt;="&amp;14)=0,0,SUP_CONTROL!$C$8*IF($B21="V",1,IF($B21="D",(1+SUP_VOLUMEN!$C$26),(1+SUP_VOLUMEN!$C$27)))*INDEX(SUP_C3_EXPANSION!$C$6:$F$6,MIN(4,COUNTIF(CAPA3_EXPANSION!$D$56:CN$56,"&gt;="&amp;14)))*CAPA3_EXPANSION!CN$36)</f>
        <v>2828.2799999999997</v>
      </c>
      <c r="CO21" s="88">
        <f>IF(COUNTIF(CAPA3_EXPANSION!$D$56:CO$56,"&gt;="&amp;14)=0,0,SUP_CONTROL!$C$8*IF($B21="V",1,IF($B21="D",(1+SUP_VOLUMEN!$C$26),(1+SUP_VOLUMEN!$C$27)))*INDEX(SUP_C3_EXPANSION!$C$6:$F$6,MIN(4,COUNTIF(CAPA3_EXPANSION!$D$56:CO$56,"&gt;="&amp;14)))*CAPA3_EXPANSION!CO$36)</f>
        <v>2828.2799999999997</v>
      </c>
      <c r="CP21" s="88">
        <f>IF(COUNTIF(CAPA3_EXPANSION!$D$56:CP$56,"&gt;="&amp;14)=0,0,SUP_CONTROL!$C$8*IF($B21="V",1,IF($B21="D",(1+SUP_VOLUMEN!$C$26),(1+SUP_VOLUMEN!$C$27)))*INDEX(SUP_C3_EXPANSION!$C$6:$F$6,MIN(4,COUNTIF(CAPA3_EXPANSION!$D$56:CP$56,"&gt;="&amp;14)))*CAPA3_EXPANSION!CP$36)</f>
        <v>2828.2799999999997</v>
      </c>
      <c r="CQ21" s="88">
        <f>IF(COUNTIF(CAPA3_EXPANSION!$D$56:CQ$56,"&gt;="&amp;14)=0,0,SUP_CONTROL!$C$8*IF($B21="V",1,IF($B21="D",(1+SUP_VOLUMEN!$C$26),(1+SUP_VOLUMEN!$C$27)))*INDEX(SUP_C3_EXPANSION!$C$6:$F$6,MIN(4,COUNTIF(CAPA3_EXPANSION!$D$56:CQ$56,"&gt;="&amp;14)))*CAPA3_EXPANSION!CQ$36)</f>
        <v>2828.2799999999997</v>
      </c>
      <c r="CR21" s="88">
        <f>IF(COUNTIF(CAPA3_EXPANSION!$D$56:CR$56,"&gt;="&amp;14)=0,0,SUP_CONTROL!$C$8*IF($B21="V",1,IF($B21="D",(1+SUP_VOLUMEN!$C$26),(1+SUP_VOLUMEN!$C$27)))*INDEX(SUP_C3_EXPANSION!$C$6:$F$6,MIN(4,COUNTIF(CAPA3_EXPANSION!$D$56:CR$56,"&gt;="&amp;14)))*CAPA3_EXPANSION!CR$36)</f>
        <v>2828.2799999999997</v>
      </c>
      <c r="CS21" s="88">
        <f>IF(COUNTIF(CAPA3_EXPANSION!$D$56:CS$56,"&gt;="&amp;14)=0,0,SUP_CONTROL!$C$8*IF($B21="V",1,IF($B21="D",(1+SUP_VOLUMEN!$C$26),(1+SUP_VOLUMEN!$C$27)))*INDEX(SUP_C3_EXPANSION!$C$6:$F$6,MIN(4,COUNTIF(CAPA3_EXPANSION!$D$56:CS$56,"&gt;="&amp;14)))*CAPA3_EXPANSION!CS$36)</f>
        <v>2828.2799999999997</v>
      </c>
      <c r="CT21" s="88">
        <f>IF(COUNTIF(CAPA3_EXPANSION!$D$56:CT$56,"&gt;="&amp;14)=0,0,SUP_CONTROL!$C$8*IF($B21="V",1,IF($B21="D",(1+SUP_VOLUMEN!$C$26),(1+SUP_VOLUMEN!$C$27)))*INDEX(SUP_C3_EXPANSION!$C$6:$F$6,MIN(4,COUNTIF(CAPA3_EXPANSION!$D$56:CT$56,"&gt;="&amp;14)))*CAPA3_EXPANSION!CT$36)</f>
        <v>2828.2799999999997</v>
      </c>
      <c r="CU21" s="88">
        <f>IF(COUNTIF(CAPA3_EXPANSION!$D$56:CU$56,"&gt;="&amp;14)=0,0,SUP_CONTROL!$C$8*IF($B21="V",1,IF($B21="D",(1+SUP_VOLUMEN!$C$26),(1+SUP_VOLUMEN!$C$27)))*INDEX(SUP_C3_EXPANSION!$C$6:$F$6,MIN(4,COUNTIF(CAPA3_EXPANSION!$D$56:CU$56,"&gt;="&amp;14)))*CAPA3_EXPANSION!CU$36)</f>
        <v>2828.2799999999997</v>
      </c>
      <c r="CV21" s="88">
        <f>IF(COUNTIF(CAPA3_EXPANSION!$D$56:CV$56,"&gt;="&amp;14)=0,0,SUP_CONTROL!$C$8*IF($B21="V",1,IF($B21="D",(1+SUP_VOLUMEN!$C$26),(1+SUP_VOLUMEN!$C$27)))*INDEX(SUP_C3_EXPANSION!$C$6:$F$6,MIN(4,COUNTIF(CAPA3_EXPANSION!$D$56:CV$56,"&gt;="&amp;14)))*CAPA3_EXPANSION!CV$36)</f>
        <v>2828.2799999999997</v>
      </c>
      <c r="CW21" s="88">
        <f>IF(COUNTIF(CAPA3_EXPANSION!$D$56:CW$56,"&gt;="&amp;14)=0,0,SUP_CONTROL!$C$8*IF($B21="V",1,IF($B21="D",(1+SUP_VOLUMEN!$C$26),(1+SUP_VOLUMEN!$C$27)))*INDEX(SUP_C3_EXPANSION!$C$6:$F$6,MIN(4,COUNTIF(CAPA3_EXPANSION!$D$56:CW$56,"&gt;="&amp;14)))*CAPA3_EXPANSION!CW$36)</f>
        <v>2828.2799999999997</v>
      </c>
      <c r="CX21" s="88">
        <f>IF(COUNTIF(CAPA3_EXPANSION!$D$56:CX$56,"&gt;="&amp;14)=0,0,SUP_CONTROL!$C$8*IF($B21="V",1,IF($B21="D",(1+SUP_VOLUMEN!$C$26),(1+SUP_VOLUMEN!$C$27)))*INDEX(SUP_C3_EXPANSION!$C$6:$F$6,MIN(4,COUNTIF(CAPA3_EXPANSION!$D$56:CX$56,"&gt;="&amp;14)))*CAPA3_EXPANSION!CX$36)</f>
        <v>2828.2799999999997</v>
      </c>
      <c r="CY21" s="88">
        <f>IF(COUNTIF(CAPA3_EXPANSION!$D$56:CY$56,"&gt;="&amp;14)=0,0,SUP_CONTROL!$C$8*IF($B21="V",1,IF($B21="D",(1+SUP_VOLUMEN!$C$26),(1+SUP_VOLUMEN!$C$27)))*INDEX(SUP_C3_EXPANSION!$C$6:$F$6,MIN(4,COUNTIF(CAPA3_EXPANSION!$D$56:CY$56,"&gt;="&amp;14)))*CAPA3_EXPANSION!CY$36)</f>
        <v>2828.2799999999997</v>
      </c>
      <c r="CZ21" s="88">
        <f>IF(COUNTIF(CAPA3_EXPANSION!$D$56:CZ$56,"&gt;="&amp;14)=0,0,SUP_CONTROL!$C$8*IF($B21="V",1,IF($B21="D",(1+SUP_VOLUMEN!$C$26),(1+SUP_VOLUMEN!$C$27)))*INDEX(SUP_C3_EXPANSION!$C$6:$F$6,MIN(4,COUNTIF(CAPA3_EXPANSION!$D$56:CZ$56,"&gt;="&amp;14)))*CAPA3_EXPANSION!CZ$36)</f>
        <v>2828.2799999999997</v>
      </c>
      <c r="DA21" s="88">
        <f>IF(COUNTIF(CAPA3_EXPANSION!$D$56:DA$56,"&gt;="&amp;14)=0,0,SUP_CONTROL!$C$8*IF($B21="V",1,IF($B21="D",(1+SUP_VOLUMEN!$C$26),(1+SUP_VOLUMEN!$C$27)))*INDEX(SUP_C3_EXPANSION!$C$6:$F$6,MIN(4,COUNTIF(CAPA3_EXPANSION!$D$56:DA$56,"&gt;="&amp;14)))*CAPA3_EXPANSION!DA$36)</f>
        <v>2828.2799999999997</v>
      </c>
      <c r="DB21" s="88">
        <f>IF(COUNTIF(CAPA3_EXPANSION!$D$56:DB$56,"&gt;="&amp;14)=0,0,SUP_CONTROL!$C$8*IF($B21="V",1,IF($B21="D",(1+SUP_VOLUMEN!$C$26),(1+SUP_VOLUMEN!$C$27)))*INDEX(SUP_C3_EXPANSION!$C$6:$F$6,MIN(4,COUNTIF(CAPA3_EXPANSION!$D$56:DB$56,"&gt;="&amp;14)))*CAPA3_EXPANSION!DB$36)</f>
        <v>2828.2799999999997</v>
      </c>
      <c r="DC21" s="88">
        <f>IF(COUNTIF(CAPA3_EXPANSION!$D$56:DC$56,"&gt;="&amp;14)=0,0,SUP_CONTROL!$C$8*IF($B21="V",1,IF($B21="D",(1+SUP_VOLUMEN!$C$26),(1+SUP_VOLUMEN!$C$27)))*INDEX(SUP_C3_EXPANSION!$C$6:$F$6,MIN(4,COUNTIF(CAPA3_EXPANSION!$D$56:DC$56,"&gt;="&amp;14)))*CAPA3_EXPANSION!DC$36)</f>
        <v>2828.2799999999997</v>
      </c>
      <c r="DD21" s="88">
        <f>IF(COUNTIF(CAPA3_EXPANSION!$D$56:DD$56,"&gt;="&amp;14)=0,0,SUP_CONTROL!$C$8*IF($B21="V",1,IF($B21="D",(1+SUP_VOLUMEN!$C$26),(1+SUP_VOLUMEN!$C$27)))*INDEX(SUP_C3_EXPANSION!$C$6:$F$6,MIN(4,COUNTIF(CAPA3_EXPANSION!$D$56:DD$56,"&gt;="&amp;14)))*CAPA3_EXPANSION!DD$36)</f>
        <v>2828.2799999999997</v>
      </c>
      <c r="DE21" s="88">
        <f>IF(COUNTIF(CAPA3_EXPANSION!$D$56:DE$56,"&gt;="&amp;14)=0,0,SUP_CONTROL!$C$8*IF($B21="V",1,IF($B21="D",(1+SUP_VOLUMEN!$C$26),(1+SUP_VOLUMEN!$C$27)))*INDEX(SUP_C3_EXPANSION!$C$6:$F$6,MIN(4,COUNTIF(CAPA3_EXPANSION!$D$56:DE$56,"&gt;="&amp;14)))*CAPA3_EXPANSION!DE$36)</f>
        <v>2828.2799999999997</v>
      </c>
      <c r="DF21" s="88">
        <f>IF(COUNTIF(CAPA3_EXPANSION!$D$56:DF$56,"&gt;="&amp;14)=0,0,SUP_CONTROL!$C$8*IF($B21="V",1,IF($B21="D",(1+SUP_VOLUMEN!$C$26),(1+SUP_VOLUMEN!$C$27)))*INDEX(SUP_C3_EXPANSION!$C$6:$F$6,MIN(4,COUNTIF(CAPA3_EXPANSION!$D$56:DF$56,"&gt;="&amp;14)))*CAPA3_EXPANSION!DF$36)</f>
        <v>2828.2799999999997</v>
      </c>
      <c r="DG21" s="88">
        <f>IF(COUNTIF(CAPA3_EXPANSION!$D$56:DG$56,"&gt;="&amp;14)=0,0,SUP_CONTROL!$C$8*IF($B21="V",1,IF($B21="D",(1+SUP_VOLUMEN!$C$26),(1+SUP_VOLUMEN!$C$27)))*INDEX(SUP_C3_EXPANSION!$C$6:$F$6,MIN(4,COUNTIF(CAPA3_EXPANSION!$D$56:DG$56,"&gt;="&amp;14)))*CAPA3_EXPANSION!DG$36)</f>
        <v>2828.2799999999997</v>
      </c>
      <c r="DH21" s="88">
        <f>IF(COUNTIF(CAPA3_EXPANSION!$D$56:DH$56,"&gt;="&amp;14)=0,0,SUP_CONTROL!$C$8*IF($B21="V",1,IF($B21="D",(1+SUP_VOLUMEN!$C$26),(1+SUP_VOLUMEN!$C$27)))*INDEX(SUP_C3_EXPANSION!$C$6:$F$6,MIN(4,COUNTIF(CAPA3_EXPANSION!$D$56:DH$56,"&gt;="&amp;14)))*CAPA3_EXPANSION!DH$36)</f>
        <v>2828.2799999999997</v>
      </c>
      <c r="DI21" s="88">
        <f>IF(COUNTIF(CAPA3_EXPANSION!$D$56:DI$56,"&gt;="&amp;14)=0,0,SUP_CONTROL!$C$8*IF($B21="V",1,IF($B21="D",(1+SUP_VOLUMEN!$C$26),(1+SUP_VOLUMEN!$C$27)))*INDEX(SUP_C3_EXPANSION!$C$6:$F$6,MIN(4,COUNTIF(CAPA3_EXPANSION!$D$56:DI$56,"&gt;="&amp;14)))*CAPA3_EXPANSION!DI$36)</f>
        <v>2828.2799999999997</v>
      </c>
      <c r="DJ21" s="88">
        <f>IF(COUNTIF(CAPA3_EXPANSION!$D$56:DJ$56,"&gt;="&amp;14)=0,0,SUP_CONTROL!$C$8*IF($B21="V",1,IF($B21="D",(1+SUP_VOLUMEN!$C$26),(1+SUP_VOLUMEN!$C$27)))*INDEX(SUP_C3_EXPANSION!$C$6:$F$6,MIN(4,COUNTIF(CAPA3_EXPANSION!$D$56:DJ$56,"&gt;="&amp;14)))*CAPA3_EXPANSION!DJ$36)</f>
        <v>2828.2799999999997</v>
      </c>
      <c r="DK21" s="88">
        <f>IF(COUNTIF(CAPA3_EXPANSION!$D$56:DK$56,"&gt;="&amp;14)=0,0,SUP_CONTROL!$C$8*IF($B21="V",1,IF($B21="D",(1+SUP_VOLUMEN!$C$26),(1+SUP_VOLUMEN!$C$27)))*INDEX(SUP_C3_EXPANSION!$C$6:$F$6,MIN(4,COUNTIF(CAPA3_EXPANSION!$D$56:DK$56,"&gt;="&amp;14)))*CAPA3_EXPANSION!DK$36)</f>
        <v>2828.2799999999997</v>
      </c>
      <c r="DL21" s="88">
        <f>IF(COUNTIF(CAPA3_EXPANSION!$D$56:DL$56,"&gt;="&amp;14)=0,0,SUP_CONTROL!$C$8*IF($B21="V",1,IF($B21="D",(1+SUP_VOLUMEN!$C$26),(1+SUP_VOLUMEN!$C$27)))*INDEX(SUP_C3_EXPANSION!$C$6:$F$6,MIN(4,COUNTIF(CAPA3_EXPANSION!$D$56:DL$56,"&gt;="&amp;14)))*CAPA3_EXPANSION!DL$36)</f>
        <v>2828.2799999999997</v>
      </c>
      <c r="DM21" s="88">
        <f>IF(COUNTIF(CAPA3_EXPANSION!$D$56:DM$56,"&gt;="&amp;14)=0,0,SUP_CONTROL!$C$8*IF($B21="V",1,IF($B21="D",(1+SUP_VOLUMEN!$C$26),(1+SUP_VOLUMEN!$C$27)))*INDEX(SUP_C3_EXPANSION!$C$6:$F$6,MIN(4,COUNTIF(CAPA3_EXPANSION!$D$56:DM$56,"&gt;="&amp;14)))*CAPA3_EXPANSION!DM$36)</f>
        <v>2828.2799999999997</v>
      </c>
      <c r="DN21" s="88">
        <f>IF(COUNTIF(CAPA3_EXPANSION!$D$56:DN$56,"&gt;="&amp;14)=0,0,SUP_CONTROL!$C$8*IF($B21="V",1,IF($B21="D",(1+SUP_VOLUMEN!$C$26),(1+SUP_VOLUMEN!$C$27)))*INDEX(SUP_C3_EXPANSION!$C$6:$F$6,MIN(4,COUNTIF(CAPA3_EXPANSION!$D$56:DN$56,"&gt;="&amp;14)))*CAPA3_EXPANSION!DN$36)</f>
        <v>2828.2799999999997</v>
      </c>
      <c r="DO21" s="88">
        <f>IF(COUNTIF(CAPA3_EXPANSION!$D$56:DO$56,"&gt;="&amp;14)=0,0,SUP_CONTROL!$C$8*IF($B21="V",1,IF($B21="D",(1+SUP_VOLUMEN!$C$26),(1+SUP_VOLUMEN!$C$27)))*INDEX(SUP_C3_EXPANSION!$C$6:$F$6,MIN(4,COUNTIF(CAPA3_EXPANSION!$D$56:DO$56,"&gt;="&amp;14)))*CAPA3_EXPANSION!DO$36)</f>
        <v>2828.2799999999997</v>
      </c>
      <c r="DP21" s="88">
        <f>IF(COUNTIF(CAPA3_EXPANSION!$D$56:DP$56,"&gt;="&amp;14)=0,0,SUP_CONTROL!$C$8*IF($B21="V",1,IF($B21="D",(1+SUP_VOLUMEN!$C$26),(1+SUP_VOLUMEN!$C$27)))*INDEX(SUP_C3_EXPANSION!$C$6:$F$6,MIN(4,COUNTIF(CAPA3_EXPANSION!$D$56:DP$56,"&gt;="&amp;14)))*CAPA3_EXPANSION!DP$36)</f>
        <v>2828.2799999999997</v>
      </c>
      <c r="DQ21" s="88">
        <f>IF(COUNTIF(CAPA3_EXPANSION!$D$56:DQ$56,"&gt;="&amp;14)=0,0,SUP_CONTROL!$C$8*IF($B21="V",1,IF($B21="D",(1+SUP_VOLUMEN!$C$26),(1+SUP_VOLUMEN!$C$27)))*INDEX(SUP_C3_EXPANSION!$C$6:$F$6,MIN(4,COUNTIF(CAPA3_EXPANSION!$D$56:DQ$56,"&gt;="&amp;14)))*CAPA3_EXPANSION!DQ$36)</f>
        <v>2828.2799999999997</v>
      </c>
      <c r="DR21" s="88">
        <f>IF(COUNTIF(CAPA3_EXPANSION!$D$56:DR$56,"&gt;="&amp;14)=0,0,SUP_CONTROL!$C$8*IF($B21="V",1,IF($B21="D",(1+SUP_VOLUMEN!$C$26),(1+SUP_VOLUMEN!$C$27)))*INDEX(SUP_C3_EXPANSION!$C$6:$F$6,MIN(4,COUNTIF(CAPA3_EXPANSION!$D$56:DR$56,"&gt;="&amp;14)))*CAPA3_EXPANSION!DR$36)</f>
        <v>2828.2799999999997</v>
      </c>
      <c r="DS21" s="88">
        <f>IF(COUNTIF(CAPA3_EXPANSION!$D$56:DS$56,"&gt;="&amp;14)=0,0,SUP_CONTROL!$C$8*IF($B21="V",1,IF($B21="D",(1+SUP_VOLUMEN!$C$26),(1+SUP_VOLUMEN!$C$27)))*INDEX(SUP_C3_EXPANSION!$C$6:$F$6,MIN(4,COUNTIF(CAPA3_EXPANSION!$D$56:DS$56,"&gt;="&amp;14)))*CAPA3_EXPANSION!DS$36)</f>
        <v>2828.2799999999997</v>
      </c>
    </row>
    <row r="22" spans="1:123" ht="15" customHeight="1" x14ac:dyDescent="0.2">
      <c r="A22" s="88">
        <v>25</v>
      </c>
      <c r="B22" s="104" t="str">
        <f>SUP_C3_EXPANSION!B34</f>
        <v>F</v>
      </c>
      <c r="C22" s="73">
        <f>SUP_C3_EXPANSION!G34</f>
        <v>50</v>
      </c>
      <c r="D22" s="88">
        <f>IF(COUNTIF(CAPA3_EXPANSION!$D$56:D$56,"&gt;="&amp;15)=0,0,SUP_CONTROL!$C$8*IF($B22="V",1,IF($B22="D",(1+SUP_VOLUMEN!$C$26),(1+SUP_VOLUMEN!$C$27)))*INDEX(SUP_C3_EXPANSION!$C$6:$F$6,MIN(4,COUNTIF(CAPA3_EXPANSION!$D$56:D$56,"&gt;="&amp;15)))*CAPA3_EXPANSION!D$36)</f>
        <v>0</v>
      </c>
      <c r="E22" s="88">
        <f>IF(COUNTIF(CAPA3_EXPANSION!$D$56:E$56,"&gt;="&amp;15)=0,0,SUP_CONTROL!$C$8*IF($B22="V",1,IF($B22="D",(1+SUP_VOLUMEN!$C$26),(1+SUP_VOLUMEN!$C$27)))*INDEX(SUP_C3_EXPANSION!$C$6:$F$6,MIN(4,COUNTIF(CAPA3_EXPANSION!$D$56:E$56,"&gt;="&amp;15)))*CAPA3_EXPANSION!E$36)</f>
        <v>0</v>
      </c>
      <c r="F22" s="88">
        <f>IF(COUNTIF(CAPA3_EXPANSION!$D$56:F$56,"&gt;="&amp;15)=0,0,SUP_CONTROL!$C$8*IF($B22="V",1,IF($B22="D",(1+SUP_VOLUMEN!$C$26),(1+SUP_VOLUMEN!$C$27)))*INDEX(SUP_C3_EXPANSION!$C$6:$F$6,MIN(4,COUNTIF(CAPA3_EXPANSION!$D$56:F$56,"&gt;="&amp;15)))*CAPA3_EXPANSION!F$36)</f>
        <v>0</v>
      </c>
      <c r="G22" s="88">
        <f>IF(COUNTIF(CAPA3_EXPANSION!$D$56:G$56,"&gt;="&amp;15)=0,0,SUP_CONTROL!$C$8*IF($B22="V",1,IF($B22="D",(1+SUP_VOLUMEN!$C$26),(1+SUP_VOLUMEN!$C$27)))*INDEX(SUP_C3_EXPANSION!$C$6:$F$6,MIN(4,COUNTIF(CAPA3_EXPANSION!$D$56:G$56,"&gt;="&amp;15)))*CAPA3_EXPANSION!G$36)</f>
        <v>0</v>
      </c>
      <c r="H22" s="88">
        <f>IF(COUNTIF(CAPA3_EXPANSION!$D$56:H$56,"&gt;="&amp;15)=0,0,SUP_CONTROL!$C$8*IF($B22="V",1,IF($B22="D",(1+SUP_VOLUMEN!$C$26),(1+SUP_VOLUMEN!$C$27)))*INDEX(SUP_C3_EXPANSION!$C$6:$F$6,MIN(4,COUNTIF(CAPA3_EXPANSION!$D$56:H$56,"&gt;="&amp;15)))*CAPA3_EXPANSION!H$36)</f>
        <v>0</v>
      </c>
      <c r="I22" s="88">
        <f>IF(COUNTIF(CAPA3_EXPANSION!$D$56:I$56,"&gt;="&amp;15)=0,0,SUP_CONTROL!$C$8*IF($B22="V",1,IF($B22="D",(1+SUP_VOLUMEN!$C$26),(1+SUP_VOLUMEN!$C$27)))*INDEX(SUP_C3_EXPANSION!$C$6:$F$6,MIN(4,COUNTIF(CAPA3_EXPANSION!$D$56:I$56,"&gt;="&amp;15)))*CAPA3_EXPANSION!I$36)</f>
        <v>0</v>
      </c>
      <c r="J22" s="88">
        <f>IF(COUNTIF(CAPA3_EXPANSION!$D$56:J$56,"&gt;="&amp;15)=0,0,SUP_CONTROL!$C$8*IF($B22="V",1,IF($B22="D",(1+SUP_VOLUMEN!$C$26),(1+SUP_VOLUMEN!$C$27)))*INDEX(SUP_C3_EXPANSION!$C$6:$F$6,MIN(4,COUNTIF(CAPA3_EXPANSION!$D$56:J$56,"&gt;="&amp;15)))*CAPA3_EXPANSION!J$36)</f>
        <v>0</v>
      </c>
      <c r="K22" s="88">
        <f>IF(COUNTIF(CAPA3_EXPANSION!$D$56:K$56,"&gt;="&amp;15)=0,0,SUP_CONTROL!$C$8*IF($B22="V",1,IF($B22="D",(1+SUP_VOLUMEN!$C$26),(1+SUP_VOLUMEN!$C$27)))*INDEX(SUP_C3_EXPANSION!$C$6:$F$6,MIN(4,COUNTIF(CAPA3_EXPANSION!$D$56:K$56,"&gt;="&amp;15)))*CAPA3_EXPANSION!K$36)</f>
        <v>0</v>
      </c>
      <c r="L22" s="88">
        <f>IF(COUNTIF(CAPA3_EXPANSION!$D$56:L$56,"&gt;="&amp;15)=0,0,SUP_CONTROL!$C$8*IF($B22="V",1,IF($B22="D",(1+SUP_VOLUMEN!$C$26),(1+SUP_VOLUMEN!$C$27)))*INDEX(SUP_C3_EXPANSION!$C$6:$F$6,MIN(4,COUNTIF(CAPA3_EXPANSION!$D$56:L$56,"&gt;="&amp;15)))*CAPA3_EXPANSION!L$36)</f>
        <v>0</v>
      </c>
      <c r="M22" s="88">
        <f>IF(COUNTIF(CAPA3_EXPANSION!$D$56:M$56,"&gt;="&amp;15)=0,0,SUP_CONTROL!$C$8*IF($B22="V",1,IF($B22="D",(1+SUP_VOLUMEN!$C$26),(1+SUP_VOLUMEN!$C$27)))*INDEX(SUP_C3_EXPANSION!$C$6:$F$6,MIN(4,COUNTIF(CAPA3_EXPANSION!$D$56:M$56,"&gt;="&amp;15)))*CAPA3_EXPANSION!M$36)</f>
        <v>0</v>
      </c>
      <c r="N22" s="88">
        <f>IF(COUNTIF(CAPA3_EXPANSION!$D$56:N$56,"&gt;="&amp;15)=0,0,SUP_CONTROL!$C$8*IF($B22="V",1,IF($B22="D",(1+SUP_VOLUMEN!$C$26),(1+SUP_VOLUMEN!$C$27)))*INDEX(SUP_C3_EXPANSION!$C$6:$F$6,MIN(4,COUNTIF(CAPA3_EXPANSION!$D$56:N$56,"&gt;="&amp;15)))*CAPA3_EXPANSION!N$36)</f>
        <v>0</v>
      </c>
      <c r="O22" s="88">
        <f>IF(COUNTIF(CAPA3_EXPANSION!$D$56:O$56,"&gt;="&amp;15)=0,0,SUP_CONTROL!$C$8*IF($B22="V",1,IF($B22="D",(1+SUP_VOLUMEN!$C$26),(1+SUP_VOLUMEN!$C$27)))*INDEX(SUP_C3_EXPANSION!$C$6:$F$6,MIN(4,COUNTIF(CAPA3_EXPANSION!$D$56:O$56,"&gt;="&amp;15)))*CAPA3_EXPANSION!O$36)</f>
        <v>0</v>
      </c>
      <c r="P22" s="88">
        <f>IF(COUNTIF(CAPA3_EXPANSION!$D$56:P$56,"&gt;="&amp;15)=0,0,SUP_CONTROL!$C$8*IF($B22="V",1,IF($B22="D",(1+SUP_VOLUMEN!$C$26),(1+SUP_VOLUMEN!$C$27)))*INDEX(SUP_C3_EXPANSION!$C$6:$F$6,MIN(4,COUNTIF(CAPA3_EXPANSION!$D$56:P$56,"&gt;="&amp;15)))*CAPA3_EXPANSION!P$36)</f>
        <v>0</v>
      </c>
      <c r="Q22" s="88">
        <f>IF(COUNTIF(CAPA3_EXPANSION!$D$56:Q$56,"&gt;="&amp;15)=0,0,SUP_CONTROL!$C$8*IF($B22="V",1,IF($B22="D",(1+SUP_VOLUMEN!$C$26),(1+SUP_VOLUMEN!$C$27)))*INDEX(SUP_C3_EXPANSION!$C$6:$F$6,MIN(4,COUNTIF(CAPA3_EXPANSION!$D$56:Q$56,"&gt;="&amp;15)))*CAPA3_EXPANSION!Q$36)</f>
        <v>0</v>
      </c>
      <c r="R22" s="88">
        <f>IF(COUNTIF(CAPA3_EXPANSION!$D$56:R$56,"&gt;="&amp;15)=0,0,SUP_CONTROL!$C$8*IF($B22="V",1,IF($B22="D",(1+SUP_VOLUMEN!$C$26),(1+SUP_VOLUMEN!$C$27)))*INDEX(SUP_C3_EXPANSION!$C$6:$F$6,MIN(4,COUNTIF(CAPA3_EXPANSION!$D$56:R$56,"&gt;="&amp;15)))*CAPA3_EXPANSION!R$36)</f>
        <v>0</v>
      </c>
      <c r="S22" s="88">
        <f>IF(COUNTIF(CAPA3_EXPANSION!$D$56:S$56,"&gt;="&amp;15)=0,0,SUP_CONTROL!$C$8*IF($B22="V",1,IF($B22="D",(1+SUP_VOLUMEN!$C$26),(1+SUP_VOLUMEN!$C$27)))*INDEX(SUP_C3_EXPANSION!$C$6:$F$6,MIN(4,COUNTIF(CAPA3_EXPANSION!$D$56:S$56,"&gt;="&amp;15)))*CAPA3_EXPANSION!S$36)</f>
        <v>0</v>
      </c>
      <c r="T22" s="88">
        <f>IF(COUNTIF(CAPA3_EXPANSION!$D$56:T$56,"&gt;="&amp;15)=0,0,SUP_CONTROL!$C$8*IF($B22="V",1,IF($B22="D",(1+SUP_VOLUMEN!$C$26),(1+SUP_VOLUMEN!$C$27)))*INDEX(SUP_C3_EXPANSION!$C$6:$F$6,MIN(4,COUNTIF(CAPA3_EXPANSION!$D$56:T$56,"&gt;="&amp;15)))*CAPA3_EXPANSION!T$36)</f>
        <v>0</v>
      </c>
      <c r="U22" s="88">
        <f>IF(COUNTIF(CAPA3_EXPANSION!$D$56:U$56,"&gt;="&amp;15)=0,0,SUP_CONTROL!$C$8*IF($B22="V",1,IF($B22="D",(1+SUP_VOLUMEN!$C$26),(1+SUP_VOLUMEN!$C$27)))*INDEX(SUP_C3_EXPANSION!$C$6:$F$6,MIN(4,COUNTIF(CAPA3_EXPANSION!$D$56:U$56,"&gt;="&amp;15)))*CAPA3_EXPANSION!U$36)</f>
        <v>0</v>
      </c>
      <c r="V22" s="88">
        <f>IF(COUNTIF(CAPA3_EXPANSION!$D$56:V$56,"&gt;="&amp;15)=0,0,SUP_CONTROL!$C$8*IF($B22="V",1,IF($B22="D",(1+SUP_VOLUMEN!$C$26),(1+SUP_VOLUMEN!$C$27)))*INDEX(SUP_C3_EXPANSION!$C$6:$F$6,MIN(4,COUNTIF(CAPA3_EXPANSION!$D$56:V$56,"&gt;="&amp;15)))*CAPA3_EXPANSION!V$36)</f>
        <v>0</v>
      </c>
      <c r="W22" s="88">
        <f>IF(COUNTIF(CAPA3_EXPANSION!$D$56:W$56,"&gt;="&amp;15)=0,0,SUP_CONTROL!$C$8*IF($B22="V",1,IF($B22="D",(1+SUP_VOLUMEN!$C$26),(1+SUP_VOLUMEN!$C$27)))*INDEX(SUP_C3_EXPANSION!$C$6:$F$6,MIN(4,COUNTIF(CAPA3_EXPANSION!$D$56:W$56,"&gt;="&amp;15)))*CAPA3_EXPANSION!W$36)</f>
        <v>0</v>
      </c>
      <c r="X22" s="88">
        <f>IF(COUNTIF(CAPA3_EXPANSION!$D$56:X$56,"&gt;="&amp;15)=0,0,SUP_CONTROL!$C$8*IF($B22="V",1,IF($B22="D",(1+SUP_VOLUMEN!$C$26),(1+SUP_VOLUMEN!$C$27)))*INDEX(SUP_C3_EXPANSION!$C$6:$F$6,MIN(4,COUNTIF(CAPA3_EXPANSION!$D$56:X$56,"&gt;="&amp;15)))*CAPA3_EXPANSION!X$36)</f>
        <v>0</v>
      </c>
      <c r="Y22" s="88">
        <f>IF(COUNTIF(CAPA3_EXPANSION!$D$56:Y$56,"&gt;="&amp;15)=0,0,SUP_CONTROL!$C$8*IF($B22="V",1,IF($B22="D",(1+SUP_VOLUMEN!$C$26),(1+SUP_VOLUMEN!$C$27)))*INDEX(SUP_C3_EXPANSION!$C$6:$F$6,MIN(4,COUNTIF(CAPA3_EXPANSION!$D$56:Y$56,"&gt;="&amp;15)))*CAPA3_EXPANSION!Y$36)</f>
        <v>0</v>
      </c>
      <c r="Z22" s="88">
        <f>IF(COUNTIF(CAPA3_EXPANSION!$D$56:Z$56,"&gt;="&amp;15)=0,0,SUP_CONTROL!$C$8*IF($B22="V",1,IF($B22="D",(1+SUP_VOLUMEN!$C$26),(1+SUP_VOLUMEN!$C$27)))*INDEX(SUP_C3_EXPANSION!$C$6:$F$6,MIN(4,COUNTIF(CAPA3_EXPANSION!$D$56:Z$56,"&gt;="&amp;15)))*CAPA3_EXPANSION!Z$36)</f>
        <v>0</v>
      </c>
      <c r="AA22" s="88">
        <f>IF(COUNTIF(CAPA3_EXPANSION!$D$56:AA$56,"&gt;="&amp;15)=0,0,SUP_CONTROL!$C$8*IF($B22="V",1,IF($B22="D",(1+SUP_VOLUMEN!$C$26),(1+SUP_VOLUMEN!$C$27)))*INDEX(SUP_C3_EXPANSION!$C$6:$F$6,MIN(4,COUNTIF(CAPA3_EXPANSION!$D$56:AA$56,"&gt;="&amp;15)))*CAPA3_EXPANSION!AA$36)</f>
        <v>0</v>
      </c>
      <c r="AB22" s="88">
        <f>IF(COUNTIF(CAPA3_EXPANSION!$D$56:AB$56,"&gt;="&amp;15)=0,0,SUP_CONTROL!$C$8*IF($B22="V",1,IF($B22="D",(1+SUP_VOLUMEN!$C$26),(1+SUP_VOLUMEN!$C$27)))*INDEX(SUP_C3_EXPANSION!$C$6:$F$6,MIN(4,COUNTIF(CAPA3_EXPANSION!$D$56:AB$56,"&gt;="&amp;15)))*CAPA3_EXPANSION!AB$36)</f>
        <v>0</v>
      </c>
      <c r="AC22" s="88">
        <f>IF(COUNTIF(CAPA3_EXPANSION!$D$56:AC$56,"&gt;="&amp;15)=0,0,SUP_CONTROL!$C$8*IF($B22="V",1,IF($B22="D",(1+SUP_VOLUMEN!$C$26),(1+SUP_VOLUMEN!$C$27)))*INDEX(SUP_C3_EXPANSION!$C$6:$F$6,MIN(4,COUNTIF(CAPA3_EXPANSION!$D$56:AC$56,"&gt;="&amp;15)))*CAPA3_EXPANSION!AC$36)</f>
        <v>0</v>
      </c>
      <c r="AD22" s="88">
        <f>IF(COUNTIF(CAPA3_EXPANSION!$D$56:AD$56,"&gt;="&amp;15)=0,0,SUP_CONTROL!$C$8*IF($B22="V",1,IF($B22="D",(1+SUP_VOLUMEN!$C$26),(1+SUP_VOLUMEN!$C$27)))*INDEX(SUP_C3_EXPANSION!$C$6:$F$6,MIN(4,COUNTIF(CAPA3_EXPANSION!$D$56:AD$56,"&gt;="&amp;15)))*CAPA3_EXPANSION!AD$36)</f>
        <v>0</v>
      </c>
      <c r="AE22" s="88">
        <f>IF(COUNTIF(CAPA3_EXPANSION!$D$56:AE$56,"&gt;="&amp;15)=0,0,SUP_CONTROL!$C$8*IF($B22="V",1,IF($B22="D",(1+SUP_VOLUMEN!$C$26),(1+SUP_VOLUMEN!$C$27)))*INDEX(SUP_C3_EXPANSION!$C$6:$F$6,MIN(4,COUNTIF(CAPA3_EXPANSION!$D$56:AE$56,"&gt;="&amp;15)))*CAPA3_EXPANSION!AE$36)</f>
        <v>0</v>
      </c>
      <c r="AF22" s="88">
        <f>IF(COUNTIF(CAPA3_EXPANSION!$D$56:AF$56,"&gt;="&amp;15)=0,0,SUP_CONTROL!$C$8*IF($B22="V",1,IF($B22="D",(1+SUP_VOLUMEN!$C$26),(1+SUP_VOLUMEN!$C$27)))*INDEX(SUP_C3_EXPANSION!$C$6:$F$6,MIN(4,COUNTIF(CAPA3_EXPANSION!$D$56:AF$56,"&gt;="&amp;15)))*CAPA3_EXPANSION!AF$36)</f>
        <v>0</v>
      </c>
      <c r="AG22" s="88">
        <f>IF(COUNTIF(CAPA3_EXPANSION!$D$56:AG$56,"&gt;="&amp;15)=0,0,SUP_CONTROL!$C$8*IF($B22="V",1,IF($B22="D",(1+SUP_VOLUMEN!$C$26),(1+SUP_VOLUMEN!$C$27)))*INDEX(SUP_C3_EXPANSION!$C$6:$F$6,MIN(4,COUNTIF(CAPA3_EXPANSION!$D$56:AG$56,"&gt;="&amp;15)))*CAPA3_EXPANSION!AG$36)</f>
        <v>0</v>
      </c>
      <c r="AH22" s="88">
        <f>IF(COUNTIF(CAPA3_EXPANSION!$D$56:AH$56,"&gt;="&amp;15)=0,0,SUP_CONTROL!$C$8*IF($B22="V",1,IF($B22="D",(1+SUP_VOLUMEN!$C$26),(1+SUP_VOLUMEN!$C$27)))*INDEX(SUP_C3_EXPANSION!$C$6:$F$6,MIN(4,COUNTIF(CAPA3_EXPANSION!$D$56:AH$56,"&gt;="&amp;15)))*CAPA3_EXPANSION!AH$36)</f>
        <v>0</v>
      </c>
      <c r="AI22" s="88">
        <f>IF(COUNTIF(CAPA3_EXPANSION!$D$56:AI$56,"&gt;="&amp;15)=0,0,SUP_CONTROL!$C$8*IF($B22="V",1,IF($B22="D",(1+SUP_VOLUMEN!$C$26),(1+SUP_VOLUMEN!$C$27)))*INDEX(SUP_C3_EXPANSION!$C$6:$F$6,MIN(4,COUNTIF(CAPA3_EXPANSION!$D$56:AI$56,"&gt;="&amp;15)))*CAPA3_EXPANSION!AI$36)</f>
        <v>0</v>
      </c>
      <c r="AJ22" s="88">
        <f>IF(COUNTIF(CAPA3_EXPANSION!$D$56:AJ$56,"&gt;="&amp;15)=0,0,SUP_CONTROL!$C$8*IF($B22="V",1,IF($B22="D",(1+SUP_VOLUMEN!$C$26),(1+SUP_VOLUMEN!$C$27)))*INDEX(SUP_C3_EXPANSION!$C$6:$F$6,MIN(4,COUNTIF(CAPA3_EXPANSION!$D$56:AJ$56,"&gt;="&amp;15)))*CAPA3_EXPANSION!AJ$36)</f>
        <v>0</v>
      </c>
      <c r="AK22" s="88">
        <f>IF(COUNTIF(CAPA3_EXPANSION!$D$56:AK$56,"&gt;="&amp;15)=0,0,SUP_CONTROL!$C$8*IF($B22="V",1,IF($B22="D",(1+SUP_VOLUMEN!$C$26),(1+SUP_VOLUMEN!$C$27)))*INDEX(SUP_C3_EXPANSION!$C$6:$F$6,MIN(4,COUNTIF(CAPA3_EXPANSION!$D$56:AK$56,"&gt;="&amp;15)))*CAPA3_EXPANSION!AK$36)</f>
        <v>0</v>
      </c>
      <c r="AL22" s="88">
        <f>IF(COUNTIF(CAPA3_EXPANSION!$D$56:AL$56,"&gt;="&amp;15)=0,0,SUP_CONTROL!$C$8*IF($B22="V",1,IF($B22="D",(1+SUP_VOLUMEN!$C$26),(1+SUP_VOLUMEN!$C$27)))*INDEX(SUP_C3_EXPANSION!$C$6:$F$6,MIN(4,COUNTIF(CAPA3_EXPANSION!$D$56:AL$56,"&gt;="&amp;15)))*CAPA3_EXPANSION!AL$36)</f>
        <v>0</v>
      </c>
      <c r="AM22" s="88">
        <f>IF(COUNTIF(CAPA3_EXPANSION!$D$56:AM$56,"&gt;="&amp;15)=0,0,SUP_CONTROL!$C$8*IF($B22="V",1,IF($B22="D",(1+SUP_VOLUMEN!$C$26),(1+SUP_VOLUMEN!$C$27)))*INDEX(SUP_C3_EXPANSION!$C$6:$F$6,MIN(4,COUNTIF(CAPA3_EXPANSION!$D$56:AM$56,"&gt;="&amp;15)))*CAPA3_EXPANSION!AM$36)</f>
        <v>0</v>
      </c>
      <c r="AN22" s="88">
        <f>IF(COUNTIF(CAPA3_EXPANSION!$D$56:AN$56,"&gt;="&amp;15)=0,0,SUP_CONTROL!$C$8*IF($B22="V",1,IF($B22="D",(1+SUP_VOLUMEN!$C$26),(1+SUP_VOLUMEN!$C$27)))*INDEX(SUP_C3_EXPANSION!$C$6:$F$6,MIN(4,COUNTIF(CAPA3_EXPANSION!$D$56:AN$56,"&gt;="&amp;15)))*CAPA3_EXPANSION!AN$36)</f>
        <v>0</v>
      </c>
      <c r="AO22" s="88">
        <f>IF(COUNTIF(CAPA3_EXPANSION!$D$56:AO$56,"&gt;="&amp;15)=0,0,SUP_CONTROL!$C$8*IF($B22="V",1,IF($B22="D",(1+SUP_VOLUMEN!$C$26),(1+SUP_VOLUMEN!$C$27)))*INDEX(SUP_C3_EXPANSION!$C$6:$F$6,MIN(4,COUNTIF(CAPA3_EXPANSION!$D$56:AO$56,"&gt;="&amp;15)))*CAPA3_EXPANSION!AO$36)</f>
        <v>0</v>
      </c>
      <c r="AP22" s="88">
        <f>IF(COUNTIF(CAPA3_EXPANSION!$D$56:AP$56,"&gt;="&amp;15)=0,0,SUP_CONTROL!$C$8*IF($B22="V",1,IF($B22="D",(1+SUP_VOLUMEN!$C$26),(1+SUP_VOLUMEN!$C$27)))*INDEX(SUP_C3_EXPANSION!$C$6:$F$6,MIN(4,COUNTIF(CAPA3_EXPANSION!$D$56:AP$56,"&gt;="&amp;15)))*CAPA3_EXPANSION!AP$36)</f>
        <v>0</v>
      </c>
      <c r="AQ22" s="88">
        <f>IF(COUNTIF(CAPA3_EXPANSION!$D$56:AQ$56,"&gt;="&amp;15)=0,0,SUP_CONTROL!$C$8*IF($B22="V",1,IF($B22="D",(1+SUP_VOLUMEN!$C$26),(1+SUP_VOLUMEN!$C$27)))*INDEX(SUP_C3_EXPANSION!$C$6:$F$6,MIN(4,COUNTIF(CAPA3_EXPANSION!$D$56:AQ$56,"&gt;="&amp;15)))*CAPA3_EXPANSION!AQ$36)</f>
        <v>0</v>
      </c>
      <c r="AR22" s="88">
        <f>IF(COUNTIF(CAPA3_EXPANSION!$D$56:AR$56,"&gt;="&amp;15)=0,0,SUP_CONTROL!$C$8*IF($B22="V",1,IF($B22="D",(1+SUP_VOLUMEN!$C$26),(1+SUP_VOLUMEN!$C$27)))*INDEX(SUP_C3_EXPANSION!$C$6:$F$6,MIN(4,COUNTIF(CAPA3_EXPANSION!$D$56:AR$56,"&gt;="&amp;15)))*CAPA3_EXPANSION!AR$36)</f>
        <v>0</v>
      </c>
      <c r="AS22" s="88">
        <f>IF(COUNTIF(CAPA3_EXPANSION!$D$56:AS$56,"&gt;="&amp;15)=0,0,SUP_CONTROL!$C$8*IF($B22="V",1,IF($B22="D",(1+SUP_VOLUMEN!$C$26),(1+SUP_VOLUMEN!$C$27)))*INDEX(SUP_C3_EXPANSION!$C$6:$F$6,MIN(4,COUNTIF(CAPA3_EXPANSION!$D$56:AS$56,"&gt;="&amp;15)))*CAPA3_EXPANSION!AS$36)</f>
        <v>0</v>
      </c>
      <c r="AT22" s="88">
        <f>IF(COUNTIF(CAPA3_EXPANSION!$D$56:AT$56,"&gt;="&amp;15)=0,0,SUP_CONTROL!$C$8*IF($B22="V",1,IF($B22="D",(1+SUP_VOLUMEN!$C$26),(1+SUP_VOLUMEN!$C$27)))*INDEX(SUP_C3_EXPANSION!$C$6:$F$6,MIN(4,COUNTIF(CAPA3_EXPANSION!$D$56:AT$56,"&gt;="&amp;15)))*CAPA3_EXPANSION!AT$36)</f>
        <v>0</v>
      </c>
      <c r="AU22" s="88">
        <f>IF(COUNTIF(CAPA3_EXPANSION!$D$56:AU$56,"&gt;="&amp;15)=0,0,SUP_CONTROL!$C$8*IF($B22="V",1,IF($B22="D",(1+SUP_VOLUMEN!$C$26),(1+SUP_VOLUMEN!$C$27)))*INDEX(SUP_C3_EXPANSION!$C$6:$F$6,MIN(4,COUNTIF(CAPA3_EXPANSION!$D$56:AU$56,"&gt;="&amp;15)))*CAPA3_EXPANSION!AU$36)</f>
        <v>0</v>
      </c>
      <c r="AV22" s="88">
        <f>IF(COUNTIF(CAPA3_EXPANSION!$D$56:AV$56,"&gt;="&amp;15)=0,0,SUP_CONTROL!$C$8*IF($B22="V",1,IF($B22="D",(1+SUP_VOLUMEN!$C$26),(1+SUP_VOLUMEN!$C$27)))*INDEX(SUP_C3_EXPANSION!$C$6:$F$6,MIN(4,COUNTIF(CAPA3_EXPANSION!$D$56:AV$56,"&gt;="&amp;15)))*CAPA3_EXPANSION!AV$36)</f>
        <v>0</v>
      </c>
      <c r="AW22" s="88">
        <f>IF(COUNTIF(CAPA3_EXPANSION!$D$56:AW$56,"&gt;="&amp;15)=0,0,SUP_CONTROL!$C$8*IF($B22="V",1,IF($B22="D",(1+SUP_VOLUMEN!$C$26),(1+SUP_VOLUMEN!$C$27)))*INDEX(SUP_C3_EXPANSION!$C$6:$F$6,MIN(4,COUNTIF(CAPA3_EXPANSION!$D$56:AW$56,"&gt;="&amp;15)))*CAPA3_EXPANSION!AW$36)</f>
        <v>0</v>
      </c>
      <c r="AX22" s="88">
        <f>IF(COUNTIF(CAPA3_EXPANSION!$D$56:AX$56,"&gt;="&amp;15)=0,0,SUP_CONTROL!$C$8*IF($B22="V",1,IF($B22="D",(1+SUP_VOLUMEN!$C$26),(1+SUP_VOLUMEN!$C$27)))*INDEX(SUP_C3_EXPANSION!$C$6:$F$6,MIN(4,COUNTIF(CAPA3_EXPANSION!$D$56:AX$56,"&gt;="&amp;15)))*CAPA3_EXPANSION!AX$36)</f>
        <v>0</v>
      </c>
      <c r="AY22" s="88">
        <f>IF(COUNTIF(CAPA3_EXPANSION!$D$56:AY$56,"&gt;="&amp;15)=0,0,SUP_CONTROL!$C$8*IF($B22="V",1,IF($B22="D",(1+SUP_VOLUMEN!$C$26),(1+SUP_VOLUMEN!$C$27)))*INDEX(SUP_C3_EXPANSION!$C$6:$F$6,MIN(4,COUNTIF(CAPA3_EXPANSION!$D$56:AY$56,"&gt;="&amp;15)))*CAPA3_EXPANSION!AY$36)</f>
        <v>0</v>
      </c>
      <c r="AZ22" s="88">
        <f>IF(COUNTIF(CAPA3_EXPANSION!$D$56:AZ$56,"&gt;="&amp;15)=0,0,SUP_CONTROL!$C$8*IF($B22="V",1,IF($B22="D",(1+SUP_VOLUMEN!$C$26),(1+SUP_VOLUMEN!$C$27)))*INDEX(SUP_C3_EXPANSION!$C$6:$F$6,MIN(4,COUNTIF(CAPA3_EXPANSION!$D$56:AZ$56,"&gt;="&amp;15)))*CAPA3_EXPANSION!AZ$36)</f>
        <v>0</v>
      </c>
      <c r="BA22" s="88">
        <f>IF(COUNTIF(CAPA3_EXPANSION!$D$56:BA$56,"&gt;="&amp;15)=0,0,SUP_CONTROL!$C$8*IF($B22="V",1,IF($B22="D",(1+SUP_VOLUMEN!$C$26),(1+SUP_VOLUMEN!$C$27)))*INDEX(SUP_C3_EXPANSION!$C$6:$F$6,MIN(4,COUNTIF(CAPA3_EXPANSION!$D$56:BA$56,"&gt;="&amp;15)))*CAPA3_EXPANSION!BA$36)</f>
        <v>0</v>
      </c>
      <c r="BB22" s="88">
        <f>IF(COUNTIF(CAPA3_EXPANSION!$D$56:BB$56,"&gt;="&amp;15)=0,0,SUP_CONTROL!$C$8*IF($B22="V",1,IF($B22="D",(1+SUP_VOLUMEN!$C$26),(1+SUP_VOLUMEN!$C$27)))*INDEX(SUP_C3_EXPANSION!$C$6:$F$6,MIN(4,COUNTIF(CAPA3_EXPANSION!$D$56:BB$56,"&gt;="&amp;15)))*CAPA3_EXPANSION!BB$36)</f>
        <v>0</v>
      </c>
      <c r="BC22" s="88">
        <f>IF(COUNTIF(CAPA3_EXPANSION!$D$56:BC$56,"&gt;="&amp;15)=0,0,SUP_CONTROL!$C$8*IF($B22="V",1,IF($B22="D",(1+SUP_VOLUMEN!$C$26),(1+SUP_VOLUMEN!$C$27)))*INDEX(SUP_C3_EXPANSION!$C$6:$F$6,MIN(4,COUNTIF(CAPA3_EXPANSION!$D$56:BC$56,"&gt;="&amp;15)))*CAPA3_EXPANSION!BC$36)</f>
        <v>0</v>
      </c>
      <c r="BD22" s="88">
        <f>IF(COUNTIF(CAPA3_EXPANSION!$D$56:BD$56,"&gt;="&amp;15)=0,0,SUP_CONTROL!$C$8*IF($B22="V",1,IF($B22="D",(1+SUP_VOLUMEN!$C$26),(1+SUP_VOLUMEN!$C$27)))*INDEX(SUP_C3_EXPANSION!$C$6:$F$6,MIN(4,COUNTIF(CAPA3_EXPANSION!$D$56:BD$56,"&gt;="&amp;15)))*CAPA3_EXPANSION!BD$36)</f>
        <v>4026.9320000000007</v>
      </c>
      <c r="BE22" s="88">
        <f>IF(COUNTIF(CAPA3_EXPANSION!$D$56:BE$56,"&gt;="&amp;15)=0,0,SUP_CONTROL!$C$8*IF($B22="V",1,IF($B22="D",(1+SUP_VOLUMEN!$C$26),(1+SUP_VOLUMEN!$C$27)))*INDEX(SUP_C3_EXPANSION!$C$6:$F$6,MIN(4,COUNTIF(CAPA3_EXPANSION!$D$56:BE$56,"&gt;="&amp;15)))*CAPA3_EXPANSION!BE$36)</f>
        <v>4956.2240000000011</v>
      </c>
      <c r="BF22" s="88">
        <f>IF(COUNTIF(CAPA3_EXPANSION!$D$56:BF$56,"&gt;="&amp;15)=0,0,SUP_CONTROL!$C$8*IF($B22="V",1,IF($B22="D",(1+SUP_VOLUMEN!$C$26),(1+SUP_VOLUMEN!$C$27)))*INDEX(SUP_C3_EXPANSION!$C$6:$F$6,MIN(4,COUNTIF(CAPA3_EXPANSION!$D$56:BF$56,"&gt;="&amp;15)))*CAPA3_EXPANSION!BF$36)</f>
        <v>5454.5400000000009</v>
      </c>
      <c r="BG22" s="88">
        <f>IF(COUNTIF(CAPA3_EXPANSION!$D$56:BG$56,"&gt;="&amp;15)=0,0,SUP_CONTROL!$C$8*IF($B22="V",1,IF($B22="D",(1+SUP_VOLUMEN!$C$26),(1+SUP_VOLUMEN!$C$27)))*INDEX(SUP_C3_EXPANSION!$C$6:$F$6,MIN(4,COUNTIF(CAPA3_EXPANSION!$D$56:BG$56,"&gt;="&amp;15)))*CAPA3_EXPANSION!BG$36)</f>
        <v>6060.6</v>
      </c>
      <c r="BH22" s="88">
        <f>IF(COUNTIF(CAPA3_EXPANSION!$D$56:BH$56,"&gt;="&amp;15)=0,0,SUP_CONTROL!$C$8*IF($B22="V",1,IF($B22="D",(1+SUP_VOLUMEN!$C$26),(1+SUP_VOLUMEN!$C$27)))*INDEX(SUP_C3_EXPANSION!$C$6:$F$6,MIN(4,COUNTIF(CAPA3_EXPANSION!$D$56:BH$56,"&gt;="&amp;15)))*CAPA3_EXPANSION!BH$36)</f>
        <v>6060.6</v>
      </c>
      <c r="BI22" s="88">
        <f>IF(COUNTIF(CAPA3_EXPANSION!$D$56:BI$56,"&gt;="&amp;15)=0,0,SUP_CONTROL!$C$8*IF($B22="V",1,IF($B22="D",(1+SUP_VOLUMEN!$C$26),(1+SUP_VOLUMEN!$C$27)))*INDEX(SUP_C3_EXPANSION!$C$6:$F$6,MIN(4,COUNTIF(CAPA3_EXPANSION!$D$56:BI$56,"&gt;="&amp;15)))*CAPA3_EXPANSION!BI$36)</f>
        <v>6060.6</v>
      </c>
      <c r="BJ22" s="88">
        <f>IF(COUNTIF(CAPA3_EXPANSION!$D$56:BJ$56,"&gt;="&amp;15)=0,0,SUP_CONTROL!$C$8*IF($B22="V",1,IF($B22="D",(1+SUP_VOLUMEN!$C$26),(1+SUP_VOLUMEN!$C$27)))*INDEX(SUP_C3_EXPANSION!$C$6:$F$6,MIN(4,COUNTIF(CAPA3_EXPANSION!$D$56:BJ$56,"&gt;="&amp;15)))*CAPA3_EXPANSION!BJ$36)</f>
        <v>6060.6</v>
      </c>
      <c r="BK22" s="88">
        <f>IF(COUNTIF(CAPA3_EXPANSION!$D$56:BK$56,"&gt;="&amp;15)=0,0,SUP_CONTROL!$C$8*IF($B22="V",1,IF($B22="D",(1+SUP_VOLUMEN!$C$26),(1+SUP_VOLUMEN!$C$27)))*INDEX(SUP_C3_EXPANSION!$C$6:$F$6,MIN(4,COUNTIF(CAPA3_EXPANSION!$D$56:BK$56,"&gt;="&amp;15)))*CAPA3_EXPANSION!BK$36)</f>
        <v>5925.92</v>
      </c>
      <c r="BL22" s="88">
        <f>IF(COUNTIF(CAPA3_EXPANSION!$D$56:BL$56,"&gt;="&amp;15)=0,0,SUP_CONTROL!$C$8*IF($B22="V",1,IF($B22="D",(1+SUP_VOLUMEN!$C$26),(1+SUP_VOLUMEN!$C$27)))*INDEX(SUP_C3_EXPANSION!$C$6:$F$6,MIN(4,COUNTIF(CAPA3_EXPANSION!$D$56:BL$56,"&gt;="&amp;15)))*CAPA3_EXPANSION!BL$36)</f>
        <v>5925.92</v>
      </c>
      <c r="BM22" s="88">
        <f>IF(COUNTIF(CAPA3_EXPANSION!$D$56:BM$56,"&gt;="&amp;15)=0,0,SUP_CONTROL!$C$8*IF($B22="V",1,IF($B22="D",(1+SUP_VOLUMEN!$C$26),(1+SUP_VOLUMEN!$C$27)))*INDEX(SUP_C3_EXPANSION!$C$6:$F$6,MIN(4,COUNTIF(CAPA3_EXPANSION!$D$56:BM$56,"&gt;="&amp;15)))*CAPA3_EXPANSION!BM$36)</f>
        <v>5925.92</v>
      </c>
      <c r="BN22" s="88">
        <f>IF(COUNTIF(CAPA3_EXPANSION!$D$56:BN$56,"&gt;="&amp;15)=0,0,SUP_CONTROL!$C$8*IF($B22="V",1,IF($B22="D",(1+SUP_VOLUMEN!$C$26),(1+SUP_VOLUMEN!$C$27)))*INDEX(SUP_C3_EXPANSION!$C$6:$F$6,MIN(4,COUNTIF(CAPA3_EXPANSION!$D$56:BN$56,"&gt;="&amp;15)))*CAPA3_EXPANSION!BN$36)</f>
        <v>5925.92</v>
      </c>
      <c r="BO22" s="88">
        <f>IF(COUNTIF(CAPA3_EXPANSION!$D$56:BO$56,"&gt;="&amp;15)=0,0,SUP_CONTROL!$C$8*IF($B22="V",1,IF($B22="D",(1+SUP_VOLUMEN!$C$26),(1+SUP_VOLUMEN!$C$27)))*INDEX(SUP_C3_EXPANSION!$C$6:$F$6,MIN(4,COUNTIF(CAPA3_EXPANSION!$D$56:BO$56,"&gt;="&amp;15)))*CAPA3_EXPANSION!BO$36)</f>
        <v>5925.92</v>
      </c>
      <c r="BP22" s="88">
        <f>IF(COUNTIF(CAPA3_EXPANSION!$D$56:BP$56,"&gt;="&amp;15)=0,0,SUP_CONTROL!$C$8*IF($B22="V",1,IF($B22="D",(1+SUP_VOLUMEN!$C$26),(1+SUP_VOLUMEN!$C$27)))*INDEX(SUP_C3_EXPANSION!$C$6:$F$6,MIN(4,COUNTIF(CAPA3_EXPANSION!$D$56:BP$56,"&gt;="&amp;15)))*CAPA3_EXPANSION!BP$36)</f>
        <v>5824.91</v>
      </c>
      <c r="BQ22" s="88">
        <f>IF(COUNTIF(CAPA3_EXPANSION!$D$56:BQ$56,"&gt;="&amp;15)=0,0,SUP_CONTROL!$C$8*IF($B22="V",1,IF($B22="D",(1+SUP_VOLUMEN!$C$26),(1+SUP_VOLUMEN!$C$27)))*INDEX(SUP_C3_EXPANSION!$C$6:$F$6,MIN(4,COUNTIF(CAPA3_EXPANSION!$D$56:BQ$56,"&gt;="&amp;15)))*CAPA3_EXPANSION!BQ$36)</f>
        <v>5824.91</v>
      </c>
      <c r="BR22" s="88">
        <f>IF(COUNTIF(CAPA3_EXPANSION!$D$56:BR$56,"&gt;="&amp;15)=0,0,SUP_CONTROL!$C$8*IF($B22="V",1,IF($B22="D",(1+SUP_VOLUMEN!$C$26),(1+SUP_VOLUMEN!$C$27)))*INDEX(SUP_C3_EXPANSION!$C$6:$F$6,MIN(4,COUNTIF(CAPA3_EXPANSION!$D$56:BR$56,"&gt;="&amp;15)))*CAPA3_EXPANSION!BR$36)</f>
        <v>5824.91</v>
      </c>
      <c r="BS22" s="88">
        <f>IF(COUNTIF(CAPA3_EXPANSION!$D$56:BS$56,"&gt;="&amp;15)=0,0,SUP_CONTROL!$C$8*IF($B22="V",1,IF($B22="D",(1+SUP_VOLUMEN!$C$26),(1+SUP_VOLUMEN!$C$27)))*INDEX(SUP_C3_EXPANSION!$C$6:$F$6,MIN(4,COUNTIF(CAPA3_EXPANSION!$D$56:BS$56,"&gt;="&amp;15)))*CAPA3_EXPANSION!BS$36)</f>
        <v>5824.91</v>
      </c>
      <c r="BT22" s="88">
        <f>IF(COUNTIF(CAPA3_EXPANSION!$D$56:BT$56,"&gt;="&amp;15)=0,0,SUP_CONTROL!$C$8*IF($B22="V",1,IF($B22="D",(1+SUP_VOLUMEN!$C$26),(1+SUP_VOLUMEN!$C$27)))*INDEX(SUP_C3_EXPANSION!$C$6:$F$6,MIN(4,COUNTIF(CAPA3_EXPANSION!$D$56:BT$56,"&gt;="&amp;15)))*CAPA3_EXPANSION!BT$36)</f>
        <v>5824.91</v>
      </c>
      <c r="BU22" s="88">
        <f>IF(COUNTIF(CAPA3_EXPANSION!$D$56:BU$56,"&gt;="&amp;15)=0,0,SUP_CONTROL!$C$8*IF($B22="V",1,IF($B22="D",(1+SUP_VOLUMEN!$C$26),(1+SUP_VOLUMEN!$C$27)))*INDEX(SUP_C3_EXPANSION!$C$6:$F$6,MIN(4,COUNTIF(CAPA3_EXPANSION!$D$56:BU$56,"&gt;="&amp;15)))*CAPA3_EXPANSION!BU$36)</f>
        <v>5723.9</v>
      </c>
      <c r="BV22" s="88">
        <f>IF(COUNTIF(CAPA3_EXPANSION!$D$56:BV$56,"&gt;="&amp;15)=0,0,SUP_CONTROL!$C$8*IF($B22="V",1,IF($B22="D",(1+SUP_VOLUMEN!$C$26),(1+SUP_VOLUMEN!$C$27)))*INDEX(SUP_C3_EXPANSION!$C$6:$F$6,MIN(4,COUNTIF(CAPA3_EXPANSION!$D$56:BV$56,"&gt;="&amp;15)))*CAPA3_EXPANSION!BV$36)</f>
        <v>5723.9</v>
      </c>
      <c r="BW22" s="88">
        <f>IF(COUNTIF(CAPA3_EXPANSION!$D$56:BW$56,"&gt;="&amp;15)=0,0,SUP_CONTROL!$C$8*IF($B22="V",1,IF($B22="D",(1+SUP_VOLUMEN!$C$26),(1+SUP_VOLUMEN!$C$27)))*INDEX(SUP_C3_EXPANSION!$C$6:$F$6,MIN(4,COUNTIF(CAPA3_EXPANSION!$D$56:BW$56,"&gt;="&amp;15)))*CAPA3_EXPANSION!BW$36)</f>
        <v>5723.9</v>
      </c>
      <c r="BX22" s="88">
        <f>IF(COUNTIF(CAPA3_EXPANSION!$D$56:BX$56,"&gt;="&amp;15)=0,0,SUP_CONTROL!$C$8*IF($B22="V",1,IF($B22="D",(1+SUP_VOLUMEN!$C$26),(1+SUP_VOLUMEN!$C$27)))*INDEX(SUP_C3_EXPANSION!$C$6:$F$6,MIN(4,COUNTIF(CAPA3_EXPANSION!$D$56:BX$56,"&gt;="&amp;15)))*CAPA3_EXPANSION!BX$36)</f>
        <v>5723.9</v>
      </c>
      <c r="BY22" s="88">
        <f>IF(COUNTIF(CAPA3_EXPANSION!$D$56:BY$56,"&gt;="&amp;15)=0,0,SUP_CONTROL!$C$8*IF($B22="V",1,IF($B22="D",(1+SUP_VOLUMEN!$C$26),(1+SUP_VOLUMEN!$C$27)))*INDEX(SUP_C3_EXPANSION!$C$6:$F$6,MIN(4,COUNTIF(CAPA3_EXPANSION!$D$56:BY$56,"&gt;="&amp;15)))*CAPA3_EXPANSION!BY$36)</f>
        <v>5723.9</v>
      </c>
      <c r="BZ22" s="88">
        <f>IF(COUNTIF(CAPA3_EXPANSION!$D$56:BZ$56,"&gt;="&amp;15)=0,0,SUP_CONTROL!$C$8*IF($B22="V",1,IF($B22="D",(1+SUP_VOLUMEN!$C$26),(1+SUP_VOLUMEN!$C$27)))*INDEX(SUP_C3_EXPANSION!$C$6:$F$6,MIN(4,COUNTIF(CAPA3_EXPANSION!$D$56:BZ$56,"&gt;="&amp;15)))*CAPA3_EXPANSION!BZ$36)</f>
        <v>5656.5599999999995</v>
      </c>
      <c r="CA22" s="88">
        <f>IF(COUNTIF(CAPA3_EXPANSION!$D$56:CA$56,"&gt;="&amp;15)=0,0,SUP_CONTROL!$C$8*IF($B22="V",1,IF($B22="D",(1+SUP_VOLUMEN!$C$26),(1+SUP_VOLUMEN!$C$27)))*INDEX(SUP_C3_EXPANSION!$C$6:$F$6,MIN(4,COUNTIF(CAPA3_EXPANSION!$D$56:CA$56,"&gt;="&amp;15)))*CAPA3_EXPANSION!CA$36)</f>
        <v>5656.5599999999995</v>
      </c>
      <c r="CB22" s="88">
        <f>IF(COUNTIF(CAPA3_EXPANSION!$D$56:CB$56,"&gt;="&amp;15)=0,0,SUP_CONTROL!$C$8*IF($B22="V",1,IF($B22="D",(1+SUP_VOLUMEN!$C$26),(1+SUP_VOLUMEN!$C$27)))*INDEX(SUP_C3_EXPANSION!$C$6:$F$6,MIN(4,COUNTIF(CAPA3_EXPANSION!$D$56:CB$56,"&gt;="&amp;15)))*CAPA3_EXPANSION!CB$36)</f>
        <v>5656.5599999999995</v>
      </c>
      <c r="CC22" s="88">
        <f>IF(COUNTIF(CAPA3_EXPANSION!$D$56:CC$56,"&gt;="&amp;15)=0,0,SUP_CONTROL!$C$8*IF($B22="V",1,IF($B22="D",(1+SUP_VOLUMEN!$C$26),(1+SUP_VOLUMEN!$C$27)))*INDEX(SUP_C3_EXPANSION!$C$6:$F$6,MIN(4,COUNTIF(CAPA3_EXPANSION!$D$56:CC$56,"&gt;="&amp;15)))*CAPA3_EXPANSION!CC$36)</f>
        <v>5656.5599999999995</v>
      </c>
      <c r="CD22" s="88">
        <f>IF(COUNTIF(CAPA3_EXPANSION!$D$56:CD$56,"&gt;="&amp;15)=0,0,SUP_CONTROL!$C$8*IF($B22="V",1,IF($B22="D",(1+SUP_VOLUMEN!$C$26),(1+SUP_VOLUMEN!$C$27)))*INDEX(SUP_C3_EXPANSION!$C$6:$F$6,MIN(4,COUNTIF(CAPA3_EXPANSION!$D$56:CD$56,"&gt;="&amp;15)))*CAPA3_EXPANSION!CD$36)</f>
        <v>5656.5599999999995</v>
      </c>
      <c r="CE22" s="88">
        <f>IF(COUNTIF(CAPA3_EXPANSION!$D$56:CE$56,"&gt;="&amp;15)=0,0,SUP_CONTROL!$C$8*IF($B22="V",1,IF($B22="D",(1+SUP_VOLUMEN!$C$26),(1+SUP_VOLUMEN!$C$27)))*INDEX(SUP_C3_EXPANSION!$C$6:$F$6,MIN(4,COUNTIF(CAPA3_EXPANSION!$D$56:CE$56,"&gt;="&amp;15)))*CAPA3_EXPANSION!CE$36)</f>
        <v>5656.5599999999995</v>
      </c>
      <c r="CF22" s="88">
        <f>IF(COUNTIF(CAPA3_EXPANSION!$D$56:CF$56,"&gt;="&amp;15)=0,0,SUP_CONTROL!$C$8*IF($B22="V",1,IF($B22="D",(1+SUP_VOLUMEN!$C$26),(1+SUP_VOLUMEN!$C$27)))*INDEX(SUP_C3_EXPANSION!$C$6:$F$6,MIN(4,COUNTIF(CAPA3_EXPANSION!$D$56:CF$56,"&gt;="&amp;15)))*CAPA3_EXPANSION!CF$36)</f>
        <v>5656.5599999999995</v>
      </c>
      <c r="CG22" s="88">
        <f>IF(COUNTIF(CAPA3_EXPANSION!$D$56:CG$56,"&gt;="&amp;15)=0,0,SUP_CONTROL!$C$8*IF($B22="V",1,IF($B22="D",(1+SUP_VOLUMEN!$C$26),(1+SUP_VOLUMEN!$C$27)))*INDEX(SUP_C3_EXPANSION!$C$6:$F$6,MIN(4,COUNTIF(CAPA3_EXPANSION!$D$56:CG$56,"&gt;="&amp;15)))*CAPA3_EXPANSION!CG$36)</f>
        <v>5656.5599999999995</v>
      </c>
      <c r="CH22" s="88">
        <f>IF(COUNTIF(CAPA3_EXPANSION!$D$56:CH$56,"&gt;="&amp;15)=0,0,SUP_CONTROL!$C$8*IF($B22="V",1,IF($B22="D",(1+SUP_VOLUMEN!$C$26),(1+SUP_VOLUMEN!$C$27)))*INDEX(SUP_C3_EXPANSION!$C$6:$F$6,MIN(4,COUNTIF(CAPA3_EXPANSION!$D$56:CH$56,"&gt;="&amp;15)))*CAPA3_EXPANSION!CH$36)</f>
        <v>5656.5599999999995</v>
      </c>
      <c r="CI22" s="88">
        <f>IF(COUNTIF(CAPA3_EXPANSION!$D$56:CI$56,"&gt;="&amp;15)=0,0,SUP_CONTROL!$C$8*IF($B22="V",1,IF($B22="D",(1+SUP_VOLUMEN!$C$26),(1+SUP_VOLUMEN!$C$27)))*INDEX(SUP_C3_EXPANSION!$C$6:$F$6,MIN(4,COUNTIF(CAPA3_EXPANSION!$D$56:CI$56,"&gt;="&amp;15)))*CAPA3_EXPANSION!CI$36)</f>
        <v>5656.5599999999995</v>
      </c>
      <c r="CJ22" s="88">
        <f>IF(COUNTIF(CAPA3_EXPANSION!$D$56:CJ$56,"&gt;="&amp;15)=0,0,SUP_CONTROL!$C$8*IF($B22="V",1,IF($B22="D",(1+SUP_VOLUMEN!$C$26),(1+SUP_VOLUMEN!$C$27)))*INDEX(SUP_C3_EXPANSION!$C$6:$F$6,MIN(4,COUNTIF(CAPA3_EXPANSION!$D$56:CJ$56,"&gt;="&amp;15)))*CAPA3_EXPANSION!CJ$36)</f>
        <v>5656.5599999999995</v>
      </c>
      <c r="CK22" s="88">
        <f>IF(COUNTIF(CAPA3_EXPANSION!$D$56:CK$56,"&gt;="&amp;15)=0,0,SUP_CONTROL!$C$8*IF($B22="V",1,IF($B22="D",(1+SUP_VOLUMEN!$C$26),(1+SUP_VOLUMEN!$C$27)))*INDEX(SUP_C3_EXPANSION!$C$6:$F$6,MIN(4,COUNTIF(CAPA3_EXPANSION!$D$56:CK$56,"&gt;="&amp;15)))*CAPA3_EXPANSION!CK$36)</f>
        <v>5656.5599999999995</v>
      </c>
      <c r="CL22" s="88">
        <f>IF(COUNTIF(CAPA3_EXPANSION!$D$56:CL$56,"&gt;="&amp;15)=0,0,SUP_CONTROL!$C$8*IF($B22="V",1,IF($B22="D",(1+SUP_VOLUMEN!$C$26),(1+SUP_VOLUMEN!$C$27)))*INDEX(SUP_C3_EXPANSION!$C$6:$F$6,MIN(4,COUNTIF(CAPA3_EXPANSION!$D$56:CL$56,"&gt;="&amp;15)))*CAPA3_EXPANSION!CL$36)</f>
        <v>5656.5599999999995</v>
      </c>
      <c r="CM22" s="88">
        <f>IF(COUNTIF(CAPA3_EXPANSION!$D$56:CM$56,"&gt;="&amp;15)=0,0,SUP_CONTROL!$C$8*IF($B22="V",1,IF($B22="D",(1+SUP_VOLUMEN!$C$26),(1+SUP_VOLUMEN!$C$27)))*INDEX(SUP_C3_EXPANSION!$C$6:$F$6,MIN(4,COUNTIF(CAPA3_EXPANSION!$D$56:CM$56,"&gt;="&amp;15)))*CAPA3_EXPANSION!CM$36)</f>
        <v>5656.5599999999995</v>
      </c>
      <c r="CN22" s="88">
        <f>IF(COUNTIF(CAPA3_EXPANSION!$D$56:CN$56,"&gt;="&amp;15)=0,0,SUP_CONTROL!$C$8*IF($B22="V",1,IF($B22="D",(1+SUP_VOLUMEN!$C$26),(1+SUP_VOLUMEN!$C$27)))*INDEX(SUP_C3_EXPANSION!$C$6:$F$6,MIN(4,COUNTIF(CAPA3_EXPANSION!$D$56:CN$56,"&gt;="&amp;15)))*CAPA3_EXPANSION!CN$36)</f>
        <v>5656.5599999999995</v>
      </c>
      <c r="CO22" s="88">
        <f>IF(COUNTIF(CAPA3_EXPANSION!$D$56:CO$56,"&gt;="&amp;15)=0,0,SUP_CONTROL!$C$8*IF($B22="V",1,IF($B22="D",(1+SUP_VOLUMEN!$C$26),(1+SUP_VOLUMEN!$C$27)))*INDEX(SUP_C3_EXPANSION!$C$6:$F$6,MIN(4,COUNTIF(CAPA3_EXPANSION!$D$56:CO$56,"&gt;="&amp;15)))*CAPA3_EXPANSION!CO$36)</f>
        <v>5656.5599999999995</v>
      </c>
      <c r="CP22" s="88">
        <f>IF(COUNTIF(CAPA3_EXPANSION!$D$56:CP$56,"&gt;="&amp;15)=0,0,SUP_CONTROL!$C$8*IF($B22="V",1,IF($B22="D",(1+SUP_VOLUMEN!$C$26),(1+SUP_VOLUMEN!$C$27)))*INDEX(SUP_C3_EXPANSION!$C$6:$F$6,MIN(4,COUNTIF(CAPA3_EXPANSION!$D$56:CP$56,"&gt;="&amp;15)))*CAPA3_EXPANSION!CP$36)</f>
        <v>5656.5599999999995</v>
      </c>
      <c r="CQ22" s="88">
        <f>IF(COUNTIF(CAPA3_EXPANSION!$D$56:CQ$56,"&gt;="&amp;15)=0,0,SUP_CONTROL!$C$8*IF($B22="V",1,IF($B22="D",(1+SUP_VOLUMEN!$C$26),(1+SUP_VOLUMEN!$C$27)))*INDEX(SUP_C3_EXPANSION!$C$6:$F$6,MIN(4,COUNTIF(CAPA3_EXPANSION!$D$56:CQ$56,"&gt;="&amp;15)))*CAPA3_EXPANSION!CQ$36)</f>
        <v>5656.5599999999995</v>
      </c>
      <c r="CR22" s="88">
        <f>IF(COUNTIF(CAPA3_EXPANSION!$D$56:CR$56,"&gt;="&amp;15)=0,0,SUP_CONTROL!$C$8*IF($B22="V",1,IF($B22="D",(1+SUP_VOLUMEN!$C$26),(1+SUP_VOLUMEN!$C$27)))*INDEX(SUP_C3_EXPANSION!$C$6:$F$6,MIN(4,COUNTIF(CAPA3_EXPANSION!$D$56:CR$56,"&gt;="&amp;15)))*CAPA3_EXPANSION!CR$36)</f>
        <v>5656.5599999999995</v>
      </c>
      <c r="CS22" s="88">
        <f>IF(COUNTIF(CAPA3_EXPANSION!$D$56:CS$56,"&gt;="&amp;15)=0,0,SUP_CONTROL!$C$8*IF($B22="V",1,IF($B22="D",(1+SUP_VOLUMEN!$C$26),(1+SUP_VOLUMEN!$C$27)))*INDEX(SUP_C3_EXPANSION!$C$6:$F$6,MIN(4,COUNTIF(CAPA3_EXPANSION!$D$56:CS$56,"&gt;="&amp;15)))*CAPA3_EXPANSION!CS$36)</f>
        <v>5656.5599999999995</v>
      </c>
      <c r="CT22" s="88">
        <f>IF(COUNTIF(CAPA3_EXPANSION!$D$56:CT$56,"&gt;="&amp;15)=0,0,SUP_CONTROL!$C$8*IF($B22="V",1,IF($B22="D",(1+SUP_VOLUMEN!$C$26),(1+SUP_VOLUMEN!$C$27)))*INDEX(SUP_C3_EXPANSION!$C$6:$F$6,MIN(4,COUNTIF(CAPA3_EXPANSION!$D$56:CT$56,"&gt;="&amp;15)))*CAPA3_EXPANSION!CT$36)</f>
        <v>5656.5599999999995</v>
      </c>
      <c r="CU22" s="88">
        <f>IF(COUNTIF(CAPA3_EXPANSION!$D$56:CU$56,"&gt;="&amp;15)=0,0,SUP_CONTROL!$C$8*IF($B22="V",1,IF($B22="D",(1+SUP_VOLUMEN!$C$26),(1+SUP_VOLUMEN!$C$27)))*INDEX(SUP_C3_EXPANSION!$C$6:$F$6,MIN(4,COUNTIF(CAPA3_EXPANSION!$D$56:CU$56,"&gt;="&amp;15)))*CAPA3_EXPANSION!CU$36)</f>
        <v>5656.5599999999995</v>
      </c>
      <c r="CV22" s="88">
        <f>IF(COUNTIF(CAPA3_EXPANSION!$D$56:CV$56,"&gt;="&amp;15)=0,0,SUP_CONTROL!$C$8*IF($B22="V",1,IF($B22="D",(1+SUP_VOLUMEN!$C$26),(1+SUP_VOLUMEN!$C$27)))*INDEX(SUP_C3_EXPANSION!$C$6:$F$6,MIN(4,COUNTIF(CAPA3_EXPANSION!$D$56:CV$56,"&gt;="&amp;15)))*CAPA3_EXPANSION!CV$36)</f>
        <v>5656.5599999999995</v>
      </c>
      <c r="CW22" s="88">
        <f>IF(COUNTIF(CAPA3_EXPANSION!$D$56:CW$56,"&gt;="&amp;15)=0,0,SUP_CONTROL!$C$8*IF($B22="V",1,IF($B22="D",(1+SUP_VOLUMEN!$C$26),(1+SUP_VOLUMEN!$C$27)))*INDEX(SUP_C3_EXPANSION!$C$6:$F$6,MIN(4,COUNTIF(CAPA3_EXPANSION!$D$56:CW$56,"&gt;="&amp;15)))*CAPA3_EXPANSION!CW$36)</f>
        <v>5656.5599999999995</v>
      </c>
      <c r="CX22" s="88">
        <f>IF(COUNTIF(CAPA3_EXPANSION!$D$56:CX$56,"&gt;="&amp;15)=0,0,SUP_CONTROL!$C$8*IF($B22="V",1,IF($B22="D",(1+SUP_VOLUMEN!$C$26),(1+SUP_VOLUMEN!$C$27)))*INDEX(SUP_C3_EXPANSION!$C$6:$F$6,MIN(4,COUNTIF(CAPA3_EXPANSION!$D$56:CX$56,"&gt;="&amp;15)))*CAPA3_EXPANSION!CX$36)</f>
        <v>5656.5599999999995</v>
      </c>
      <c r="CY22" s="88">
        <f>IF(COUNTIF(CAPA3_EXPANSION!$D$56:CY$56,"&gt;="&amp;15)=0,0,SUP_CONTROL!$C$8*IF($B22="V",1,IF($B22="D",(1+SUP_VOLUMEN!$C$26),(1+SUP_VOLUMEN!$C$27)))*INDEX(SUP_C3_EXPANSION!$C$6:$F$6,MIN(4,COUNTIF(CAPA3_EXPANSION!$D$56:CY$56,"&gt;="&amp;15)))*CAPA3_EXPANSION!CY$36)</f>
        <v>5656.5599999999995</v>
      </c>
      <c r="CZ22" s="88">
        <f>IF(COUNTIF(CAPA3_EXPANSION!$D$56:CZ$56,"&gt;="&amp;15)=0,0,SUP_CONTROL!$C$8*IF($B22="V",1,IF($B22="D",(1+SUP_VOLUMEN!$C$26),(1+SUP_VOLUMEN!$C$27)))*INDEX(SUP_C3_EXPANSION!$C$6:$F$6,MIN(4,COUNTIF(CAPA3_EXPANSION!$D$56:CZ$56,"&gt;="&amp;15)))*CAPA3_EXPANSION!CZ$36)</f>
        <v>5656.5599999999995</v>
      </c>
      <c r="DA22" s="88">
        <f>IF(COUNTIF(CAPA3_EXPANSION!$D$56:DA$56,"&gt;="&amp;15)=0,0,SUP_CONTROL!$C$8*IF($B22="V",1,IF($B22="D",(1+SUP_VOLUMEN!$C$26),(1+SUP_VOLUMEN!$C$27)))*INDEX(SUP_C3_EXPANSION!$C$6:$F$6,MIN(4,COUNTIF(CAPA3_EXPANSION!$D$56:DA$56,"&gt;="&amp;15)))*CAPA3_EXPANSION!DA$36)</f>
        <v>5656.5599999999995</v>
      </c>
      <c r="DB22" s="88">
        <f>IF(COUNTIF(CAPA3_EXPANSION!$D$56:DB$56,"&gt;="&amp;15)=0,0,SUP_CONTROL!$C$8*IF($B22="V",1,IF($B22="D",(1+SUP_VOLUMEN!$C$26),(1+SUP_VOLUMEN!$C$27)))*INDEX(SUP_C3_EXPANSION!$C$6:$F$6,MIN(4,COUNTIF(CAPA3_EXPANSION!$D$56:DB$56,"&gt;="&amp;15)))*CAPA3_EXPANSION!DB$36)</f>
        <v>5656.5599999999995</v>
      </c>
      <c r="DC22" s="88">
        <f>IF(COUNTIF(CAPA3_EXPANSION!$D$56:DC$56,"&gt;="&amp;15)=0,0,SUP_CONTROL!$C$8*IF($B22="V",1,IF($B22="D",(1+SUP_VOLUMEN!$C$26),(1+SUP_VOLUMEN!$C$27)))*INDEX(SUP_C3_EXPANSION!$C$6:$F$6,MIN(4,COUNTIF(CAPA3_EXPANSION!$D$56:DC$56,"&gt;="&amp;15)))*CAPA3_EXPANSION!DC$36)</f>
        <v>5656.5599999999995</v>
      </c>
      <c r="DD22" s="88">
        <f>IF(COUNTIF(CAPA3_EXPANSION!$D$56:DD$56,"&gt;="&amp;15)=0,0,SUP_CONTROL!$C$8*IF($B22="V",1,IF($B22="D",(1+SUP_VOLUMEN!$C$26),(1+SUP_VOLUMEN!$C$27)))*INDEX(SUP_C3_EXPANSION!$C$6:$F$6,MIN(4,COUNTIF(CAPA3_EXPANSION!$D$56:DD$56,"&gt;="&amp;15)))*CAPA3_EXPANSION!DD$36)</f>
        <v>5656.5599999999995</v>
      </c>
      <c r="DE22" s="88">
        <f>IF(COUNTIF(CAPA3_EXPANSION!$D$56:DE$56,"&gt;="&amp;15)=0,0,SUP_CONTROL!$C$8*IF($B22="V",1,IF($B22="D",(1+SUP_VOLUMEN!$C$26),(1+SUP_VOLUMEN!$C$27)))*INDEX(SUP_C3_EXPANSION!$C$6:$F$6,MIN(4,COUNTIF(CAPA3_EXPANSION!$D$56:DE$56,"&gt;="&amp;15)))*CAPA3_EXPANSION!DE$36)</f>
        <v>5656.5599999999995</v>
      </c>
      <c r="DF22" s="88">
        <f>IF(COUNTIF(CAPA3_EXPANSION!$D$56:DF$56,"&gt;="&amp;15)=0,0,SUP_CONTROL!$C$8*IF($B22="V",1,IF($B22="D",(1+SUP_VOLUMEN!$C$26),(1+SUP_VOLUMEN!$C$27)))*INDEX(SUP_C3_EXPANSION!$C$6:$F$6,MIN(4,COUNTIF(CAPA3_EXPANSION!$D$56:DF$56,"&gt;="&amp;15)))*CAPA3_EXPANSION!DF$36)</f>
        <v>5656.5599999999995</v>
      </c>
      <c r="DG22" s="88">
        <f>IF(COUNTIF(CAPA3_EXPANSION!$D$56:DG$56,"&gt;="&amp;15)=0,0,SUP_CONTROL!$C$8*IF($B22="V",1,IF($B22="D",(1+SUP_VOLUMEN!$C$26),(1+SUP_VOLUMEN!$C$27)))*INDEX(SUP_C3_EXPANSION!$C$6:$F$6,MIN(4,COUNTIF(CAPA3_EXPANSION!$D$56:DG$56,"&gt;="&amp;15)))*CAPA3_EXPANSION!DG$36)</f>
        <v>5656.5599999999995</v>
      </c>
      <c r="DH22" s="88">
        <f>IF(COUNTIF(CAPA3_EXPANSION!$D$56:DH$56,"&gt;="&amp;15)=0,0,SUP_CONTROL!$C$8*IF($B22="V",1,IF($B22="D",(1+SUP_VOLUMEN!$C$26),(1+SUP_VOLUMEN!$C$27)))*INDEX(SUP_C3_EXPANSION!$C$6:$F$6,MIN(4,COUNTIF(CAPA3_EXPANSION!$D$56:DH$56,"&gt;="&amp;15)))*CAPA3_EXPANSION!DH$36)</f>
        <v>5656.5599999999995</v>
      </c>
      <c r="DI22" s="88">
        <f>IF(COUNTIF(CAPA3_EXPANSION!$D$56:DI$56,"&gt;="&amp;15)=0,0,SUP_CONTROL!$C$8*IF($B22="V",1,IF($B22="D",(1+SUP_VOLUMEN!$C$26),(1+SUP_VOLUMEN!$C$27)))*INDEX(SUP_C3_EXPANSION!$C$6:$F$6,MIN(4,COUNTIF(CAPA3_EXPANSION!$D$56:DI$56,"&gt;="&amp;15)))*CAPA3_EXPANSION!DI$36)</f>
        <v>5656.5599999999995</v>
      </c>
      <c r="DJ22" s="88">
        <f>IF(COUNTIF(CAPA3_EXPANSION!$D$56:DJ$56,"&gt;="&amp;15)=0,0,SUP_CONTROL!$C$8*IF($B22="V",1,IF($B22="D",(1+SUP_VOLUMEN!$C$26),(1+SUP_VOLUMEN!$C$27)))*INDEX(SUP_C3_EXPANSION!$C$6:$F$6,MIN(4,COUNTIF(CAPA3_EXPANSION!$D$56:DJ$56,"&gt;="&amp;15)))*CAPA3_EXPANSION!DJ$36)</f>
        <v>5656.5599999999995</v>
      </c>
      <c r="DK22" s="88">
        <f>IF(COUNTIF(CAPA3_EXPANSION!$D$56:DK$56,"&gt;="&amp;15)=0,0,SUP_CONTROL!$C$8*IF($B22="V",1,IF($B22="D",(1+SUP_VOLUMEN!$C$26),(1+SUP_VOLUMEN!$C$27)))*INDEX(SUP_C3_EXPANSION!$C$6:$F$6,MIN(4,COUNTIF(CAPA3_EXPANSION!$D$56:DK$56,"&gt;="&amp;15)))*CAPA3_EXPANSION!DK$36)</f>
        <v>5656.5599999999995</v>
      </c>
      <c r="DL22" s="88">
        <f>IF(COUNTIF(CAPA3_EXPANSION!$D$56:DL$56,"&gt;="&amp;15)=0,0,SUP_CONTROL!$C$8*IF($B22="V",1,IF($B22="D",(1+SUP_VOLUMEN!$C$26),(1+SUP_VOLUMEN!$C$27)))*INDEX(SUP_C3_EXPANSION!$C$6:$F$6,MIN(4,COUNTIF(CAPA3_EXPANSION!$D$56:DL$56,"&gt;="&amp;15)))*CAPA3_EXPANSION!DL$36)</f>
        <v>5656.5599999999995</v>
      </c>
      <c r="DM22" s="88">
        <f>IF(COUNTIF(CAPA3_EXPANSION!$D$56:DM$56,"&gt;="&amp;15)=0,0,SUP_CONTROL!$C$8*IF($B22="V",1,IF($B22="D",(1+SUP_VOLUMEN!$C$26),(1+SUP_VOLUMEN!$C$27)))*INDEX(SUP_C3_EXPANSION!$C$6:$F$6,MIN(4,COUNTIF(CAPA3_EXPANSION!$D$56:DM$56,"&gt;="&amp;15)))*CAPA3_EXPANSION!DM$36)</f>
        <v>5656.5599999999995</v>
      </c>
      <c r="DN22" s="88">
        <f>IF(COUNTIF(CAPA3_EXPANSION!$D$56:DN$56,"&gt;="&amp;15)=0,0,SUP_CONTROL!$C$8*IF($B22="V",1,IF($B22="D",(1+SUP_VOLUMEN!$C$26),(1+SUP_VOLUMEN!$C$27)))*INDEX(SUP_C3_EXPANSION!$C$6:$F$6,MIN(4,COUNTIF(CAPA3_EXPANSION!$D$56:DN$56,"&gt;="&amp;15)))*CAPA3_EXPANSION!DN$36)</f>
        <v>5656.5599999999995</v>
      </c>
      <c r="DO22" s="88">
        <f>IF(COUNTIF(CAPA3_EXPANSION!$D$56:DO$56,"&gt;="&amp;15)=0,0,SUP_CONTROL!$C$8*IF($B22="V",1,IF($B22="D",(1+SUP_VOLUMEN!$C$26),(1+SUP_VOLUMEN!$C$27)))*INDEX(SUP_C3_EXPANSION!$C$6:$F$6,MIN(4,COUNTIF(CAPA3_EXPANSION!$D$56:DO$56,"&gt;="&amp;15)))*CAPA3_EXPANSION!DO$36)</f>
        <v>5656.5599999999995</v>
      </c>
      <c r="DP22" s="88">
        <f>IF(COUNTIF(CAPA3_EXPANSION!$D$56:DP$56,"&gt;="&amp;15)=0,0,SUP_CONTROL!$C$8*IF($B22="V",1,IF($B22="D",(1+SUP_VOLUMEN!$C$26),(1+SUP_VOLUMEN!$C$27)))*INDEX(SUP_C3_EXPANSION!$C$6:$F$6,MIN(4,COUNTIF(CAPA3_EXPANSION!$D$56:DP$56,"&gt;="&amp;15)))*CAPA3_EXPANSION!DP$36)</f>
        <v>5656.5599999999995</v>
      </c>
      <c r="DQ22" s="88">
        <f>IF(COUNTIF(CAPA3_EXPANSION!$D$56:DQ$56,"&gt;="&amp;15)=0,0,SUP_CONTROL!$C$8*IF($B22="V",1,IF($B22="D",(1+SUP_VOLUMEN!$C$26),(1+SUP_VOLUMEN!$C$27)))*INDEX(SUP_C3_EXPANSION!$C$6:$F$6,MIN(4,COUNTIF(CAPA3_EXPANSION!$D$56:DQ$56,"&gt;="&amp;15)))*CAPA3_EXPANSION!DQ$36)</f>
        <v>5656.5599999999995</v>
      </c>
      <c r="DR22" s="88">
        <f>IF(COUNTIF(CAPA3_EXPANSION!$D$56:DR$56,"&gt;="&amp;15)=0,0,SUP_CONTROL!$C$8*IF($B22="V",1,IF($B22="D",(1+SUP_VOLUMEN!$C$26),(1+SUP_VOLUMEN!$C$27)))*INDEX(SUP_C3_EXPANSION!$C$6:$F$6,MIN(4,COUNTIF(CAPA3_EXPANSION!$D$56:DR$56,"&gt;="&amp;15)))*CAPA3_EXPANSION!DR$36)</f>
        <v>5656.5599999999995</v>
      </c>
      <c r="DS22" s="88">
        <f>IF(COUNTIF(CAPA3_EXPANSION!$D$56:DS$56,"&gt;="&amp;15)=0,0,SUP_CONTROL!$C$8*IF($B22="V",1,IF($B22="D",(1+SUP_VOLUMEN!$C$26),(1+SUP_VOLUMEN!$C$27)))*INDEX(SUP_C3_EXPANSION!$C$6:$F$6,MIN(4,COUNTIF(CAPA3_EXPANSION!$D$56:DS$56,"&gt;="&amp;15)))*CAPA3_EXPANSION!DS$36)</f>
        <v>5656.5599999999995</v>
      </c>
    </row>
    <row r="23" spans="1:123" ht="15" customHeight="1" x14ac:dyDescent="0.2">
      <c r="A23" s="88">
        <v>26</v>
      </c>
      <c r="B23" s="104" t="str">
        <f>SUP_C3_EXPANSION!B35</f>
        <v>V</v>
      </c>
      <c r="C23" s="73">
        <f>SUP_C3_EXPANSION!G35</f>
        <v>51</v>
      </c>
      <c r="D23" s="88">
        <f>IF(COUNTIF(CAPA3_EXPANSION!$D$56:D$56,"&gt;="&amp;16)=0,0,SUP_CONTROL!$C$8*IF($B23="V",1,IF($B23="D",(1+SUP_VOLUMEN!$C$26),(1+SUP_VOLUMEN!$C$27)))*INDEX(SUP_C3_EXPANSION!$C$6:$F$6,MIN(4,COUNTIF(CAPA3_EXPANSION!$D$56:D$56,"&gt;="&amp;16)))*CAPA3_EXPANSION!D$36)</f>
        <v>0</v>
      </c>
      <c r="E23" s="88">
        <f>IF(COUNTIF(CAPA3_EXPANSION!$D$56:E$56,"&gt;="&amp;16)=0,0,SUP_CONTROL!$C$8*IF($B23="V",1,IF($B23="D",(1+SUP_VOLUMEN!$C$26),(1+SUP_VOLUMEN!$C$27)))*INDEX(SUP_C3_EXPANSION!$C$6:$F$6,MIN(4,COUNTIF(CAPA3_EXPANSION!$D$56:E$56,"&gt;="&amp;16)))*CAPA3_EXPANSION!E$36)</f>
        <v>0</v>
      </c>
      <c r="F23" s="88">
        <f>IF(COUNTIF(CAPA3_EXPANSION!$D$56:F$56,"&gt;="&amp;16)=0,0,SUP_CONTROL!$C$8*IF($B23="V",1,IF($B23="D",(1+SUP_VOLUMEN!$C$26),(1+SUP_VOLUMEN!$C$27)))*INDEX(SUP_C3_EXPANSION!$C$6:$F$6,MIN(4,COUNTIF(CAPA3_EXPANSION!$D$56:F$56,"&gt;="&amp;16)))*CAPA3_EXPANSION!F$36)</f>
        <v>0</v>
      </c>
      <c r="G23" s="88">
        <f>IF(COUNTIF(CAPA3_EXPANSION!$D$56:G$56,"&gt;="&amp;16)=0,0,SUP_CONTROL!$C$8*IF($B23="V",1,IF($B23="D",(1+SUP_VOLUMEN!$C$26),(1+SUP_VOLUMEN!$C$27)))*INDEX(SUP_C3_EXPANSION!$C$6:$F$6,MIN(4,COUNTIF(CAPA3_EXPANSION!$D$56:G$56,"&gt;="&amp;16)))*CAPA3_EXPANSION!G$36)</f>
        <v>0</v>
      </c>
      <c r="H23" s="88">
        <f>IF(COUNTIF(CAPA3_EXPANSION!$D$56:H$56,"&gt;="&amp;16)=0,0,SUP_CONTROL!$C$8*IF($B23="V",1,IF($B23="D",(1+SUP_VOLUMEN!$C$26),(1+SUP_VOLUMEN!$C$27)))*INDEX(SUP_C3_EXPANSION!$C$6:$F$6,MIN(4,COUNTIF(CAPA3_EXPANSION!$D$56:H$56,"&gt;="&amp;16)))*CAPA3_EXPANSION!H$36)</f>
        <v>0</v>
      </c>
      <c r="I23" s="88">
        <f>IF(COUNTIF(CAPA3_EXPANSION!$D$56:I$56,"&gt;="&amp;16)=0,0,SUP_CONTROL!$C$8*IF($B23="V",1,IF($B23="D",(1+SUP_VOLUMEN!$C$26),(1+SUP_VOLUMEN!$C$27)))*INDEX(SUP_C3_EXPANSION!$C$6:$F$6,MIN(4,COUNTIF(CAPA3_EXPANSION!$D$56:I$56,"&gt;="&amp;16)))*CAPA3_EXPANSION!I$36)</f>
        <v>0</v>
      </c>
      <c r="J23" s="88">
        <f>IF(COUNTIF(CAPA3_EXPANSION!$D$56:J$56,"&gt;="&amp;16)=0,0,SUP_CONTROL!$C$8*IF($B23="V",1,IF($B23="D",(1+SUP_VOLUMEN!$C$26),(1+SUP_VOLUMEN!$C$27)))*INDEX(SUP_C3_EXPANSION!$C$6:$F$6,MIN(4,COUNTIF(CAPA3_EXPANSION!$D$56:J$56,"&gt;="&amp;16)))*CAPA3_EXPANSION!J$36)</f>
        <v>0</v>
      </c>
      <c r="K23" s="88">
        <f>IF(COUNTIF(CAPA3_EXPANSION!$D$56:K$56,"&gt;="&amp;16)=0,0,SUP_CONTROL!$C$8*IF($B23="V",1,IF($B23="D",(1+SUP_VOLUMEN!$C$26),(1+SUP_VOLUMEN!$C$27)))*INDEX(SUP_C3_EXPANSION!$C$6:$F$6,MIN(4,COUNTIF(CAPA3_EXPANSION!$D$56:K$56,"&gt;="&amp;16)))*CAPA3_EXPANSION!K$36)</f>
        <v>0</v>
      </c>
      <c r="L23" s="88">
        <f>IF(COUNTIF(CAPA3_EXPANSION!$D$56:L$56,"&gt;="&amp;16)=0,0,SUP_CONTROL!$C$8*IF($B23="V",1,IF($B23="D",(1+SUP_VOLUMEN!$C$26),(1+SUP_VOLUMEN!$C$27)))*INDEX(SUP_C3_EXPANSION!$C$6:$F$6,MIN(4,COUNTIF(CAPA3_EXPANSION!$D$56:L$56,"&gt;="&amp;16)))*CAPA3_EXPANSION!L$36)</f>
        <v>0</v>
      </c>
      <c r="M23" s="88">
        <f>IF(COUNTIF(CAPA3_EXPANSION!$D$56:M$56,"&gt;="&amp;16)=0,0,SUP_CONTROL!$C$8*IF($B23="V",1,IF($B23="D",(1+SUP_VOLUMEN!$C$26),(1+SUP_VOLUMEN!$C$27)))*INDEX(SUP_C3_EXPANSION!$C$6:$F$6,MIN(4,COUNTIF(CAPA3_EXPANSION!$D$56:M$56,"&gt;="&amp;16)))*CAPA3_EXPANSION!M$36)</f>
        <v>0</v>
      </c>
      <c r="N23" s="88">
        <f>IF(COUNTIF(CAPA3_EXPANSION!$D$56:N$56,"&gt;="&amp;16)=0,0,SUP_CONTROL!$C$8*IF($B23="V",1,IF($B23="D",(1+SUP_VOLUMEN!$C$26),(1+SUP_VOLUMEN!$C$27)))*INDEX(SUP_C3_EXPANSION!$C$6:$F$6,MIN(4,COUNTIF(CAPA3_EXPANSION!$D$56:N$56,"&gt;="&amp;16)))*CAPA3_EXPANSION!N$36)</f>
        <v>0</v>
      </c>
      <c r="O23" s="88">
        <f>IF(COUNTIF(CAPA3_EXPANSION!$D$56:O$56,"&gt;="&amp;16)=0,0,SUP_CONTROL!$C$8*IF($B23="V",1,IF($B23="D",(1+SUP_VOLUMEN!$C$26),(1+SUP_VOLUMEN!$C$27)))*INDEX(SUP_C3_EXPANSION!$C$6:$F$6,MIN(4,COUNTIF(CAPA3_EXPANSION!$D$56:O$56,"&gt;="&amp;16)))*CAPA3_EXPANSION!O$36)</f>
        <v>0</v>
      </c>
      <c r="P23" s="88">
        <f>IF(COUNTIF(CAPA3_EXPANSION!$D$56:P$56,"&gt;="&amp;16)=0,0,SUP_CONTROL!$C$8*IF($B23="V",1,IF($B23="D",(1+SUP_VOLUMEN!$C$26),(1+SUP_VOLUMEN!$C$27)))*INDEX(SUP_C3_EXPANSION!$C$6:$F$6,MIN(4,COUNTIF(CAPA3_EXPANSION!$D$56:P$56,"&gt;="&amp;16)))*CAPA3_EXPANSION!P$36)</f>
        <v>0</v>
      </c>
      <c r="Q23" s="88">
        <f>IF(COUNTIF(CAPA3_EXPANSION!$D$56:Q$56,"&gt;="&amp;16)=0,0,SUP_CONTROL!$C$8*IF($B23="V",1,IF($B23="D",(1+SUP_VOLUMEN!$C$26),(1+SUP_VOLUMEN!$C$27)))*INDEX(SUP_C3_EXPANSION!$C$6:$F$6,MIN(4,COUNTIF(CAPA3_EXPANSION!$D$56:Q$56,"&gt;="&amp;16)))*CAPA3_EXPANSION!Q$36)</f>
        <v>0</v>
      </c>
      <c r="R23" s="88">
        <f>IF(COUNTIF(CAPA3_EXPANSION!$D$56:R$56,"&gt;="&amp;16)=0,0,SUP_CONTROL!$C$8*IF($B23="V",1,IF($B23="D",(1+SUP_VOLUMEN!$C$26),(1+SUP_VOLUMEN!$C$27)))*INDEX(SUP_C3_EXPANSION!$C$6:$F$6,MIN(4,COUNTIF(CAPA3_EXPANSION!$D$56:R$56,"&gt;="&amp;16)))*CAPA3_EXPANSION!R$36)</f>
        <v>0</v>
      </c>
      <c r="S23" s="88">
        <f>IF(COUNTIF(CAPA3_EXPANSION!$D$56:S$56,"&gt;="&amp;16)=0,0,SUP_CONTROL!$C$8*IF($B23="V",1,IF($B23="D",(1+SUP_VOLUMEN!$C$26),(1+SUP_VOLUMEN!$C$27)))*INDEX(SUP_C3_EXPANSION!$C$6:$F$6,MIN(4,COUNTIF(CAPA3_EXPANSION!$D$56:S$56,"&gt;="&amp;16)))*CAPA3_EXPANSION!S$36)</f>
        <v>0</v>
      </c>
      <c r="T23" s="88">
        <f>IF(COUNTIF(CAPA3_EXPANSION!$D$56:T$56,"&gt;="&amp;16)=0,0,SUP_CONTROL!$C$8*IF($B23="V",1,IF($B23="D",(1+SUP_VOLUMEN!$C$26),(1+SUP_VOLUMEN!$C$27)))*INDEX(SUP_C3_EXPANSION!$C$6:$F$6,MIN(4,COUNTIF(CAPA3_EXPANSION!$D$56:T$56,"&gt;="&amp;16)))*CAPA3_EXPANSION!T$36)</f>
        <v>0</v>
      </c>
      <c r="U23" s="88">
        <f>IF(COUNTIF(CAPA3_EXPANSION!$D$56:U$56,"&gt;="&amp;16)=0,0,SUP_CONTROL!$C$8*IF($B23="V",1,IF($B23="D",(1+SUP_VOLUMEN!$C$26),(1+SUP_VOLUMEN!$C$27)))*INDEX(SUP_C3_EXPANSION!$C$6:$F$6,MIN(4,COUNTIF(CAPA3_EXPANSION!$D$56:U$56,"&gt;="&amp;16)))*CAPA3_EXPANSION!U$36)</f>
        <v>0</v>
      </c>
      <c r="V23" s="88">
        <f>IF(COUNTIF(CAPA3_EXPANSION!$D$56:V$56,"&gt;="&amp;16)=0,0,SUP_CONTROL!$C$8*IF($B23="V",1,IF($B23="D",(1+SUP_VOLUMEN!$C$26),(1+SUP_VOLUMEN!$C$27)))*INDEX(SUP_C3_EXPANSION!$C$6:$F$6,MIN(4,COUNTIF(CAPA3_EXPANSION!$D$56:V$56,"&gt;="&amp;16)))*CAPA3_EXPANSION!V$36)</f>
        <v>0</v>
      </c>
      <c r="W23" s="88">
        <f>IF(COUNTIF(CAPA3_EXPANSION!$D$56:W$56,"&gt;="&amp;16)=0,0,SUP_CONTROL!$C$8*IF($B23="V",1,IF($B23="D",(1+SUP_VOLUMEN!$C$26),(1+SUP_VOLUMEN!$C$27)))*INDEX(SUP_C3_EXPANSION!$C$6:$F$6,MIN(4,COUNTIF(CAPA3_EXPANSION!$D$56:W$56,"&gt;="&amp;16)))*CAPA3_EXPANSION!W$36)</f>
        <v>0</v>
      </c>
      <c r="X23" s="88">
        <f>IF(COUNTIF(CAPA3_EXPANSION!$D$56:X$56,"&gt;="&amp;16)=0,0,SUP_CONTROL!$C$8*IF($B23="V",1,IF($B23="D",(1+SUP_VOLUMEN!$C$26),(1+SUP_VOLUMEN!$C$27)))*INDEX(SUP_C3_EXPANSION!$C$6:$F$6,MIN(4,COUNTIF(CAPA3_EXPANSION!$D$56:X$56,"&gt;="&amp;16)))*CAPA3_EXPANSION!X$36)</f>
        <v>0</v>
      </c>
      <c r="Y23" s="88">
        <f>IF(COUNTIF(CAPA3_EXPANSION!$D$56:Y$56,"&gt;="&amp;16)=0,0,SUP_CONTROL!$C$8*IF($B23="V",1,IF($B23="D",(1+SUP_VOLUMEN!$C$26),(1+SUP_VOLUMEN!$C$27)))*INDEX(SUP_C3_EXPANSION!$C$6:$F$6,MIN(4,COUNTIF(CAPA3_EXPANSION!$D$56:Y$56,"&gt;="&amp;16)))*CAPA3_EXPANSION!Y$36)</f>
        <v>0</v>
      </c>
      <c r="Z23" s="88">
        <f>IF(COUNTIF(CAPA3_EXPANSION!$D$56:Z$56,"&gt;="&amp;16)=0,0,SUP_CONTROL!$C$8*IF($B23="V",1,IF($B23="D",(1+SUP_VOLUMEN!$C$26),(1+SUP_VOLUMEN!$C$27)))*INDEX(SUP_C3_EXPANSION!$C$6:$F$6,MIN(4,COUNTIF(CAPA3_EXPANSION!$D$56:Z$56,"&gt;="&amp;16)))*CAPA3_EXPANSION!Z$36)</f>
        <v>0</v>
      </c>
      <c r="AA23" s="88">
        <f>IF(COUNTIF(CAPA3_EXPANSION!$D$56:AA$56,"&gt;="&amp;16)=0,0,SUP_CONTROL!$C$8*IF($B23="V",1,IF($B23="D",(1+SUP_VOLUMEN!$C$26),(1+SUP_VOLUMEN!$C$27)))*INDEX(SUP_C3_EXPANSION!$C$6:$F$6,MIN(4,COUNTIF(CAPA3_EXPANSION!$D$56:AA$56,"&gt;="&amp;16)))*CAPA3_EXPANSION!AA$36)</f>
        <v>0</v>
      </c>
      <c r="AB23" s="88">
        <f>IF(COUNTIF(CAPA3_EXPANSION!$D$56:AB$56,"&gt;="&amp;16)=0,0,SUP_CONTROL!$C$8*IF($B23="V",1,IF($B23="D",(1+SUP_VOLUMEN!$C$26),(1+SUP_VOLUMEN!$C$27)))*INDEX(SUP_C3_EXPANSION!$C$6:$F$6,MIN(4,COUNTIF(CAPA3_EXPANSION!$D$56:AB$56,"&gt;="&amp;16)))*CAPA3_EXPANSION!AB$36)</f>
        <v>0</v>
      </c>
      <c r="AC23" s="88">
        <f>IF(COUNTIF(CAPA3_EXPANSION!$D$56:AC$56,"&gt;="&amp;16)=0,0,SUP_CONTROL!$C$8*IF($B23="V",1,IF($B23="D",(1+SUP_VOLUMEN!$C$26),(1+SUP_VOLUMEN!$C$27)))*INDEX(SUP_C3_EXPANSION!$C$6:$F$6,MIN(4,COUNTIF(CAPA3_EXPANSION!$D$56:AC$56,"&gt;="&amp;16)))*CAPA3_EXPANSION!AC$36)</f>
        <v>0</v>
      </c>
      <c r="AD23" s="88">
        <f>IF(COUNTIF(CAPA3_EXPANSION!$D$56:AD$56,"&gt;="&amp;16)=0,0,SUP_CONTROL!$C$8*IF($B23="V",1,IF($B23="D",(1+SUP_VOLUMEN!$C$26),(1+SUP_VOLUMEN!$C$27)))*INDEX(SUP_C3_EXPANSION!$C$6:$F$6,MIN(4,COUNTIF(CAPA3_EXPANSION!$D$56:AD$56,"&gt;="&amp;16)))*CAPA3_EXPANSION!AD$36)</f>
        <v>0</v>
      </c>
      <c r="AE23" s="88">
        <f>IF(COUNTIF(CAPA3_EXPANSION!$D$56:AE$56,"&gt;="&amp;16)=0,0,SUP_CONTROL!$C$8*IF($B23="V",1,IF($B23="D",(1+SUP_VOLUMEN!$C$26),(1+SUP_VOLUMEN!$C$27)))*INDEX(SUP_C3_EXPANSION!$C$6:$F$6,MIN(4,COUNTIF(CAPA3_EXPANSION!$D$56:AE$56,"&gt;="&amp;16)))*CAPA3_EXPANSION!AE$36)</f>
        <v>0</v>
      </c>
      <c r="AF23" s="88">
        <f>IF(COUNTIF(CAPA3_EXPANSION!$D$56:AF$56,"&gt;="&amp;16)=0,0,SUP_CONTROL!$C$8*IF($B23="V",1,IF($B23="D",(1+SUP_VOLUMEN!$C$26),(1+SUP_VOLUMEN!$C$27)))*INDEX(SUP_C3_EXPANSION!$C$6:$F$6,MIN(4,COUNTIF(CAPA3_EXPANSION!$D$56:AF$56,"&gt;="&amp;16)))*CAPA3_EXPANSION!AF$36)</f>
        <v>0</v>
      </c>
      <c r="AG23" s="88">
        <f>IF(COUNTIF(CAPA3_EXPANSION!$D$56:AG$56,"&gt;="&amp;16)=0,0,SUP_CONTROL!$C$8*IF($B23="V",1,IF($B23="D",(1+SUP_VOLUMEN!$C$26),(1+SUP_VOLUMEN!$C$27)))*INDEX(SUP_C3_EXPANSION!$C$6:$F$6,MIN(4,COUNTIF(CAPA3_EXPANSION!$D$56:AG$56,"&gt;="&amp;16)))*CAPA3_EXPANSION!AG$36)</f>
        <v>0</v>
      </c>
      <c r="AH23" s="88">
        <f>IF(COUNTIF(CAPA3_EXPANSION!$D$56:AH$56,"&gt;="&amp;16)=0,0,SUP_CONTROL!$C$8*IF($B23="V",1,IF($B23="D",(1+SUP_VOLUMEN!$C$26),(1+SUP_VOLUMEN!$C$27)))*INDEX(SUP_C3_EXPANSION!$C$6:$F$6,MIN(4,COUNTIF(CAPA3_EXPANSION!$D$56:AH$56,"&gt;="&amp;16)))*CAPA3_EXPANSION!AH$36)</f>
        <v>0</v>
      </c>
      <c r="AI23" s="88">
        <f>IF(COUNTIF(CAPA3_EXPANSION!$D$56:AI$56,"&gt;="&amp;16)=0,0,SUP_CONTROL!$C$8*IF($B23="V",1,IF($B23="D",(1+SUP_VOLUMEN!$C$26),(1+SUP_VOLUMEN!$C$27)))*INDEX(SUP_C3_EXPANSION!$C$6:$F$6,MIN(4,COUNTIF(CAPA3_EXPANSION!$D$56:AI$56,"&gt;="&amp;16)))*CAPA3_EXPANSION!AI$36)</f>
        <v>0</v>
      </c>
      <c r="AJ23" s="88">
        <f>IF(COUNTIF(CAPA3_EXPANSION!$D$56:AJ$56,"&gt;="&amp;16)=0,0,SUP_CONTROL!$C$8*IF($B23="V",1,IF($B23="D",(1+SUP_VOLUMEN!$C$26),(1+SUP_VOLUMEN!$C$27)))*INDEX(SUP_C3_EXPANSION!$C$6:$F$6,MIN(4,COUNTIF(CAPA3_EXPANSION!$D$56:AJ$56,"&gt;="&amp;16)))*CAPA3_EXPANSION!AJ$36)</f>
        <v>0</v>
      </c>
      <c r="AK23" s="88">
        <f>IF(COUNTIF(CAPA3_EXPANSION!$D$56:AK$56,"&gt;="&amp;16)=0,0,SUP_CONTROL!$C$8*IF($B23="V",1,IF($B23="D",(1+SUP_VOLUMEN!$C$26),(1+SUP_VOLUMEN!$C$27)))*INDEX(SUP_C3_EXPANSION!$C$6:$F$6,MIN(4,COUNTIF(CAPA3_EXPANSION!$D$56:AK$56,"&gt;="&amp;16)))*CAPA3_EXPANSION!AK$36)</f>
        <v>0</v>
      </c>
      <c r="AL23" s="88">
        <f>IF(COUNTIF(CAPA3_EXPANSION!$D$56:AL$56,"&gt;="&amp;16)=0,0,SUP_CONTROL!$C$8*IF($B23="V",1,IF($B23="D",(1+SUP_VOLUMEN!$C$26),(1+SUP_VOLUMEN!$C$27)))*INDEX(SUP_C3_EXPANSION!$C$6:$F$6,MIN(4,COUNTIF(CAPA3_EXPANSION!$D$56:AL$56,"&gt;="&amp;16)))*CAPA3_EXPANSION!AL$36)</f>
        <v>0</v>
      </c>
      <c r="AM23" s="88">
        <f>IF(COUNTIF(CAPA3_EXPANSION!$D$56:AM$56,"&gt;="&amp;16)=0,0,SUP_CONTROL!$C$8*IF($B23="V",1,IF($B23="D",(1+SUP_VOLUMEN!$C$26),(1+SUP_VOLUMEN!$C$27)))*INDEX(SUP_C3_EXPANSION!$C$6:$F$6,MIN(4,COUNTIF(CAPA3_EXPANSION!$D$56:AM$56,"&gt;="&amp;16)))*CAPA3_EXPANSION!AM$36)</f>
        <v>0</v>
      </c>
      <c r="AN23" s="88">
        <f>IF(COUNTIF(CAPA3_EXPANSION!$D$56:AN$56,"&gt;="&amp;16)=0,0,SUP_CONTROL!$C$8*IF($B23="V",1,IF($B23="D",(1+SUP_VOLUMEN!$C$26),(1+SUP_VOLUMEN!$C$27)))*INDEX(SUP_C3_EXPANSION!$C$6:$F$6,MIN(4,COUNTIF(CAPA3_EXPANSION!$D$56:AN$56,"&gt;="&amp;16)))*CAPA3_EXPANSION!AN$36)</f>
        <v>0</v>
      </c>
      <c r="AO23" s="88">
        <f>IF(COUNTIF(CAPA3_EXPANSION!$D$56:AO$56,"&gt;="&amp;16)=0,0,SUP_CONTROL!$C$8*IF($B23="V",1,IF($B23="D",(1+SUP_VOLUMEN!$C$26),(1+SUP_VOLUMEN!$C$27)))*INDEX(SUP_C3_EXPANSION!$C$6:$F$6,MIN(4,COUNTIF(CAPA3_EXPANSION!$D$56:AO$56,"&gt;="&amp;16)))*CAPA3_EXPANSION!AO$36)</f>
        <v>0</v>
      </c>
      <c r="AP23" s="88">
        <f>IF(COUNTIF(CAPA3_EXPANSION!$D$56:AP$56,"&gt;="&amp;16)=0,0,SUP_CONTROL!$C$8*IF($B23="V",1,IF($B23="D",(1+SUP_VOLUMEN!$C$26),(1+SUP_VOLUMEN!$C$27)))*INDEX(SUP_C3_EXPANSION!$C$6:$F$6,MIN(4,COUNTIF(CAPA3_EXPANSION!$D$56:AP$56,"&gt;="&amp;16)))*CAPA3_EXPANSION!AP$36)</f>
        <v>0</v>
      </c>
      <c r="AQ23" s="88">
        <f>IF(COUNTIF(CAPA3_EXPANSION!$D$56:AQ$56,"&gt;="&amp;16)=0,0,SUP_CONTROL!$C$8*IF($B23="V",1,IF($B23="D",(1+SUP_VOLUMEN!$C$26),(1+SUP_VOLUMEN!$C$27)))*INDEX(SUP_C3_EXPANSION!$C$6:$F$6,MIN(4,COUNTIF(CAPA3_EXPANSION!$D$56:AQ$56,"&gt;="&amp;16)))*CAPA3_EXPANSION!AQ$36)</f>
        <v>0</v>
      </c>
      <c r="AR23" s="88">
        <f>IF(COUNTIF(CAPA3_EXPANSION!$D$56:AR$56,"&gt;="&amp;16)=0,0,SUP_CONTROL!$C$8*IF($B23="V",1,IF($B23="D",(1+SUP_VOLUMEN!$C$26),(1+SUP_VOLUMEN!$C$27)))*INDEX(SUP_C3_EXPANSION!$C$6:$F$6,MIN(4,COUNTIF(CAPA3_EXPANSION!$D$56:AR$56,"&gt;="&amp;16)))*CAPA3_EXPANSION!AR$36)</f>
        <v>0</v>
      </c>
      <c r="AS23" s="88">
        <f>IF(COUNTIF(CAPA3_EXPANSION!$D$56:AS$56,"&gt;="&amp;16)=0,0,SUP_CONTROL!$C$8*IF($B23="V",1,IF($B23="D",(1+SUP_VOLUMEN!$C$26),(1+SUP_VOLUMEN!$C$27)))*INDEX(SUP_C3_EXPANSION!$C$6:$F$6,MIN(4,COUNTIF(CAPA3_EXPANSION!$D$56:AS$56,"&gt;="&amp;16)))*CAPA3_EXPANSION!AS$36)</f>
        <v>0</v>
      </c>
      <c r="AT23" s="88">
        <f>IF(COUNTIF(CAPA3_EXPANSION!$D$56:AT$56,"&gt;="&amp;16)=0,0,SUP_CONTROL!$C$8*IF($B23="V",1,IF($B23="D",(1+SUP_VOLUMEN!$C$26),(1+SUP_VOLUMEN!$C$27)))*INDEX(SUP_C3_EXPANSION!$C$6:$F$6,MIN(4,COUNTIF(CAPA3_EXPANSION!$D$56:AT$56,"&gt;="&amp;16)))*CAPA3_EXPANSION!AT$36)</f>
        <v>0</v>
      </c>
      <c r="AU23" s="88">
        <f>IF(COUNTIF(CAPA3_EXPANSION!$D$56:AU$56,"&gt;="&amp;16)=0,0,SUP_CONTROL!$C$8*IF($B23="V",1,IF($B23="D",(1+SUP_VOLUMEN!$C$26),(1+SUP_VOLUMEN!$C$27)))*INDEX(SUP_C3_EXPANSION!$C$6:$F$6,MIN(4,COUNTIF(CAPA3_EXPANSION!$D$56:AU$56,"&gt;="&amp;16)))*CAPA3_EXPANSION!AU$36)</f>
        <v>0</v>
      </c>
      <c r="AV23" s="88">
        <f>IF(COUNTIF(CAPA3_EXPANSION!$D$56:AV$56,"&gt;="&amp;16)=0,0,SUP_CONTROL!$C$8*IF($B23="V",1,IF($B23="D",(1+SUP_VOLUMEN!$C$26),(1+SUP_VOLUMEN!$C$27)))*INDEX(SUP_C3_EXPANSION!$C$6:$F$6,MIN(4,COUNTIF(CAPA3_EXPANSION!$D$56:AV$56,"&gt;="&amp;16)))*CAPA3_EXPANSION!AV$36)</f>
        <v>0</v>
      </c>
      <c r="AW23" s="88">
        <f>IF(COUNTIF(CAPA3_EXPANSION!$D$56:AW$56,"&gt;="&amp;16)=0,0,SUP_CONTROL!$C$8*IF($B23="V",1,IF($B23="D",(1+SUP_VOLUMEN!$C$26),(1+SUP_VOLUMEN!$C$27)))*INDEX(SUP_C3_EXPANSION!$C$6:$F$6,MIN(4,COUNTIF(CAPA3_EXPANSION!$D$56:AW$56,"&gt;="&amp;16)))*CAPA3_EXPANSION!AW$36)</f>
        <v>0</v>
      </c>
      <c r="AX23" s="88">
        <f>IF(COUNTIF(CAPA3_EXPANSION!$D$56:AX$56,"&gt;="&amp;16)=0,0,SUP_CONTROL!$C$8*IF($B23="V",1,IF($B23="D",(1+SUP_VOLUMEN!$C$26),(1+SUP_VOLUMEN!$C$27)))*INDEX(SUP_C3_EXPANSION!$C$6:$F$6,MIN(4,COUNTIF(CAPA3_EXPANSION!$D$56:AX$56,"&gt;="&amp;16)))*CAPA3_EXPANSION!AX$36)</f>
        <v>0</v>
      </c>
      <c r="AY23" s="88">
        <f>IF(COUNTIF(CAPA3_EXPANSION!$D$56:AY$56,"&gt;="&amp;16)=0,0,SUP_CONTROL!$C$8*IF($B23="V",1,IF($B23="D",(1+SUP_VOLUMEN!$C$26),(1+SUP_VOLUMEN!$C$27)))*INDEX(SUP_C3_EXPANSION!$C$6:$F$6,MIN(4,COUNTIF(CAPA3_EXPANSION!$D$56:AY$56,"&gt;="&amp;16)))*CAPA3_EXPANSION!AY$36)</f>
        <v>0</v>
      </c>
      <c r="AZ23" s="88">
        <f>IF(COUNTIF(CAPA3_EXPANSION!$D$56:AZ$56,"&gt;="&amp;16)=0,0,SUP_CONTROL!$C$8*IF($B23="V",1,IF($B23="D",(1+SUP_VOLUMEN!$C$26),(1+SUP_VOLUMEN!$C$27)))*INDEX(SUP_C3_EXPANSION!$C$6:$F$6,MIN(4,COUNTIF(CAPA3_EXPANSION!$D$56:AZ$56,"&gt;="&amp;16)))*CAPA3_EXPANSION!AZ$36)</f>
        <v>0</v>
      </c>
      <c r="BA23" s="88">
        <f>IF(COUNTIF(CAPA3_EXPANSION!$D$56:BA$56,"&gt;="&amp;16)=0,0,SUP_CONTROL!$C$8*IF($B23="V",1,IF($B23="D",(1+SUP_VOLUMEN!$C$26),(1+SUP_VOLUMEN!$C$27)))*INDEX(SUP_C3_EXPANSION!$C$6:$F$6,MIN(4,COUNTIF(CAPA3_EXPANSION!$D$56:BA$56,"&gt;="&amp;16)))*CAPA3_EXPANSION!BA$36)</f>
        <v>0</v>
      </c>
      <c r="BB23" s="88">
        <f>IF(COUNTIF(CAPA3_EXPANSION!$D$56:BB$56,"&gt;="&amp;16)=0,0,SUP_CONTROL!$C$8*IF($B23="V",1,IF($B23="D",(1+SUP_VOLUMEN!$C$26),(1+SUP_VOLUMEN!$C$27)))*INDEX(SUP_C3_EXPANSION!$C$6:$F$6,MIN(4,COUNTIF(CAPA3_EXPANSION!$D$56:BB$56,"&gt;="&amp;16)))*CAPA3_EXPANSION!BB$36)</f>
        <v>0</v>
      </c>
      <c r="BC23" s="88">
        <f>IF(COUNTIF(CAPA3_EXPANSION!$D$56:BC$56,"&gt;="&amp;16)=0,0,SUP_CONTROL!$C$8*IF($B23="V",1,IF($B23="D",(1+SUP_VOLUMEN!$C$26),(1+SUP_VOLUMEN!$C$27)))*INDEX(SUP_C3_EXPANSION!$C$6:$F$6,MIN(4,COUNTIF(CAPA3_EXPANSION!$D$56:BC$56,"&gt;="&amp;16)))*CAPA3_EXPANSION!BC$36)</f>
        <v>0</v>
      </c>
      <c r="BD23" s="88">
        <f>IF(COUNTIF(CAPA3_EXPANSION!$D$56:BD$56,"&gt;="&amp;16)=0,0,SUP_CONTROL!$C$8*IF($B23="V",1,IF($B23="D",(1+SUP_VOLUMEN!$C$26),(1+SUP_VOLUMEN!$C$27)))*INDEX(SUP_C3_EXPANSION!$C$6:$F$6,MIN(4,COUNTIF(CAPA3_EXPANSION!$D$56:BD$56,"&gt;="&amp;16)))*CAPA3_EXPANSION!BD$36)</f>
        <v>0</v>
      </c>
      <c r="BE23" s="88">
        <f>IF(COUNTIF(CAPA3_EXPANSION!$D$56:BE$56,"&gt;="&amp;16)=0,0,SUP_CONTROL!$C$8*IF($B23="V",1,IF($B23="D",(1+SUP_VOLUMEN!$C$26),(1+SUP_VOLUMEN!$C$27)))*INDEX(SUP_C3_EXPANSION!$C$6:$F$6,MIN(4,COUNTIF(CAPA3_EXPANSION!$D$56:BE$56,"&gt;="&amp;16)))*CAPA3_EXPANSION!BE$36)</f>
        <v>2013.4660000000003</v>
      </c>
      <c r="BF23" s="88">
        <f>IF(COUNTIF(CAPA3_EXPANSION!$D$56:BF$56,"&gt;="&amp;16)=0,0,SUP_CONTROL!$C$8*IF($B23="V",1,IF($B23="D",(1+SUP_VOLUMEN!$C$26),(1+SUP_VOLUMEN!$C$27)))*INDEX(SUP_C3_EXPANSION!$C$6:$F$6,MIN(4,COUNTIF(CAPA3_EXPANSION!$D$56:BF$56,"&gt;="&amp;16)))*CAPA3_EXPANSION!BF$36)</f>
        <v>2424.2400000000002</v>
      </c>
      <c r="BG23" s="88">
        <f>IF(COUNTIF(CAPA3_EXPANSION!$D$56:BG$56,"&gt;="&amp;16)=0,0,SUP_CONTROL!$C$8*IF($B23="V",1,IF($B23="D",(1+SUP_VOLUMEN!$C$26),(1+SUP_VOLUMEN!$C$27)))*INDEX(SUP_C3_EXPANSION!$C$6:$F$6,MIN(4,COUNTIF(CAPA3_EXPANSION!$D$56:BG$56,"&gt;="&amp;16)))*CAPA3_EXPANSION!BG$36)</f>
        <v>2727.2700000000004</v>
      </c>
      <c r="BH23" s="88">
        <f>IF(COUNTIF(CAPA3_EXPANSION!$D$56:BH$56,"&gt;="&amp;16)=0,0,SUP_CONTROL!$C$8*IF($B23="V",1,IF($B23="D",(1+SUP_VOLUMEN!$C$26),(1+SUP_VOLUMEN!$C$27)))*INDEX(SUP_C3_EXPANSION!$C$6:$F$6,MIN(4,COUNTIF(CAPA3_EXPANSION!$D$56:BH$56,"&gt;="&amp;16)))*CAPA3_EXPANSION!BH$36)</f>
        <v>3030.3</v>
      </c>
      <c r="BI23" s="88">
        <f>IF(COUNTIF(CAPA3_EXPANSION!$D$56:BI$56,"&gt;="&amp;16)=0,0,SUP_CONTROL!$C$8*IF($B23="V",1,IF($B23="D",(1+SUP_VOLUMEN!$C$26),(1+SUP_VOLUMEN!$C$27)))*INDEX(SUP_C3_EXPANSION!$C$6:$F$6,MIN(4,COUNTIF(CAPA3_EXPANSION!$D$56:BI$56,"&gt;="&amp;16)))*CAPA3_EXPANSION!BI$36)</f>
        <v>3030.3</v>
      </c>
      <c r="BJ23" s="88">
        <f>IF(COUNTIF(CAPA3_EXPANSION!$D$56:BJ$56,"&gt;="&amp;16)=0,0,SUP_CONTROL!$C$8*IF($B23="V",1,IF($B23="D",(1+SUP_VOLUMEN!$C$26),(1+SUP_VOLUMEN!$C$27)))*INDEX(SUP_C3_EXPANSION!$C$6:$F$6,MIN(4,COUNTIF(CAPA3_EXPANSION!$D$56:BJ$56,"&gt;="&amp;16)))*CAPA3_EXPANSION!BJ$36)</f>
        <v>3030.3</v>
      </c>
      <c r="BK23" s="88">
        <f>IF(COUNTIF(CAPA3_EXPANSION!$D$56:BK$56,"&gt;="&amp;16)=0,0,SUP_CONTROL!$C$8*IF($B23="V",1,IF($B23="D",(1+SUP_VOLUMEN!$C$26),(1+SUP_VOLUMEN!$C$27)))*INDEX(SUP_C3_EXPANSION!$C$6:$F$6,MIN(4,COUNTIF(CAPA3_EXPANSION!$D$56:BK$56,"&gt;="&amp;16)))*CAPA3_EXPANSION!BK$36)</f>
        <v>2962.96</v>
      </c>
      <c r="BL23" s="88">
        <f>IF(COUNTIF(CAPA3_EXPANSION!$D$56:BL$56,"&gt;="&amp;16)=0,0,SUP_CONTROL!$C$8*IF($B23="V",1,IF($B23="D",(1+SUP_VOLUMEN!$C$26),(1+SUP_VOLUMEN!$C$27)))*INDEX(SUP_C3_EXPANSION!$C$6:$F$6,MIN(4,COUNTIF(CAPA3_EXPANSION!$D$56:BL$56,"&gt;="&amp;16)))*CAPA3_EXPANSION!BL$36)</f>
        <v>2962.96</v>
      </c>
      <c r="BM23" s="88">
        <f>IF(COUNTIF(CAPA3_EXPANSION!$D$56:BM$56,"&gt;="&amp;16)=0,0,SUP_CONTROL!$C$8*IF($B23="V",1,IF($B23="D",(1+SUP_VOLUMEN!$C$26),(1+SUP_VOLUMEN!$C$27)))*INDEX(SUP_C3_EXPANSION!$C$6:$F$6,MIN(4,COUNTIF(CAPA3_EXPANSION!$D$56:BM$56,"&gt;="&amp;16)))*CAPA3_EXPANSION!BM$36)</f>
        <v>2962.96</v>
      </c>
      <c r="BN23" s="88">
        <f>IF(COUNTIF(CAPA3_EXPANSION!$D$56:BN$56,"&gt;="&amp;16)=0,0,SUP_CONTROL!$C$8*IF($B23="V",1,IF($B23="D",(1+SUP_VOLUMEN!$C$26),(1+SUP_VOLUMEN!$C$27)))*INDEX(SUP_C3_EXPANSION!$C$6:$F$6,MIN(4,COUNTIF(CAPA3_EXPANSION!$D$56:BN$56,"&gt;="&amp;16)))*CAPA3_EXPANSION!BN$36)</f>
        <v>2962.96</v>
      </c>
      <c r="BO23" s="88">
        <f>IF(COUNTIF(CAPA3_EXPANSION!$D$56:BO$56,"&gt;="&amp;16)=0,0,SUP_CONTROL!$C$8*IF($B23="V",1,IF($B23="D",(1+SUP_VOLUMEN!$C$26),(1+SUP_VOLUMEN!$C$27)))*INDEX(SUP_C3_EXPANSION!$C$6:$F$6,MIN(4,COUNTIF(CAPA3_EXPANSION!$D$56:BO$56,"&gt;="&amp;16)))*CAPA3_EXPANSION!BO$36)</f>
        <v>2962.96</v>
      </c>
      <c r="BP23" s="88">
        <f>IF(COUNTIF(CAPA3_EXPANSION!$D$56:BP$56,"&gt;="&amp;16)=0,0,SUP_CONTROL!$C$8*IF($B23="V",1,IF($B23="D",(1+SUP_VOLUMEN!$C$26),(1+SUP_VOLUMEN!$C$27)))*INDEX(SUP_C3_EXPANSION!$C$6:$F$6,MIN(4,COUNTIF(CAPA3_EXPANSION!$D$56:BP$56,"&gt;="&amp;16)))*CAPA3_EXPANSION!BP$36)</f>
        <v>2912.4549999999999</v>
      </c>
      <c r="BQ23" s="88">
        <f>IF(COUNTIF(CAPA3_EXPANSION!$D$56:BQ$56,"&gt;="&amp;16)=0,0,SUP_CONTROL!$C$8*IF($B23="V",1,IF($B23="D",(1+SUP_VOLUMEN!$C$26),(1+SUP_VOLUMEN!$C$27)))*INDEX(SUP_C3_EXPANSION!$C$6:$F$6,MIN(4,COUNTIF(CAPA3_EXPANSION!$D$56:BQ$56,"&gt;="&amp;16)))*CAPA3_EXPANSION!BQ$36)</f>
        <v>2912.4549999999999</v>
      </c>
      <c r="BR23" s="88">
        <f>IF(COUNTIF(CAPA3_EXPANSION!$D$56:BR$56,"&gt;="&amp;16)=0,0,SUP_CONTROL!$C$8*IF($B23="V",1,IF($B23="D",(1+SUP_VOLUMEN!$C$26),(1+SUP_VOLUMEN!$C$27)))*INDEX(SUP_C3_EXPANSION!$C$6:$F$6,MIN(4,COUNTIF(CAPA3_EXPANSION!$D$56:BR$56,"&gt;="&amp;16)))*CAPA3_EXPANSION!BR$36)</f>
        <v>2912.4549999999999</v>
      </c>
      <c r="BS23" s="88">
        <f>IF(COUNTIF(CAPA3_EXPANSION!$D$56:BS$56,"&gt;="&amp;16)=0,0,SUP_CONTROL!$C$8*IF($B23="V",1,IF($B23="D",(1+SUP_VOLUMEN!$C$26),(1+SUP_VOLUMEN!$C$27)))*INDEX(SUP_C3_EXPANSION!$C$6:$F$6,MIN(4,COUNTIF(CAPA3_EXPANSION!$D$56:BS$56,"&gt;="&amp;16)))*CAPA3_EXPANSION!BS$36)</f>
        <v>2912.4549999999999</v>
      </c>
      <c r="BT23" s="88">
        <f>IF(COUNTIF(CAPA3_EXPANSION!$D$56:BT$56,"&gt;="&amp;16)=0,0,SUP_CONTROL!$C$8*IF($B23="V",1,IF($B23="D",(1+SUP_VOLUMEN!$C$26),(1+SUP_VOLUMEN!$C$27)))*INDEX(SUP_C3_EXPANSION!$C$6:$F$6,MIN(4,COUNTIF(CAPA3_EXPANSION!$D$56:BT$56,"&gt;="&amp;16)))*CAPA3_EXPANSION!BT$36)</f>
        <v>2912.4549999999999</v>
      </c>
      <c r="BU23" s="88">
        <f>IF(COUNTIF(CAPA3_EXPANSION!$D$56:BU$56,"&gt;="&amp;16)=0,0,SUP_CONTROL!$C$8*IF($B23="V",1,IF($B23="D",(1+SUP_VOLUMEN!$C$26),(1+SUP_VOLUMEN!$C$27)))*INDEX(SUP_C3_EXPANSION!$C$6:$F$6,MIN(4,COUNTIF(CAPA3_EXPANSION!$D$56:BU$56,"&gt;="&amp;16)))*CAPA3_EXPANSION!BU$36)</f>
        <v>2861.95</v>
      </c>
      <c r="BV23" s="88">
        <f>IF(COUNTIF(CAPA3_EXPANSION!$D$56:BV$56,"&gt;="&amp;16)=0,0,SUP_CONTROL!$C$8*IF($B23="V",1,IF($B23="D",(1+SUP_VOLUMEN!$C$26),(1+SUP_VOLUMEN!$C$27)))*INDEX(SUP_C3_EXPANSION!$C$6:$F$6,MIN(4,COUNTIF(CAPA3_EXPANSION!$D$56:BV$56,"&gt;="&amp;16)))*CAPA3_EXPANSION!BV$36)</f>
        <v>2861.95</v>
      </c>
      <c r="BW23" s="88">
        <f>IF(COUNTIF(CAPA3_EXPANSION!$D$56:BW$56,"&gt;="&amp;16)=0,0,SUP_CONTROL!$C$8*IF($B23="V",1,IF($B23="D",(1+SUP_VOLUMEN!$C$26),(1+SUP_VOLUMEN!$C$27)))*INDEX(SUP_C3_EXPANSION!$C$6:$F$6,MIN(4,COUNTIF(CAPA3_EXPANSION!$D$56:BW$56,"&gt;="&amp;16)))*CAPA3_EXPANSION!BW$36)</f>
        <v>2861.95</v>
      </c>
      <c r="BX23" s="88">
        <f>IF(COUNTIF(CAPA3_EXPANSION!$D$56:BX$56,"&gt;="&amp;16)=0,0,SUP_CONTROL!$C$8*IF($B23="V",1,IF($B23="D",(1+SUP_VOLUMEN!$C$26),(1+SUP_VOLUMEN!$C$27)))*INDEX(SUP_C3_EXPANSION!$C$6:$F$6,MIN(4,COUNTIF(CAPA3_EXPANSION!$D$56:BX$56,"&gt;="&amp;16)))*CAPA3_EXPANSION!BX$36)</f>
        <v>2861.95</v>
      </c>
      <c r="BY23" s="88">
        <f>IF(COUNTIF(CAPA3_EXPANSION!$D$56:BY$56,"&gt;="&amp;16)=0,0,SUP_CONTROL!$C$8*IF($B23="V",1,IF($B23="D",(1+SUP_VOLUMEN!$C$26),(1+SUP_VOLUMEN!$C$27)))*INDEX(SUP_C3_EXPANSION!$C$6:$F$6,MIN(4,COUNTIF(CAPA3_EXPANSION!$D$56:BY$56,"&gt;="&amp;16)))*CAPA3_EXPANSION!BY$36)</f>
        <v>2861.95</v>
      </c>
      <c r="BZ23" s="88">
        <f>IF(COUNTIF(CAPA3_EXPANSION!$D$56:BZ$56,"&gt;="&amp;16)=0,0,SUP_CONTROL!$C$8*IF($B23="V",1,IF($B23="D",(1+SUP_VOLUMEN!$C$26),(1+SUP_VOLUMEN!$C$27)))*INDEX(SUP_C3_EXPANSION!$C$6:$F$6,MIN(4,COUNTIF(CAPA3_EXPANSION!$D$56:BZ$56,"&gt;="&amp;16)))*CAPA3_EXPANSION!BZ$36)</f>
        <v>2828.2799999999997</v>
      </c>
      <c r="CA23" s="88">
        <f>IF(COUNTIF(CAPA3_EXPANSION!$D$56:CA$56,"&gt;="&amp;16)=0,0,SUP_CONTROL!$C$8*IF($B23="V",1,IF($B23="D",(1+SUP_VOLUMEN!$C$26),(1+SUP_VOLUMEN!$C$27)))*INDEX(SUP_C3_EXPANSION!$C$6:$F$6,MIN(4,COUNTIF(CAPA3_EXPANSION!$D$56:CA$56,"&gt;="&amp;16)))*CAPA3_EXPANSION!CA$36)</f>
        <v>2828.2799999999997</v>
      </c>
      <c r="CB23" s="88">
        <f>IF(COUNTIF(CAPA3_EXPANSION!$D$56:CB$56,"&gt;="&amp;16)=0,0,SUP_CONTROL!$C$8*IF($B23="V",1,IF($B23="D",(1+SUP_VOLUMEN!$C$26),(1+SUP_VOLUMEN!$C$27)))*INDEX(SUP_C3_EXPANSION!$C$6:$F$6,MIN(4,COUNTIF(CAPA3_EXPANSION!$D$56:CB$56,"&gt;="&amp;16)))*CAPA3_EXPANSION!CB$36)</f>
        <v>2828.2799999999997</v>
      </c>
      <c r="CC23" s="88">
        <f>IF(COUNTIF(CAPA3_EXPANSION!$D$56:CC$56,"&gt;="&amp;16)=0,0,SUP_CONTROL!$C$8*IF($B23="V",1,IF($B23="D",(1+SUP_VOLUMEN!$C$26),(1+SUP_VOLUMEN!$C$27)))*INDEX(SUP_C3_EXPANSION!$C$6:$F$6,MIN(4,COUNTIF(CAPA3_EXPANSION!$D$56:CC$56,"&gt;="&amp;16)))*CAPA3_EXPANSION!CC$36)</f>
        <v>2828.2799999999997</v>
      </c>
      <c r="CD23" s="88">
        <f>IF(COUNTIF(CAPA3_EXPANSION!$D$56:CD$56,"&gt;="&amp;16)=0,0,SUP_CONTROL!$C$8*IF($B23="V",1,IF($B23="D",(1+SUP_VOLUMEN!$C$26),(1+SUP_VOLUMEN!$C$27)))*INDEX(SUP_C3_EXPANSION!$C$6:$F$6,MIN(4,COUNTIF(CAPA3_EXPANSION!$D$56:CD$56,"&gt;="&amp;16)))*CAPA3_EXPANSION!CD$36)</f>
        <v>2828.2799999999997</v>
      </c>
      <c r="CE23" s="88">
        <f>IF(COUNTIF(CAPA3_EXPANSION!$D$56:CE$56,"&gt;="&amp;16)=0,0,SUP_CONTROL!$C$8*IF($B23="V",1,IF($B23="D",(1+SUP_VOLUMEN!$C$26),(1+SUP_VOLUMEN!$C$27)))*INDEX(SUP_C3_EXPANSION!$C$6:$F$6,MIN(4,COUNTIF(CAPA3_EXPANSION!$D$56:CE$56,"&gt;="&amp;16)))*CAPA3_EXPANSION!CE$36)</f>
        <v>2828.2799999999997</v>
      </c>
      <c r="CF23" s="88">
        <f>IF(COUNTIF(CAPA3_EXPANSION!$D$56:CF$56,"&gt;="&amp;16)=0,0,SUP_CONTROL!$C$8*IF($B23="V",1,IF($B23="D",(1+SUP_VOLUMEN!$C$26),(1+SUP_VOLUMEN!$C$27)))*INDEX(SUP_C3_EXPANSION!$C$6:$F$6,MIN(4,COUNTIF(CAPA3_EXPANSION!$D$56:CF$56,"&gt;="&amp;16)))*CAPA3_EXPANSION!CF$36)</f>
        <v>2828.2799999999997</v>
      </c>
      <c r="CG23" s="88">
        <f>IF(COUNTIF(CAPA3_EXPANSION!$D$56:CG$56,"&gt;="&amp;16)=0,0,SUP_CONTROL!$C$8*IF($B23="V",1,IF($B23="D",(1+SUP_VOLUMEN!$C$26),(1+SUP_VOLUMEN!$C$27)))*INDEX(SUP_C3_EXPANSION!$C$6:$F$6,MIN(4,COUNTIF(CAPA3_EXPANSION!$D$56:CG$56,"&gt;="&amp;16)))*CAPA3_EXPANSION!CG$36)</f>
        <v>2828.2799999999997</v>
      </c>
      <c r="CH23" s="88">
        <f>IF(COUNTIF(CAPA3_EXPANSION!$D$56:CH$56,"&gt;="&amp;16)=0,0,SUP_CONTROL!$C$8*IF($B23="V",1,IF($B23="D",(1+SUP_VOLUMEN!$C$26),(1+SUP_VOLUMEN!$C$27)))*INDEX(SUP_C3_EXPANSION!$C$6:$F$6,MIN(4,COUNTIF(CAPA3_EXPANSION!$D$56:CH$56,"&gt;="&amp;16)))*CAPA3_EXPANSION!CH$36)</f>
        <v>2828.2799999999997</v>
      </c>
      <c r="CI23" s="88">
        <f>IF(COUNTIF(CAPA3_EXPANSION!$D$56:CI$56,"&gt;="&amp;16)=0,0,SUP_CONTROL!$C$8*IF($B23="V",1,IF($B23="D",(1+SUP_VOLUMEN!$C$26),(1+SUP_VOLUMEN!$C$27)))*INDEX(SUP_C3_EXPANSION!$C$6:$F$6,MIN(4,COUNTIF(CAPA3_EXPANSION!$D$56:CI$56,"&gt;="&amp;16)))*CAPA3_EXPANSION!CI$36)</f>
        <v>2828.2799999999997</v>
      </c>
      <c r="CJ23" s="88">
        <f>IF(COUNTIF(CAPA3_EXPANSION!$D$56:CJ$56,"&gt;="&amp;16)=0,0,SUP_CONTROL!$C$8*IF($B23="V",1,IF($B23="D",(1+SUP_VOLUMEN!$C$26),(1+SUP_VOLUMEN!$C$27)))*INDEX(SUP_C3_EXPANSION!$C$6:$F$6,MIN(4,COUNTIF(CAPA3_EXPANSION!$D$56:CJ$56,"&gt;="&amp;16)))*CAPA3_EXPANSION!CJ$36)</f>
        <v>2828.2799999999997</v>
      </c>
      <c r="CK23" s="88">
        <f>IF(COUNTIF(CAPA3_EXPANSION!$D$56:CK$56,"&gt;="&amp;16)=0,0,SUP_CONTROL!$C$8*IF($B23="V",1,IF($B23="D",(1+SUP_VOLUMEN!$C$26),(1+SUP_VOLUMEN!$C$27)))*INDEX(SUP_C3_EXPANSION!$C$6:$F$6,MIN(4,COUNTIF(CAPA3_EXPANSION!$D$56:CK$56,"&gt;="&amp;16)))*CAPA3_EXPANSION!CK$36)</f>
        <v>2828.2799999999997</v>
      </c>
      <c r="CL23" s="88">
        <f>IF(COUNTIF(CAPA3_EXPANSION!$D$56:CL$56,"&gt;="&amp;16)=0,0,SUP_CONTROL!$C$8*IF($B23="V",1,IF($B23="D",(1+SUP_VOLUMEN!$C$26),(1+SUP_VOLUMEN!$C$27)))*INDEX(SUP_C3_EXPANSION!$C$6:$F$6,MIN(4,COUNTIF(CAPA3_EXPANSION!$D$56:CL$56,"&gt;="&amp;16)))*CAPA3_EXPANSION!CL$36)</f>
        <v>2828.2799999999997</v>
      </c>
      <c r="CM23" s="88">
        <f>IF(COUNTIF(CAPA3_EXPANSION!$D$56:CM$56,"&gt;="&amp;16)=0,0,SUP_CONTROL!$C$8*IF($B23="V",1,IF($B23="D",(1+SUP_VOLUMEN!$C$26),(1+SUP_VOLUMEN!$C$27)))*INDEX(SUP_C3_EXPANSION!$C$6:$F$6,MIN(4,COUNTIF(CAPA3_EXPANSION!$D$56:CM$56,"&gt;="&amp;16)))*CAPA3_EXPANSION!CM$36)</f>
        <v>2828.2799999999997</v>
      </c>
      <c r="CN23" s="88">
        <f>IF(COUNTIF(CAPA3_EXPANSION!$D$56:CN$56,"&gt;="&amp;16)=0,0,SUP_CONTROL!$C$8*IF($B23="V",1,IF($B23="D",(1+SUP_VOLUMEN!$C$26),(1+SUP_VOLUMEN!$C$27)))*INDEX(SUP_C3_EXPANSION!$C$6:$F$6,MIN(4,COUNTIF(CAPA3_EXPANSION!$D$56:CN$56,"&gt;="&amp;16)))*CAPA3_EXPANSION!CN$36)</f>
        <v>2828.2799999999997</v>
      </c>
      <c r="CO23" s="88">
        <f>IF(COUNTIF(CAPA3_EXPANSION!$D$56:CO$56,"&gt;="&amp;16)=0,0,SUP_CONTROL!$C$8*IF($B23="V",1,IF($B23="D",(1+SUP_VOLUMEN!$C$26),(1+SUP_VOLUMEN!$C$27)))*INDEX(SUP_C3_EXPANSION!$C$6:$F$6,MIN(4,COUNTIF(CAPA3_EXPANSION!$D$56:CO$56,"&gt;="&amp;16)))*CAPA3_EXPANSION!CO$36)</f>
        <v>2828.2799999999997</v>
      </c>
      <c r="CP23" s="88">
        <f>IF(COUNTIF(CAPA3_EXPANSION!$D$56:CP$56,"&gt;="&amp;16)=0,0,SUP_CONTROL!$C$8*IF($B23="V",1,IF($B23="D",(1+SUP_VOLUMEN!$C$26),(1+SUP_VOLUMEN!$C$27)))*INDEX(SUP_C3_EXPANSION!$C$6:$F$6,MIN(4,COUNTIF(CAPA3_EXPANSION!$D$56:CP$56,"&gt;="&amp;16)))*CAPA3_EXPANSION!CP$36)</f>
        <v>2828.2799999999997</v>
      </c>
      <c r="CQ23" s="88">
        <f>IF(COUNTIF(CAPA3_EXPANSION!$D$56:CQ$56,"&gt;="&amp;16)=0,0,SUP_CONTROL!$C$8*IF($B23="V",1,IF($B23="D",(1+SUP_VOLUMEN!$C$26),(1+SUP_VOLUMEN!$C$27)))*INDEX(SUP_C3_EXPANSION!$C$6:$F$6,MIN(4,COUNTIF(CAPA3_EXPANSION!$D$56:CQ$56,"&gt;="&amp;16)))*CAPA3_EXPANSION!CQ$36)</f>
        <v>2828.2799999999997</v>
      </c>
      <c r="CR23" s="88">
        <f>IF(COUNTIF(CAPA3_EXPANSION!$D$56:CR$56,"&gt;="&amp;16)=0,0,SUP_CONTROL!$C$8*IF($B23="V",1,IF($B23="D",(1+SUP_VOLUMEN!$C$26),(1+SUP_VOLUMEN!$C$27)))*INDEX(SUP_C3_EXPANSION!$C$6:$F$6,MIN(4,COUNTIF(CAPA3_EXPANSION!$D$56:CR$56,"&gt;="&amp;16)))*CAPA3_EXPANSION!CR$36)</f>
        <v>2828.2799999999997</v>
      </c>
      <c r="CS23" s="88">
        <f>IF(COUNTIF(CAPA3_EXPANSION!$D$56:CS$56,"&gt;="&amp;16)=0,0,SUP_CONTROL!$C$8*IF($B23="V",1,IF($B23="D",(1+SUP_VOLUMEN!$C$26),(1+SUP_VOLUMEN!$C$27)))*INDEX(SUP_C3_EXPANSION!$C$6:$F$6,MIN(4,COUNTIF(CAPA3_EXPANSION!$D$56:CS$56,"&gt;="&amp;16)))*CAPA3_EXPANSION!CS$36)</f>
        <v>2828.2799999999997</v>
      </c>
      <c r="CT23" s="88">
        <f>IF(COUNTIF(CAPA3_EXPANSION!$D$56:CT$56,"&gt;="&amp;16)=0,0,SUP_CONTROL!$C$8*IF($B23="V",1,IF($B23="D",(1+SUP_VOLUMEN!$C$26),(1+SUP_VOLUMEN!$C$27)))*INDEX(SUP_C3_EXPANSION!$C$6:$F$6,MIN(4,COUNTIF(CAPA3_EXPANSION!$D$56:CT$56,"&gt;="&amp;16)))*CAPA3_EXPANSION!CT$36)</f>
        <v>2828.2799999999997</v>
      </c>
      <c r="CU23" s="88">
        <f>IF(COUNTIF(CAPA3_EXPANSION!$D$56:CU$56,"&gt;="&amp;16)=0,0,SUP_CONTROL!$C$8*IF($B23="V",1,IF($B23="D",(1+SUP_VOLUMEN!$C$26),(1+SUP_VOLUMEN!$C$27)))*INDEX(SUP_C3_EXPANSION!$C$6:$F$6,MIN(4,COUNTIF(CAPA3_EXPANSION!$D$56:CU$56,"&gt;="&amp;16)))*CAPA3_EXPANSION!CU$36)</f>
        <v>2828.2799999999997</v>
      </c>
      <c r="CV23" s="88">
        <f>IF(COUNTIF(CAPA3_EXPANSION!$D$56:CV$56,"&gt;="&amp;16)=0,0,SUP_CONTROL!$C$8*IF($B23="V",1,IF($B23="D",(1+SUP_VOLUMEN!$C$26),(1+SUP_VOLUMEN!$C$27)))*INDEX(SUP_C3_EXPANSION!$C$6:$F$6,MIN(4,COUNTIF(CAPA3_EXPANSION!$D$56:CV$56,"&gt;="&amp;16)))*CAPA3_EXPANSION!CV$36)</f>
        <v>2828.2799999999997</v>
      </c>
      <c r="CW23" s="88">
        <f>IF(COUNTIF(CAPA3_EXPANSION!$D$56:CW$56,"&gt;="&amp;16)=0,0,SUP_CONTROL!$C$8*IF($B23="V",1,IF($B23="D",(1+SUP_VOLUMEN!$C$26),(1+SUP_VOLUMEN!$C$27)))*INDEX(SUP_C3_EXPANSION!$C$6:$F$6,MIN(4,COUNTIF(CAPA3_EXPANSION!$D$56:CW$56,"&gt;="&amp;16)))*CAPA3_EXPANSION!CW$36)</f>
        <v>2828.2799999999997</v>
      </c>
      <c r="CX23" s="88">
        <f>IF(COUNTIF(CAPA3_EXPANSION!$D$56:CX$56,"&gt;="&amp;16)=0,0,SUP_CONTROL!$C$8*IF($B23="V",1,IF($B23="D",(1+SUP_VOLUMEN!$C$26),(1+SUP_VOLUMEN!$C$27)))*INDEX(SUP_C3_EXPANSION!$C$6:$F$6,MIN(4,COUNTIF(CAPA3_EXPANSION!$D$56:CX$56,"&gt;="&amp;16)))*CAPA3_EXPANSION!CX$36)</f>
        <v>2828.2799999999997</v>
      </c>
      <c r="CY23" s="88">
        <f>IF(COUNTIF(CAPA3_EXPANSION!$D$56:CY$56,"&gt;="&amp;16)=0,0,SUP_CONTROL!$C$8*IF($B23="V",1,IF($B23="D",(1+SUP_VOLUMEN!$C$26),(1+SUP_VOLUMEN!$C$27)))*INDEX(SUP_C3_EXPANSION!$C$6:$F$6,MIN(4,COUNTIF(CAPA3_EXPANSION!$D$56:CY$56,"&gt;="&amp;16)))*CAPA3_EXPANSION!CY$36)</f>
        <v>2828.2799999999997</v>
      </c>
      <c r="CZ23" s="88">
        <f>IF(COUNTIF(CAPA3_EXPANSION!$D$56:CZ$56,"&gt;="&amp;16)=0,0,SUP_CONTROL!$C$8*IF($B23="V",1,IF($B23="D",(1+SUP_VOLUMEN!$C$26),(1+SUP_VOLUMEN!$C$27)))*INDEX(SUP_C3_EXPANSION!$C$6:$F$6,MIN(4,COUNTIF(CAPA3_EXPANSION!$D$56:CZ$56,"&gt;="&amp;16)))*CAPA3_EXPANSION!CZ$36)</f>
        <v>2828.2799999999997</v>
      </c>
      <c r="DA23" s="88">
        <f>IF(COUNTIF(CAPA3_EXPANSION!$D$56:DA$56,"&gt;="&amp;16)=0,0,SUP_CONTROL!$C$8*IF($B23="V",1,IF($B23="D",(1+SUP_VOLUMEN!$C$26),(1+SUP_VOLUMEN!$C$27)))*INDEX(SUP_C3_EXPANSION!$C$6:$F$6,MIN(4,COUNTIF(CAPA3_EXPANSION!$D$56:DA$56,"&gt;="&amp;16)))*CAPA3_EXPANSION!DA$36)</f>
        <v>2828.2799999999997</v>
      </c>
      <c r="DB23" s="88">
        <f>IF(COUNTIF(CAPA3_EXPANSION!$D$56:DB$56,"&gt;="&amp;16)=0,0,SUP_CONTROL!$C$8*IF($B23="V",1,IF($B23="D",(1+SUP_VOLUMEN!$C$26),(1+SUP_VOLUMEN!$C$27)))*INDEX(SUP_C3_EXPANSION!$C$6:$F$6,MIN(4,COUNTIF(CAPA3_EXPANSION!$D$56:DB$56,"&gt;="&amp;16)))*CAPA3_EXPANSION!DB$36)</f>
        <v>2828.2799999999997</v>
      </c>
      <c r="DC23" s="88">
        <f>IF(COUNTIF(CAPA3_EXPANSION!$D$56:DC$56,"&gt;="&amp;16)=0,0,SUP_CONTROL!$C$8*IF($B23="V",1,IF($B23="D",(1+SUP_VOLUMEN!$C$26),(1+SUP_VOLUMEN!$C$27)))*INDEX(SUP_C3_EXPANSION!$C$6:$F$6,MIN(4,COUNTIF(CAPA3_EXPANSION!$D$56:DC$56,"&gt;="&amp;16)))*CAPA3_EXPANSION!DC$36)</f>
        <v>2828.2799999999997</v>
      </c>
      <c r="DD23" s="88">
        <f>IF(COUNTIF(CAPA3_EXPANSION!$D$56:DD$56,"&gt;="&amp;16)=0,0,SUP_CONTROL!$C$8*IF($B23="V",1,IF($B23="D",(1+SUP_VOLUMEN!$C$26),(1+SUP_VOLUMEN!$C$27)))*INDEX(SUP_C3_EXPANSION!$C$6:$F$6,MIN(4,COUNTIF(CAPA3_EXPANSION!$D$56:DD$56,"&gt;="&amp;16)))*CAPA3_EXPANSION!DD$36)</f>
        <v>2828.2799999999997</v>
      </c>
      <c r="DE23" s="88">
        <f>IF(COUNTIF(CAPA3_EXPANSION!$D$56:DE$56,"&gt;="&amp;16)=0,0,SUP_CONTROL!$C$8*IF($B23="V",1,IF($B23="D",(1+SUP_VOLUMEN!$C$26),(1+SUP_VOLUMEN!$C$27)))*INDEX(SUP_C3_EXPANSION!$C$6:$F$6,MIN(4,COUNTIF(CAPA3_EXPANSION!$D$56:DE$56,"&gt;="&amp;16)))*CAPA3_EXPANSION!DE$36)</f>
        <v>2828.2799999999997</v>
      </c>
      <c r="DF23" s="88">
        <f>IF(COUNTIF(CAPA3_EXPANSION!$D$56:DF$56,"&gt;="&amp;16)=0,0,SUP_CONTROL!$C$8*IF($B23="V",1,IF($B23="D",(1+SUP_VOLUMEN!$C$26),(1+SUP_VOLUMEN!$C$27)))*INDEX(SUP_C3_EXPANSION!$C$6:$F$6,MIN(4,COUNTIF(CAPA3_EXPANSION!$D$56:DF$56,"&gt;="&amp;16)))*CAPA3_EXPANSION!DF$36)</f>
        <v>2828.2799999999997</v>
      </c>
      <c r="DG23" s="88">
        <f>IF(COUNTIF(CAPA3_EXPANSION!$D$56:DG$56,"&gt;="&amp;16)=0,0,SUP_CONTROL!$C$8*IF($B23="V",1,IF($B23="D",(1+SUP_VOLUMEN!$C$26),(1+SUP_VOLUMEN!$C$27)))*INDEX(SUP_C3_EXPANSION!$C$6:$F$6,MIN(4,COUNTIF(CAPA3_EXPANSION!$D$56:DG$56,"&gt;="&amp;16)))*CAPA3_EXPANSION!DG$36)</f>
        <v>2828.2799999999997</v>
      </c>
      <c r="DH23" s="88">
        <f>IF(COUNTIF(CAPA3_EXPANSION!$D$56:DH$56,"&gt;="&amp;16)=0,0,SUP_CONTROL!$C$8*IF($B23="V",1,IF($B23="D",(1+SUP_VOLUMEN!$C$26),(1+SUP_VOLUMEN!$C$27)))*INDEX(SUP_C3_EXPANSION!$C$6:$F$6,MIN(4,COUNTIF(CAPA3_EXPANSION!$D$56:DH$56,"&gt;="&amp;16)))*CAPA3_EXPANSION!DH$36)</f>
        <v>2828.2799999999997</v>
      </c>
      <c r="DI23" s="88">
        <f>IF(COUNTIF(CAPA3_EXPANSION!$D$56:DI$56,"&gt;="&amp;16)=0,0,SUP_CONTROL!$C$8*IF($B23="V",1,IF($B23="D",(1+SUP_VOLUMEN!$C$26),(1+SUP_VOLUMEN!$C$27)))*INDEX(SUP_C3_EXPANSION!$C$6:$F$6,MIN(4,COUNTIF(CAPA3_EXPANSION!$D$56:DI$56,"&gt;="&amp;16)))*CAPA3_EXPANSION!DI$36)</f>
        <v>2828.2799999999997</v>
      </c>
      <c r="DJ23" s="88">
        <f>IF(COUNTIF(CAPA3_EXPANSION!$D$56:DJ$56,"&gt;="&amp;16)=0,0,SUP_CONTROL!$C$8*IF($B23="V",1,IF($B23="D",(1+SUP_VOLUMEN!$C$26),(1+SUP_VOLUMEN!$C$27)))*INDEX(SUP_C3_EXPANSION!$C$6:$F$6,MIN(4,COUNTIF(CAPA3_EXPANSION!$D$56:DJ$56,"&gt;="&amp;16)))*CAPA3_EXPANSION!DJ$36)</f>
        <v>2828.2799999999997</v>
      </c>
      <c r="DK23" s="88">
        <f>IF(COUNTIF(CAPA3_EXPANSION!$D$56:DK$56,"&gt;="&amp;16)=0,0,SUP_CONTROL!$C$8*IF($B23="V",1,IF($B23="D",(1+SUP_VOLUMEN!$C$26),(1+SUP_VOLUMEN!$C$27)))*INDEX(SUP_C3_EXPANSION!$C$6:$F$6,MIN(4,COUNTIF(CAPA3_EXPANSION!$D$56:DK$56,"&gt;="&amp;16)))*CAPA3_EXPANSION!DK$36)</f>
        <v>2828.2799999999997</v>
      </c>
      <c r="DL23" s="88">
        <f>IF(COUNTIF(CAPA3_EXPANSION!$D$56:DL$56,"&gt;="&amp;16)=0,0,SUP_CONTROL!$C$8*IF($B23="V",1,IF($B23="D",(1+SUP_VOLUMEN!$C$26),(1+SUP_VOLUMEN!$C$27)))*INDEX(SUP_C3_EXPANSION!$C$6:$F$6,MIN(4,COUNTIF(CAPA3_EXPANSION!$D$56:DL$56,"&gt;="&amp;16)))*CAPA3_EXPANSION!DL$36)</f>
        <v>2828.2799999999997</v>
      </c>
      <c r="DM23" s="88">
        <f>IF(COUNTIF(CAPA3_EXPANSION!$D$56:DM$56,"&gt;="&amp;16)=0,0,SUP_CONTROL!$C$8*IF($B23="V",1,IF($B23="D",(1+SUP_VOLUMEN!$C$26),(1+SUP_VOLUMEN!$C$27)))*INDEX(SUP_C3_EXPANSION!$C$6:$F$6,MIN(4,COUNTIF(CAPA3_EXPANSION!$D$56:DM$56,"&gt;="&amp;16)))*CAPA3_EXPANSION!DM$36)</f>
        <v>2828.2799999999997</v>
      </c>
      <c r="DN23" s="88">
        <f>IF(COUNTIF(CAPA3_EXPANSION!$D$56:DN$56,"&gt;="&amp;16)=0,0,SUP_CONTROL!$C$8*IF($B23="V",1,IF($B23="D",(1+SUP_VOLUMEN!$C$26),(1+SUP_VOLUMEN!$C$27)))*INDEX(SUP_C3_EXPANSION!$C$6:$F$6,MIN(4,COUNTIF(CAPA3_EXPANSION!$D$56:DN$56,"&gt;="&amp;16)))*CAPA3_EXPANSION!DN$36)</f>
        <v>2828.2799999999997</v>
      </c>
      <c r="DO23" s="88">
        <f>IF(COUNTIF(CAPA3_EXPANSION!$D$56:DO$56,"&gt;="&amp;16)=0,0,SUP_CONTROL!$C$8*IF($B23="V",1,IF($B23="D",(1+SUP_VOLUMEN!$C$26),(1+SUP_VOLUMEN!$C$27)))*INDEX(SUP_C3_EXPANSION!$C$6:$F$6,MIN(4,COUNTIF(CAPA3_EXPANSION!$D$56:DO$56,"&gt;="&amp;16)))*CAPA3_EXPANSION!DO$36)</f>
        <v>2828.2799999999997</v>
      </c>
      <c r="DP23" s="88">
        <f>IF(COUNTIF(CAPA3_EXPANSION!$D$56:DP$56,"&gt;="&amp;16)=0,0,SUP_CONTROL!$C$8*IF($B23="V",1,IF($B23="D",(1+SUP_VOLUMEN!$C$26),(1+SUP_VOLUMEN!$C$27)))*INDEX(SUP_C3_EXPANSION!$C$6:$F$6,MIN(4,COUNTIF(CAPA3_EXPANSION!$D$56:DP$56,"&gt;="&amp;16)))*CAPA3_EXPANSION!DP$36)</f>
        <v>2828.2799999999997</v>
      </c>
      <c r="DQ23" s="88">
        <f>IF(COUNTIF(CAPA3_EXPANSION!$D$56:DQ$56,"&gt;="&amp;16)=0,0,SUP_CONTROL!$C$8*IF($B23="V",1,IF($B23="D",(1+SUP_VOLUMEN!$C$26),(1+SUP_VOLUMEN!$C$27)))*INDEX(SUP_C3_EXPANSION!$C$6:$F$6,MIN(4,COUNTIF(CAPA3_EXPANSION!$D$56:DQ$56,"&gt;="&amp;16)))*CAPA3_EXPANSION!DQ$36)</f>
        <v>2828.2799999999997</v>
      </c>
      <c r="DR23" s="88">
        <f>IF(COUNTIF(CAPA3_EXPANSION!$D$56:DR$56,"&gt;="&amp;16)=0,0,SUP_CONTROL!$C$8*IF($B23="V",1,IF($B23="D",(1+SUP_VOLUMEN!$C$26),(1+SUP_VOLUMEN!$C$27)))*INDEX(SUP_C3_EXPANSION!$C$6:$F$6,MIN(4,COUNTIF(CAPA3_EXPANSION!$D$56:DR$56,"&gt;="&amp;16)))*CAPA3_EXPANSION!DR$36)</f>
        <v>2828.2799999999997</v>
      </c>
      <c r="DS23" s="88">
        <f>IF(COUNTIF(CAPA3_EXPANSION!$D$56:DS$56,"&gt;="&amp;16)=0,0,SUP_CONTROL!$C$8*IF($B23="V",1,IF($B23="D",(1+SUP_VOLUMEN!$C$26),(1+SUP_VOLUMEN!$C$27)))*INDEX(SUP_C3_EXPANSION!$C$6:$F$6,MIN(4,COUNTIF(CAPA3_EXPANSION!$D$56:DS$56,"&gt;="&amp;16)))*CAPA3_EXPANSION!DS$36)</f>
        <v>2828.2799999999997</v>
      </c>
    </row>
    <row r="24" spans="1:123" ht="15" customHeight="1" x14ac:dyDescent="0.2">
      <c r="A24" s="88">
        <v>27</v>
      </c>
      <c r="B24" s="104" t="str">
        <f>SUP_C3_EXPANSION!B36</f>
        <v>D</v>
      </c>
      <c r="C24" s="73">
        <f>SUP_C3_EXPANSION!G36</f>
        <v>52</v>
      </c>
      <c r="D24" s="88">
        <f>IF(COUNTIF(CAPA3_EXPANSION!$D$56:D$56,"&gt;="&amp;17)=0,0,SUP_CONTROL!$C$8*IF($B24="V",1,IF($B24="D",(1+SUP_VOLUMEN!$C$26),(1+SUP_VOLUMEN!$C$27)))*INDEX(SUP_C3_EXPANSION!$C$6:$F$6,MIN(4,COUNTIF(CAPA3_EXPANSION!$D$56:D$56,"&gt;="&amp;17)))*CAPA3_EXPANSION!D$36)</f>
        <v>0</v>
      </c>
      <c r="E24" s="88">
        <f>IF(COUNTIF(CAPA3_EXPANSION!$D$56:E$56,"&gt;="&amp;17)=0,0,SUP_CONTROL!$C$8*IF($B24="V",1,IF($B24="D",(1+SUP_VOLUMEN!$C$26),(1+SUP_VOLUMEN!$C$27)))*INDEX(SUP_C3_EXPANSION!$C$6:$F$6,MIN(4,COUNTIF(CAPA3_EXPANSION!$D$56:E$56,"&gt;="&amp;17)))*CAPA3_EXPANSION!E$36)</f>
        <v>0</v>
      </c>
      <c r="F24" s="88">
        <f>IF(COUNTIF(CAPA3_EXPANSION!$D$56:F$56,"&gt;="&amp;17)=0,0,SUP_CONTROL!$C$8*IF($B24="V",1,IF($B24="D",(1+SUP_VOLUMEN!$C$26),(1+SUP_VOLUMEN!$C$27)))*INDEX(SUP_C3_EXPANSION!$C$6:$F$6,MIN(4,COUNTIF(CAPA3_EXPANSION!$D$56:F$56,"&gt;="&amp;17)))*CAPA3_EXPANSION!F$36)</f>
        <v>0</v>
      </c>
      <c r="G24" s="88">
        <f>IF(COUNTIF(CAPA3_EXPANSION!$D$56:G$56,"&gt;="&amp;17)=0,0,SUP_CONTROL!$C$8*IF($B24="V",1,IF($B24="D",(1+SUP_VOLUMEN!$C$26),(1+SUP_VOLUMEN!$C$27)))*INDEX(SUP_C3_EXPANSION!$C$6:$F$6,MIN(4,COUNTIF(CAPA3_EXPANSION!$D$56:G$56,"&gt;="&amp;17)))*CAPA3_EXPANSION!G$36)</f>
        <v>0</v>
      </c>
      <c r="H24" s="88">
        <f>IF(COUNTIF(CAPA3_EXPANSION!$D$56:H$56,"&gt;="&amp;17)=0,0,SUP_CONTROL!$C$8*IF($B24="V",1,IF($B24="D",(1+SUP_VOLUMEN!$C$26),(1+SUP_VOLUMEN!$C$27)))*INDEX(SUP_C3_EXPANSION!$C$6:$F$6,MIN(4,COUNTIF(CAPA3_EXPANSION!$D$56:H$56,"&gt;="&amp;17)))*CAPA3_EXPANSION!H$36)</f>
        <v>0</v>
      </c>
      <c r="I24" s="88">
        <f>IF(COUNTIF(CAPA3_EXPANSION!$D$56:I$56,"&gt;="&amp;17)=0,0,SUP_CONTROL!$C$8*IF($B24="V",1,IF($B24="D",(1+SUP_VOLUMEN!$C$26),(1+SUP_VOLUMEN!$C$27)))*INDEX(SUP_C3_EXPANSION!$C$6:$F$6,MIN(4,COUNTIF(CAPA3_EXPANSION!$D$56:I$56,"&gt;="&amp;17)))*CAPA3_EXPANSION!I$36)</f>
        <v>0</v>
      </c>
      <c r="J24" s="88">
        <f>IF(COUNTIF(CAPA3_EXPANSION!$D$56:J$56,"&gt;="&amp;17)=0,0,SUP_CONTROL!$C$8*IF($B24="V",1,IF($B24="D",(1+SUP_VOLUMEN!$C$26),(1+SUP_VOLUMEN!$C$27)))*INDEX(SUP_C3_EXPANSION!$C$6:$F$6,MIN(4,COUNTIF(CAPA3_EXPANSION!$D$56:J$56,"&gt;="&amp;17)))*CAPA3_EXPANSION!J$36)</f>
        <v>0</v>
      </c>
      <c r="K24" s="88">
        <f>IF(COUNTIF(CAPA3_EXPANSION!$D$56:K$56,"&gt;="&amp;17)=0,0,SUP_CONTROL!$C$8*IF($B24="V",1,IF($B24="D",(1+SUP_VOLUMEN!$C$26),(1+SUP_VOLUMEN!$C$27)))*INDEX(SUP_C3_EXPANSION!$C$6:$F$6,MIN(4,COUNTIF(CAPA3_EXPANSION!$D$56:K$56,"&gt;="&amp;17)))*CAPA3_EXPANSION!K$36)</f>
        <v>0</v>
      </c>
      <c r="L24" s="88">
        <f>IF(COUNTIF(CAPA3_EXPANSION!$D$56:L$56,"&gt;="&amp;17)=0,0,SUP_CONTROL!$C$8*IF($B24="V",1,IF($B24="D",(1+SUP_VOLUMEN!$C$26),(1+SUP_VOLUMEN!$C$27)))*INDEX(SUP_C3_EXPANSION!$C$6:$F$6,MIN(4,COUNTIF(CAPA3_EXPANSION!$D$56:L$56,"&gt;="&amp;17)))*CAPA3_EXPANSION!L$36)</f>
        <v>0</v>
      </c>
      <c r="M24" s="88">
        <f>IF(COUNTIF(CAPA3_EXPANSION!$D$56:M$56,"&gt;="&amp;17)=0,0,SUP_CONTROL!$C$8*IF($B24="V",1,IF($B24="D",(1+SUP_VOLUMEN!$C$26),(1+SUP_VOLUMEN!$C$27)))*INDEX(SUP_C3_EXPANSION!$C$6:$F$6,MIN(4,COUNTIF(CAPA3_EXPANSION!$D$56:M$56,"&gt;="&amp;17)))*CAPA3_EXPANSION!M$36)</f>
        <v>0</v>
      </c>
      <c r="N24" s="88">
        <f>IF(COUNTIF(CAPA3_EXPANSION!$D$56:N$56,"&gt;="&amp;17)=0,0,SUP_CONTROL!$C$8*IF($B24="V",1,IF($B24="D",(1+SUP_VOLUMEN!$C$26),(1+SUP_VOLUMEN!$C$27)))*INDEX(SUP_C3_EXPANSION!$C$6:$F$6,MIN(4,COUNTIF(CAPA3_EXPANSION!$D$56:N$56,"&gt;="&amp;17)))*CAPA3_EXPANSION!N$36)</f>
        <v>0</v>
      </c>
      <c r="O24" s="88">
        <f>IF(COUNTIF(CAPA3_EXPANSION!$D$56:O$56,"&gt;="&amp;17)=0,0,SUP_CONTROL!$C$8*IF($B24="V",1,IF($B24="D",(1+SUP_VOLUMEN!$C$26),(1+SUP_VOLUMEN!$C$27)))*INDEX(SUP_C3_EXPANSION!$C$6:$F$6,MIN(4,COUNTIF(CAPA3_EXPANSION!$D$56:O$56,"&gt;="&amp;17)))*CAPA3_EXPANSION!O$36)</f>
        <v>0</v>
      </c>
      <c r="P24" s="88">
        <f>IF(COUNTIF(CAPA3_EXPANSION!$D$56:P$56,"&gt;="&amp;17)=0,0,SUP_CONTROL!$C$8*IF($B24="V",1,IF($B24="D",(1+SUP_VOLUMEN!$C$26),(1+SUP_VOLUMEN!$C$27)))*INDEX(SUP_C3_EXPANSION!$C$6:$F$6,MIN(4,COUNTIF(CAPA3_EXPANSION!$D$56:P$56,"&gt;="&amp;17)))*CAPA3_EXPANSION!P$36)</f>
        <v>0</v>
      </c>
      <c r="Q24" s="88">
        <f>IF(COUNTIF(CAPA3_EXPANSION!$D$56:Q$56,"&gt;="&amp;17)=0,0,SUP_CONTROL!$C$8*IF($B24="V",1,IF($B24="D",(1+SUP_VOLUMEN!$C$26),(1+SUP_VOLUMEN!$C$27)))*INDEX(SUP_C3_EXPANSION!$C$6:$F$6,MIN(4,COUNTIF(CAPA3_EXPANSION!$D$56:Q$56,"&gt;="&amp;17)))*CAPA3_EXPANSION!Q$36)</f>
        <v>0</v>
      </c>
      <c r="R24" s="88">
        <f>IF(COUNTIF(CAPA3_EXPANSION!$D$56:R$56,"&gt;="&amp;17)=0,0,SUP_CONTROL!$C$8*IF($B24="V",1,IF($B24="D",(1+SUP_VOLUMEN!$C$26),(1+SUP_VOLUMEN!$C$27)))*INDEX(SUP_C3_EXPANSION!$C$6:$F$6,MIN(4,COUNTIF(CAPA3_EXPANSION!$D$56:R$56,"&gt;="&amp;17)))*CAPA3_EXPANSION!R$36)</f>
        <v>0</v>
      </c>
      <c r="S24" s="88">
        <f>IF(COUNTIF(CAPA3_EXPANSION!$D$56:S$56,"&gt;="&amp;17)=0,0,SUP_CONTROL!$C$8*IF($B24="V",1,IF($B24="D",(1+SUP_VOLUMEN!$C$26),(1+SUP_VOLUMEN!$C$27)))*INDEX(SUP_C3_EXPANSION!$C$6:$F$6,MIN(4,COUNTIF(CAPA3_EXPANSION!$D$56:S$56,"&gt;="&amp;17)))*CAPA3_EXPANSION!S$36)</f>
        <v>0</v>
      </c>
      <c r="T24" s="88">
        <f>IF(COUNTIF(CAPA3_EXPANSION!$D$56:T$56,"&gt;="&amp;17)=0,0,SUP_CONTROL!$C$8*IF($B24="V",1,IF($B24="D",(1+SUP_VOLUMEN!$C$26),(1+SUP_VOLUMEN!$C$27)))*INDEX(SUP_C3_EXPANSION!$C$6:$F$6,MIN(4,COUNTIF(CAPA3_EXPANSION!$D$56:T$56,"&gt;="&amp;17)))*CAPA3_EXPANSION!T$36)</f>
        <v>0</v>
      </c>
      <c r="U24" s="88">
        <f>IF(COUNTIF(CAPA3_EXPANSION!$D$56:U$56,"&gt;="&amp;17)=0,0,SUP_CONTROL!$C$8*IF($B24="V",1,IF($B24="D",(1+SUP_VOLUMEN!$C$26),(1+SUP_VOLUMEN!$C$27)))*INDEX(SUP_C3_EXPANSION!$C$6:$F$6,MIN(4,COUNTIF(CAPA3_EXPANSION!$D$56:U$56,"&gt;="&amp;17)))*CAPA3_EXPANSION!U$36)</f>
        <v>0</v>
      </c>
      <c r="V24" s="88">
        <f>IF(COUNTIF(CAPA3_EXPANSION!$D$56:V$56,"&gt;="&amp;17)=0,0,SUP_CONTROL!$C$8*IF($B24="V",1,IF($B24="D",(1+SUP_VOLUMEN!$C$26),(1+SUP_VOLUMEN!$C$27)))*INDEX(SUP_C3_EXPANSION!$C$6:$F$6,MIN(4,COUNTIF(CAPA3_EXPANSION!$D$56:V$56,"&gt;="&amp;17)))*CAPA3_EXPANSION!V$36)</f>
        <v>0</v>
      </c>
      <c r="W24" s="88">
        <f>IF(COUNTIF(CAPA3_EXPANSION!$D$56:W$56,"&gt;="&amp;17)=0,0,SUP_CONTROL!$C$8*IF($B24="V",1,IF($B24="D",(1+SUP_VOLUMEN!$C$26),(1+SUP_VOLUMEN!$C$27)))*INDEX(SUP_C3_EXPANSION!$C$6:$F$6,MIN(4,COUNTIF(CAPA3_EXPANSION!$D$56:W$56,"&gt;="&amp;17)))*CAPA3_EXPANSION!W$36)</f>
        <v>0</v>
      </c>
      <c r="X24" s="88">
        <f>IF(COUNTIF(CAPA3_EXPANSION!$D$56:X$56,"&gt;="&amp;17)=0,0,SUP_CONTROL!$C$8*IF($B24="V",1,IF($B24="D",(1+SUP_VOLUMEN!$C$26),(1+SUP_VOLUMEN!$C$27)))*INDEX(SUP_C3_EXPANSION!$C$6:$F$6,MIN(4,COUNTIF(CAPA3_EXPANSION!$D$56:X$56,"&gt;="&amp;17)))*CAPA3_EXPANSION!X$36)</f>
        <v>0</v>
      </c>
      <c r="Y24" s="88">
        <f>IF(COUNTIF(CAPA3_EXPANSION!$D$56:Y$56,"&gt;="&amp;17)=0,0,SUP_CONTROL!$C$8*IF($B24="V",1,IF($B24="D",(1+SUP_VOLUMEN!$C$26),(1+SUP_VOLUMEN!$C$27)))*INDEX(SUP_C3_EXPANSION!$C$6:$F$6,MIN(4,COUNTIF(CAPA3_EXPANSION!$D$56:Y$56,"&gt;="&amp;17)))*CAPA3_EXPANSION!Y$36)</f>
        <v>0</v>
      </c>
      <c r="Z24" s="88">
        <f>IF(COUNTIF(CAPA3_EXPANSION!$D$56:Z$56,"&gt;="&amp;17)=0,0,SUP_CONTROL!$C$8*IF($B24="V",1,IF($B24="D",(1+SUP_VOLUMEN!$C$26),(1+SUP_VOLUMEN!$C$27)))*INDEX(SUP_C3_EXPANSION!$C$6:$F$6,MIN(4,COUNTIF(CAPA3_EXPANSION!$D$56:Z$56,"&gt;="&amp;17)))*CAPA3_EXPANSION!Z$36)</f>
        <v>0</v>
      </c>
      <c r="AA24" s="88">
        <f>IF(COUNTIF(CAPA3_EXPANSION!$D$56:AA$56,"&gt;="&amp;17)=0,0,SUP_CONTROL!$C$8*IF($B24="V",1,IF($B24="D",(1+SUP_VOLUMEN!$C$26),(1+SUP_VOLUMEN!$C$27)))*INDEX(SUP_C3_EXPANSION!$C$6:$F$6,MIN(4,COUNTIF(CAPA3_EXPANSION!$D$56:AA$56,"&gt;="&amp;17)))*CAPA3_EXPANSION!AA$36)</f>
        <v>0</v>
      </c>
      <c r="AB24" s="88">
        <f>IF(COUNTIF(CAPA3_EXPANSION!$D$56:AB$56,"&gt;="&amp;17)=0,0,SUP_CONTROL!$C$8*IF($B24="V",1,IF($B24="D",(1+SUP_VOLUMEN!$C$26),(1+SUP_VOLUMEN!$C$27)))*INDEX(SUP_C3_EXPANSION!$C$6:$F$6,MIN(4,COUNTIF(CAPA3_EXPANSION!$D$56:AB$56,"&gt;="&amp;17)))*CAPA3_EXPANSION!AB$36)</f>
        <v>0</v>
      </c>
      <c r="AC24" s="88">
        <f>IF(COUNTIF(CAPA3_EXPANSION!$D$56:AC$56,"&gt;="&amp;17)=0,0,SUP_CONTROL!$C$8*IF($B24="V",1,IF($B24="D",(1+SUP_VOLUMEN!$C$26),(1+SUP_VOLUMEN!$C$27)))*INDEX(SUP_C3_EXPANSION!$C$6:$F$6,MIN(4,COUNTIF(CAPA3_EXPANSION!$D$56:AC$56,"&gt;="&amp;17)))*CAPA3_EXPANSION!AC$36)</f>
        <v>0</v>
      </c>
      <c r="AD24" s="88">
        <f>IF(COUNTIF(CAPA3_EXPANSION!$D$56:AD$56,"&gt;="&amp;17)=0,0,SUP_CONTROL!$C$8*IF($B24="V",1,IF($B24="D",(1+SUP_VOLUMEN!$C$26),(1+SUP_VOLUMEN!$C$27)))*INDEX(SUP_C3_EXPANSION!$C$6:$F$6,MIN(4,COUNTIF(CAPA3_EXPANSION!$D$56:AD$56,"&gt;="&amp;17)))*CAPA3_EXPANSION!AD$36)</f>
        <v>0</v>
      </c>
      <c r="AE24" s="88">
        <f>IF(COUNTIF(CAPA3_EXPANSION!$D$56:AE$56,"&gt;="&amp;17)=0,0,SUP_CONTROL!$C$8*IF($B24="V",1,IF($B24="D",(1+SUP_VOLUMEN!$C$26),(1+SUP_VOLUMEN!$C$27)))*INDEX(SUP_C3_EXPANSION!$C$6:$F$6,MIN(4,COUNTIF(CAPA3_EXPANSION!$D$56:AE$56,"&gt;="&amp;17)))*CAPA3_EXPANSION!AE$36)</f>
        <v>0</v>
      </c>
      <c r="AF24" s="88">
        <f>IF(COUNTIF(CAPA3_EXPANSION!$D$56:AF$56,"&gt;="&amp;17)=0,0,SUP_CONTROL!$C$8*IF($B24="V",1,IF($B24="D",(1+SUP_VOLUMEN!$C$26),(1+SUP_VOLUMEN!$C$27)))*INDEX(SUP_C3_EXPANSION!$C$6:$F$6,MIN(4,COUNTIF(CAPA3_EXPANSION!$D$56:AF$56,"&gt;="&amp;17)))*CAPA3_EXPANSION!AF$36)</f>
        <v>0</v>
      </c>
      <c r="AG24" s="88">
        <f>IF(COUNTIF(CAPA3_EXPANSION!$D$56:AG$56,"&gt;="&amp;17)=0,0,SUP_CONTROL!$C$8*IF($B24="V",1,IF($B24="D",(1+SUP_VOLUMEN!$C$26),(1+SUP_VOLUMEN!$C$27)))*INDEX(SUP_C3_EXPANSION!$C$6:$F$6,MIN(4,COUNTIF(CAPA3_EXPANSION!$D$56:AG$56,"&gt;="&amp;17)))*CAPA3_EXPANSION!AG$36)</f>
        <v>0</v>
      </c>
      <c r="AH24" s="88">
        <f>IF(COUNTIF(CAPA3_EXPANSION!$D$56:AH$56,"&gt;="&amp;17)=0,0,SUP_CONTROL!$C$8*IF($B24="V",1,IF($B24="D",(1+SUP_VOLUMEN!$C$26),(1+SUP_VOLUMEN!$C$27)))*INDEX(SUP_C3_EXPANSION!$C$6:$F$6,MIN(4,COUNTIF(CAPA3_EXPANSION!$D$56:AH$56,"&gt;="&amp;17)))*CAPA3_EXPANSION!AH$36)</f>
        <v>0</v>
      </c>
      <c r="AI24" s="88">
        <f>IF(COUNTIF(CAPA3_EXPANSION!$D$56:AI$56,"&gt;="&amp;17)=0,0,SUP_CONTROL!$C$8*IF($B24="V",1,IF($B24="D",(1+SUP_VOLUMEN!$C$26),(1+SUP_VOLUMEN!$C$27)))*INDEX(SUP_C3_EXPANSION!$C$6:$F$6,MIN(4,COUNTIF(CAPA3_EXPANSION!$D$56:AI$56,"&gt;="&amp;17)))*CAPA3_EXPANSION!AI$36)</f>
        <v>0</v>
      </c>
      <c r="AJ24" s="88">
        <f>IF(COUNTIF(CAPA3_EXPANSION!$D$56:AJ$56,"&gt;="&amp;17)=0,0,SUP_CONTROL!$C$8*IF($B24="V",1,IF($B24="D",(1+SUP_VOLUMEN!$C$26),(1+SUP_VOLUMEN!$C$27)))*INDEX(SUP_C3_EXPANSION!$C$6:$F$6,MIN(4,COUNTIF(CAPA3_EXPANSION!$D$56:AJ$56,"&gt;="&amp;17)))*CAPA3_EXPANSION!AJ$36)</f>
        <v>0</v>
      </c>
      <c r="AK24" s="88">
        <f>IF(COUNTIF(CAPA3_EXPANSION!$D$56:AK$56,"&gt;="&amp;17)=0,0,SUP_CONTROL!$C$8*IF($B24="V",1,IF($B24="D",(1+SUP_VOLUMEN!$C$26),(1+SUP_VOLUMEN!$C$27)))*INDEX(SUP_C3_EXPANSION!$C$6:$F$6,MIN(4,COUNTIF(CAPA3_EXPANSION!$D$56:AK$56,"&gt;="&amp;17)))*CAPA3_EXPANSION!AK$36)</f>
        <v>0</v>
      </c>
      <c r="AL24" s="88">
        <f>IF(COUNTIF(CAPA3_EXPANSION!$D$56:AL$56,"&gt;="&amp;17)=0,0,SUP_CONTROL!$C$8*IF($B24="V",1,IF($B24="D",(1+SUP_VOLUMEN!$C$26),(1+SUP_VOLUMEN!$C$27)))*INDEX(SUP_C3_EXPANSION!$C$6:$F$6,MIN(4,COUNTIF(CAPA3_EXPANSION!$D$56:AL$56,"&gt;="&amp;17)))*CAPA3_EXPANSION!AL$36)</f>
        <v>0</v>
      </c>
      <c r="AM24" s="88">
        <f>IF(COUNTIF(CAPA3_EXPANSION!$D$56:AM$56,"&gt;="&amp;17)=0,0,SUP_CONTROL!$C$8*IF($B24="V",1,IF($B24="D",(1+SUP_VOLUMEN!$C$26),(1+SUP_VOLUMEN!$C$27)))*INDEX(SUP_C3_EXPANSION!$C$6:$F$6,MIN(4,COUNTIF(CAPA3_EXPANSION!$D$56:AM$56,"&gt;="&amp;17)))*CAPA3_EXPANSION!AM$36)</f>
        <v>0</v>
      </c>
      <c r="AN24" s="88">
        <f>IF(COUNTIF(CAPA3_EXPANSION!$D$56:AN$56,"&gt;="&amp;17)=0,0,SUP_CONTROL!$C$8*IF($B24="V",1,IF($B24="D",(1+SUP_VOLUMEN!$C$26),(1+SUP_VOLUMEN!$C$27)))*INDEX(SUP_C3_EXPANSION!$C$6:$F$6,MIN(4,COUNTIF(CAPA3_EXPANSION!$D$56:AN$56,"&gt;="&amp;17)))*CAPA3_EXPANSION!AN$36)</f>
        <v>0</v>
      </c>
      <c r="AO24" s="88">
        <f>IF(COUNTIF(CAPA3_EXPANSION!$D$56:AO$56,"&gt;="&amp;17)=0,0,SUP_CONTROL!$C$8*IF($B24="V",1,IF($B24="D",(1+SUP_VOLUMEN!$C$26),(1+SUP_VOLUMEN!$C$27)))*INDEX(SUP_C3_EXPANSION!$C$6:$F$6,MIN(4,COUNTIF(CAPA3_EXPANSION!$D$56:AO$56,"&gt;="&amp;17)))*CAPA3_EXPANSION!AO$36)</f>
        <v>0</v>
      </c>
      <c r="AP24" s="88">
        <f>IF(COUNTIF(CAPA3_EXPANSION!$D$56:AP$56,"&gt;="&amp;17)=0,0,SUP_CONTROL!$C$8*IF($B24="V",1,IF($B24="D",(1+SUP_VOLUMEN!$C$26),(1+SUP_VOLUMEN!$C$27)))*INDEX(SUP_C3_EXPANSION!$C$6:$F$6,MIN(4,COUNTIF(CAPA3_EXPANSION!$D$56:AP$56,"&gt;="&amp;17)))*CAPA3_EXPANSION!AP$36)</f>
        <v>0</v>
      </c>
      <c r="AQ24" s="88">
        <f>IF(COUNTIF(CAPA3_EXPANSION!$D$56:AQ$56,"&gt;="&amp;17)=0,0,SUP_CONTROL!$C$8*IF($B24="V",1,IF($B24="D",(1+SUP_VOLUMEN!$C$26),(1+SUP_VOLUMEN!$C$27)))*INDEX(SUP_C3_EXPANSION!$C$6:$F$6,MIN(4,COUNTIF(CAPA3_EXPANSION!$D$56:AQ$56,"&gt;="&amp;17)))*CAPA3_EXPANSION!AQ$36)</f>
        <v>0</v>
      </c>
      <c r="AR24" s="88">
        <f>IF(COUNTIF(CAPA3_EXPANSION!$D$56:AR$56,"&gt;="&amp;17)=0,0,SUP_CONTROL!$C$8*IF($B24="V",1,IF($B24="D",(1+SUP_VOLUMEN!$C$26),(1+SUP_VOLUMEN!$C$27)))*INDEX(SUP_C3_EXPANSION!$C$6:$F$6,MIN(4,COUNTIF(CAPA3_EXPANSION!$D$56:AR$56,"&gt;="&amp;17)))*CAPA3_EXPANSION!AR$36)</f>
        <v>0</v>
      </c>
      <c r="AS24" s="88">
        <f>IF(COUNTIF(CAPA3_EXPANSION!$D$56:AS$56,"&gt;="&amp;17)=0,0,SUP_CONTROL!$C$8*IF($B24="V",1,IF($B24="D",(1+SUP_VOLUMEN!$C$26),(1+SUP_VOLUMEN!$C$27)))*INDEX(SUP_C3_EXPANSION!$C$6:$F$6,MIN(4,COUNTIF(CAPA3_EXPANSION!$D$56:AS$56,"&gt;="&amp;17)))*CAPA3_EXPANSION!AS$36)</f>
        <v>0</v>
      </c>
      <c r="AT24" s="88">
        <f>IF(COUNTIF(CAPA3_EXPANSION!$D$56:AT$56,"&gt;="&amp;17)=0,0,SUP_CONTROL!$C$8*IF($B24="V",1,IF($B24="D",(1+SUP_VOLUMEN!$C$26),(1+SUP_VOLUMEN!$C$27)))*INDEX(SUP_C3_EXPANSION!$C$6:$F$6,MIN(4,COUNTIF(CAPA3_EXPANSION!$D$56:AT$56,"&gt;="&amp;17)))*CAPA3_EXPANSION!AT$36)</f>
        <v>0</v>
      </c>
      <c r="AU24" s="88">
        <f>IF(COUNTIF(CAPA3_EXPANSION!$D$56:AU$56,"&gt;="&amp;17)=0,0,SUP_CONTROL!$C$8*IF($B24="V",1,IF($B24="D",(1+SUP_VOLUMEN!$C$26),(1+SUP_VOLUMEN!$C$27)))*INDEX(SUP_C3_EXPANSION!$C$6:$F$6,MIN(4,COUNTIF(CAPA3_EXPANSION!$D$56:AU$56,"&gt;="&amp;17)))*CAPA3_EXPANSION!AU$36)</f>
        <v>0</v>
      </c>
      <c r="AV24" s="88">
        <f>IF(COUNTIF(CAPA3_EXPANSION!$D$56:AV$56,"&gt;="&amp;17)=0,0,SUP_CONTROL!$C$8*IF($B24="V",1,IF($B24="D",(1+SUP_VOLUMEN!$C$26),(1+SUP_VOLUMEN!$C$27)))*INDEX(SUP_C3_EXPANSION!$C$6:$F$6,MIN(4,COUNTIF(CAPA3_EXPANSION!$D$56:AV$56,"&gt;="&amp;17)))*CAPA3_EXPANSION!AV$36)</f>
        <v>0</v>
      </c>
      <c r="AW24" s="88">
        <f>IF(COUNTIF(CAPA3_EXPANSION!$D$56:AW$56,"&gt;="&amp;17)=0,0,SUP_CONTROL!$C$8*IF($B24="V",1,IF($B24="D",(1+SUP_VOLUMEN!$C$26),(1+SUP_VOLUMEN!$C$27)))*INDEX(SUP_C3_EXPANSION!$C$6:$F$6,MIN(4,COUNTIF(CAPA3_EXPANSION!$D$56:AW$56,"&gt;="&amp;17)))*CAPA3_EXPANSION!AW$36)</f>
        <v>0</v>
      </c>
      <c r="AX24" s="88">
        <f>IF(COUNTIF(CAPA3_EXPANSION!$D$56:AX$56,"&gt;="&amp;17)=0,0,SUP_CONTROL!$C$8*IF($B24="V",1,IF($B24="D",(1+SUP_VOLUMEN!$C$26),(1+SUP_VOLUMEN!$C$27)))*INDEX(SUP_C3_EXPANSION!$C$6:$F$6,MIN(4,COUNTIF(CAPA3_EXPANSION!$D$56:AX$56,"&gt;="&amp;17)))*CAPA3_EXPANSION!AX$36)</f>
        <v>0</v>
      </c>
      <c r="AY24" s="88">
        <f>IF(COUNTIF(CAPA3_EXPANSION!$D$56:AY$56,"&gt;="&amp;17)=0,0,SUP_CONTROL!$C$8*IF($B24="V",1,IF($B24="D",(1+SUP_VOLUMEN!$C$26),(1+SUP_VOLUMEN!$C$27)))*INDEX(SUP_C3_EXPANSION!$C$6:$F$6,MIN(4,COUNTIF(CAPA3_EXPANSION!$D$56:AY$56,"&gt;="&amp;17)))*CAPA3_EXPANSION!AY$36)</f>
        <v>0</v>
      </c>
      <c r="AZ24" s="88">
        <f>IF(COUNTIF(CAPA3_EXPANSION!$D$56:AZ$56,"&gt;="&amp;17)=0,0,SUP_CONTROL!$C$8*IF($B24="V",1,IF($B24="D",(1+SUP_VOLUMEN!$C$26),(1+SUP_VOLUMEN!$C$27)))*INDEX(SUP_C3_EXPANSION!$C$6:$F$6,MIN(4,COUNTIF(CAPA3_EXPANSION!$D$56:AZ$56,"&gt;="&amp;17)))*CAPA3_EXPANSION!AZ$36)</f>
        <v>0</v>
      </c>
      <c r="BA24" s="88">
        <f>IF(COUNTIF(CAPA3_EXPANSION!$D$56:BA$56,"&gt;="&amp;17)=0,0,SUP_CONTROL!$C$8*IF($B24="V",1,IF($B24="D",(1+SUP_VOLUMEN!$C$26),(1+SUP_VOLUMEN!$C$27)))*INDEX(SUP_C3_EXPANSION!$C$6:$F$6,MIN(4,COUNTIF(CAPA3_EXPANSION!$D$56:BA$56,"&gt;="&amp;17)))*CAPA3_EXPANSION!BA$36)</f>
        <v>0</v>
      </c>
      <c r="BB24" s="88">
        <f>IF(COUNTIF(CAPA3_EXPANSION!$D$56:BB$56,"&gt;="&amp;17)=0,0,SUP_CONTROL!$C$8*IF($B24="V",1,IF($B24="D",(1+SUP_VOLUMEN!$C$26),(1+SUP_VOLUMEN!$C$27)))*INDEX(SUP_C3_EXPANSION!$C$6:$F$6,MIN(4,COUNTIF(CAPA3_EXPANSION!$D$56:BB$56,"&gt;="&amp;17)))*CAPA3_EXPANSION!BB$36)</f>
        <v>0</v>
      </c>
      <c r="BC24" s="88">
        <f>IF(COUNTIF(CAPA3_EXPANSION!$D$56:BC$56,"&gt;="&amp;17)=0,0,SUP_CONTROL!$C$8*IF($B24="V",1,IF($B24="D",(1+SUP_VOLUMEN!$C$26),(1+SUP_VOLUMEN!$C$27)))*INDEX(SUP_C3_EXPANSION!$C$6:$F$6,MIN(4,COUNTIF(CAPA3_EXPANSION!$D$56:BC$56,"&gt;="&amp;17)))*CAPA3_EXPANSION!BC$36)</f>
        <v>0</v>
      </c>
      <c r="BD24" s="88">
        <f>IF(COUNTIF(CAPA3_EXPANSION!$D$56:BD$56,"&gt;="&amp;17)=0,0,SUP_CONTROL!$C$8*IF($B24="V",1,IF($B24="D",(1+SUP_VOLUMEN!$C$26),(1+SUP_VOLUMEN!$C$27)))*INDEX(SUP_C3_EXPANSION!$C$6:$F$6,MIN(4,COUNTIF(CAPA3_EXPANSION!$D$56:BD$56,"&gt;="&amp;17)))*CAPA3_EXPANSION!BD$36)</f>
        <v>0</v>
      </c>
      <c r="BE24" s="88">
        <f>IF(COUNTIF(CAPA3_EXPANSION!$D$56:BE$56,"&gt;="&amp;17)=0,0,SUP_CONTROL!$C$8*IF($B24="V",1,IF($B24="D",(1+SUP_VOLUMEN!$C$26),(1+SUP_VOLUMEN!$C$27)))*INDEX(SUP_C3_EXPANSION!$C$6:$F$6,MIN(4,COUNTIF(CAPA3_EXPANSION!$D$56:BE$56,"&gt;="&amp;17)))*CAPA3_EXPANSION!BE$36)</f>
        <v>0</v>
      </c>
      <c r="BF24" s="88">
        <f>IF(COUNTIF(CAPA3_EXPANSION!$D$56:BF$56,"&gt;="&amp;17)=0,0,SUP_CONTROL!$C$8*IF($B24="V",1,IF($B24="D",(1+SUP_VOLUMEN!$C$26),(1+SUP_VOLUMEN!$C$27)))*INDEX(SUP_C3_EXPANSION!$C$6:$F$6,MIN(4,COUNTIF(CAPA3_EXPANSION!$D$56:BF$56,"&gt;="&amp;17)))*CAPA3_EXPANSION!BF$36)</f>
        <v>2560.6035000000002</v>
      </c>
      <c r="BG24" s="88">
        <f>IF(COUNTIF(CAPA3_EXPANSION!$D$56:BG$56,"&gt;="&amp;17)=0,0,SUP_CONTROL!$C$8*IF($B24="V",1,IF($B24="D",(1+SUP_VOLUMEN!$C$26),(1+SUP_VOLUMEN!$C$27)))*INDEX(SUP_C3_EXPANSION!$C$6:$F$6,MIN(4,COUNTIF(CAPA3_EXPANSION!$D$56:BG$56,"&gt;="&amp;17)))*CAPA3_EXPANSION!BG$36)</f>
        <v>3151.5120000000002</v>
      </c>
      <c r="BH24" s="88">
        <f>IF(COUNTIF(CAPA3_EXPANSION!$D$56:BH$56,"&gt;="&amp;17)=0,0,SUP_CONTROL!$C$8*IF($B24="V",1,IF($B24="D",(1+SUP_VOLUMEN!$C$26),(1+SUP_VOLUMEN!$C$27)))*INDEX(SUP_C3_EXPANSION!$C$6:$F$6,MIN(4,COUNTIF(CAPA3_EXPANSION!$D$56:BH$56,"&gt;="&amp;17)))*CAPA3_EXPANSION!BH$36)</f>
        <v>3545.4510000000005</v>
      </c>
      <c r="BI24" s="88">
        <f>IF(COUNTIF(CAPA3_EXPANSION!$D$56:BI$56,"&gt;="&amp;17)=0,0,SUP_CONTROL!$C$8*IF($B24="V",1,IF($B24="D",(1+SUP_VOLUMEN!$C$26),(1+SUP_VOLUMEN!$C$27)))*INDEX(SUP_C3_EXPANSION!$C$6:$F$6,MIN(4,COUNTIF(CAPA3_EXPANSION!$D$56:BI$56,"&gt;="&amp;17)))*CAPA3_EXPANSION!BI$36)</f>
        <v>3939.3900000000003</v>
      </c>
      <c r="BJ24" s="88">
        <f>IF(COUNTIF(CAPA3_EXPANSION!$D$56:BJ$56,"&gt;="&amp;17)=0,0,SUP_CONTROL!$C$8*IF($B24="V",1,IF($B24="D",(1+SUP_VOLUMEN!$C$26),(1+SUP_VOLUMEN!$C$27)))*INDEX(SUP_C3_EXPANSION!$C$6:$F$6,MIN(4,COUNTIF(CAPA3_EXPANSION!$D$56:BJ$56,"&gt;="&amp;17)))*CAPA3_EXPANSION!BJ$36)</f>
        <v>3939.3900000000003</v>
      </c>
      <c r="BK24" s="88">
        <f>IF(COUNTIF(CAPA3_EXPANSION!$D$56:BK$56,"&gt;="&amp;17)=0,0,SUP_CONTROL!$C$8*IF($B24="V",1,IF($B24="D",(1+SUP_VOLUMEN!$C$26),(1+SUP_VOLUMEN!$C$27)))*INDEX(SUP_C3_EXPANSION!$C$6:$F$6,MIN(4,COUNTIF(CAPA3_EXPANSION!$D$56:BK$56,"&gt;="&amp;17)))*CAPA3_EXPANSION!BK$36)</f>
        <v>3851.8480000000004</v>
      </c>
      <c r="BL24" s="88">
        <f>IF(COUNTIF(CAPA3_EXPANSION!$D$56:BL$56,"&gt;="&amp;17)=0,0,SUP_CONTROL!$C$8*IF($B24="V",1,IF($B24="D",(1+SUP_VOLUMEN!$C$26),(1+SUP_VOLUMEN!$C$27)))*INDEX(SUP_C3_EXPANSION!$C$6:$F$6,MIN(4,COUNTIF(CAPA3_EXPANSION!$D$56:BL$56,"&gt;="&amp;17)))*CAPA3_EXPANSION!BL$36)</f>
        <v>3851.8480000000004</v>
      </c>
      <c r="BM24" s="88">
        <f>IF(COUNTIF(CAPA3_EXPANSION!$D$56:BM$56,"&gt;="&amp;17)=0,0,SUP_CONTROL!$C$8*IF($B24="V",1,IF($B24="D",(1+SUP_VOLUMEN!$C$26),(1+SUP_VOLUMEN!$C$27)))*INDEX(SUP_C3_EXPANSION!$C$6:$F$6,MIN(4,COUNTIF(CAPA3_EXPANSION!$D$56:BM$56,"&gt;="&amp;17)))*CAPA3_EXPANSION!BM$36)</f>
        <v>3851.8480000000004</v>
      </c>
      <c r="BN24" s="88">
        <f>IF(COUNTIF(CAPA3_EXPANSION!$D$56:BN$56,"&gt;="&amp;17)=0,0,SUP_CONTROL!$C$8*IF($B24="V",1,IF($B24="D",(1+SUP_VOLUMEN!$C$26),(1+SUP_VOLUMEN!$C$27)))*INDEX(SUP_C3_EXPANSION!$C$6:$F$6,MIN(4,COUNTIF(CAPA3_EXPANSION!$D$56:BN$56,"&gt;="&amp;17)))*CAPA3_EXPANSION!BN$36)</f>
        <v>3851.8480000000004</v>
      </c>
      <c r="BO24" s="88">
        <f>IF(COUNTIF(CAPA3_EXPANSION!$D$56:BO$56,"&gt;="&amp;17)=0,0,SUP_CONTROL!$C$8*IF($B24="V",1,IF($B24="D",(1+SUP_VOLUMEN!$C$26),(1+SUP_VOLUMEN!$C$27)))*INDEX(SUP_C3_EXPANSION!$C$6:$F$6,MIN(4,COUNTIF(CAPA3_EXPANSION!$D$56:BO$56,"&gt;="&amp;17)))*CAPA3_EXPANSION!BO$36)</f>
        <v>3851.8480000000004</v>
      </c>
      <c r="BP24" s="88">
        <f>IF(COUNTIF(CAPA3_EXPANSION!$D$56:BP$56,"&gt;="&amp;17)=0,0,SUP_CONTROL!$C$8*IF($B24="V",1,IF($B24="D",(1+SUP_VOLUMEN!$C$26),(1+SUP_VOLUMEN!$C$27)))*INDEX(SUP_C3_EXPANSION!$C$6:$F$6,MIN(4,COUNTIF(CAPA3_EXPANSION!$D$56:BP$56,"&gt;="&amp;17)))*CAPA3_EXPANSION!BP$36)</f>
        <v>3786.1915000000004</v>
      </c>
      <c r="BQ24" s="88">
        <f>IF(COUNTIF(CAPA3_EXPANSION!$D$56:BQ$56,"&gt;="&amp;17)=0,0,SUP_CONTROL!$C$8*IF($B24="V",1,IF($B24="D",(1+SUP_VOLUMEN!$C$26),(1+SUP_VOLUMEN!$C$27)))*INDEX(SUP_C3_EXPANSION!$C$6:$F$6,MIN(4,COUNTIF(CAPA3_EXPANSION!$D$56:BQ$56,"&gt;="&amp;17)))*CAPA3_EXPANSION!BQ$36)</f>
        <v>3786.1915000000004</v>
      </c>
      <c r="BR24" s="88">
        <f>IF(COUNTIF(CAPA3_EXPANSION!$D$56:BR$56,"&gt;="&amp;17)=0,0,SUP_CONTROL!$C$8*IF($B24="V",1,IF($B24="D",(1+SUP_VOLUMEN!$C$26),(1+SUP_VOLUMEN!$C$27)))*INDEX(SUP_C3_EXPANSION!$C$6:$F$6,MIN(4,COUNTIF(CAPA3_EXPANSION!$D$56:BR$56,"&gt;="&amp;17)))*CAPA3_EXPANSION!BR$36)</f>
        <v>3786.1915000000004</v>
      </c>
      <c r="BS24" s="88">
        <f>IF(COUNTIF(CAPA3_EXPANSION!$D$56:BS$56,"&gt;="&amp;17)=0,0,SUP_CONTROL!$C$8*IF($B24="V",1,IF($B24="D",(1+SUP_VOLUMEN!$C$26),(1+SUP_VOLUMEN!$C$27)))*INDEX(SUP_C3_EXPANSION!$C$6:$F$6,MIN(4,COUNTIF(CAPA3_EXPANSION!$D$56:BS$56,"&gt;="&amp;17)))*CAPA3_EXPANSION!BS$36)</f>
        <v>3786.1915000000004</v>
      </c>
      <c r="BT24" s="88">
        <f>IF(COUNTIF(CAPA3_EXPANSION!$D$56:BT$56,"&gt;="&amp;17)=0,0,SUP_CONTROL!$C$8*IF($B24="V",1,IF($B24="D",(1+SUP_VOLUMEN!$C$26),(1+SUP_VOLUMEN!$C$27)))*INDEX(SUP_C3_EXPANSION!$C$6:$F$6,MIN(4,COUNTIF(CAPA3_EXPANSION!$D$56:BT$56,"&gt;="&amp;17)))*CAPA3_EXPANSION!BT$36)</f>
        <v>3786.1915000000004</v>
      </c>
      <c r="BU24" s="88">
        <f>IF(COUNTIF(CAPA3_EXPANSION!$D$56:BU$56,"&gt;="&amp;17)=0,0,SUP_CONTROL!$C$8*IF($B24="V",1,IF($B24="D",(1+SUP_VOLUMEN!$C$26),(1+SUP_VOLUMEN!$C$27)))*INDEX(SUP_C3_EXPANSION!$C$6:$F$6,MIN(4,COUNTIF(CAPA3_EXPANSION!$D$56:BU$56,"&gt;="&amp;17)))*CAPA3_EXPANSION!BU$36)</f>
        <v>3720.5350000000003</v>
      </c>
      <c r="BV24" s="88">
        <f>IF(COUNTIF(CAPA3_EXPANSION!$D$56:BV$56,"&gt;="&amp;17)=0,0,SUP_CONTROL!$C$8*IF($B24="V",1,IF($B24="D",(1+SUP_VOLUMEN!$C$26),(1+SUP_VOLUMEN!$C$27)))*INDEX(SUP_C3_EXPANSION!$C$6:$F$6,MIN(4,COUNTIF(CAPA3_EXPANSION!$D$56:BV$56,"&gt;="&amp;17)))*CAPA3_EXPANSION!BV$36)</f>
        <v>3720.5350000000003</v>
      </c>
      <c r="BW24" s="88">
        <f>IF(COUNTIF(CAPA3_EXPANSION!$D$56:BW$56,"&gt;="&amp;17)=0,0,SUP_CONTROL!$C$8*IF($B24="V",1,IF($B24="D",(1+SUP_VOLUMEN!$C$26),(1+SUP_VOLUMEN!$C$27)))*INDEX(SUP_C3_EXPANSION!$C$6:$F$6,MIN(4,COUNTIF(CAPA3_EXPANSION!$D$56:BW$56,"&gt;="&amp;17)))*CAPA3_EXPANSION!BW$36)</f>
        <v>3720.5350000000003</v>
      </c>
      <c r="BX24" s="88">
        <f>IF(COUNTIF(CAPA3_EXPANSION!$D$56:BX$56,"&gt;="&amp;17)=0,0,SUP_CONTROL!$C$8*IF($B24="V",1,IF($B24="D",(1+SUP_VOLUMEN!$C$26),(1+SUP_VOLUMEN!$C$27)))*INDEX(SUP_C3_EXPANSION!$C$6:$F$6,MIN(4,COUNTIF(CAPA3_EXPANSION!$D$56:BX$56,"&gt;="&amp;17)))*CAPA3_EXPANSION!BX$36)</f>
        <v>3720.5350000000003</v>
      </c>
      <c r="BY24" s="88">
        <f>IF(COUNTIF(CAPA3_EXPANSION!$D$56:BY$56,"&gt;="&amp;17)=0,0,SUP_CONTROL!$C$8*IF($B24="V",1,IF($B24="D",(1+SUP_VOLUMEN!$C$26),(1+SUP_VOLUMEN!$C$27)))*INDEX(SUP_C3_EXPANSION!$C$6:$F$6,MIN(4,COUNTIF(CAPA3_EXPANSION!$D$56:BY$56,"&gt;="&amp;17)))*CAPA3_EXPANSION!BY$36)</f>
        <v>3720.5350000000003</v>
      </c>
      <c r="BZ24" s="88">
        <f>IF(COUNTIF(CAPA3_EXPANSION!$D$56:BZ$56,"&gt;="&amp;17)=0,0,SUP_CONTROL!$C$8*IF($B24="V",1,IF($B24="D",(1+SUP_VOLUMEN!$C$26),(1+SUP_VOLUMEN!$C$27)))*INDEX(SUP_C3_EXPANSION!$C$6:$F$6,MIN(4,COUNTIF(CAPA3_EXPANSION!$D$56:BZ$56,"&gt;="&amp;17)))*CAPA3_EXPANSION!BZ$36)</f>
        <v>3676.7640000000001</v>
      </c>
      <c r="CA24" s="88">
        <f>IF(COUNTIF(CAPA3_EXPANSION!$D$56:CA$56,"&gt;="&amp;17)=0,0,SUP_CONTROL!$C$8*IF($B24="V",1,IF($B24="D",(1+SUP_VOLUMEN!$C$26),(1+SUP_VOLUMEN!$C$27)))*INDEX(SUP_C3_EXPANSION!$C$6:$F$6,MIN(4,COUNTIF(CAPA3_EXPANSION!$D$56:CA$56,"&gt;="&amp;17)))*CAPA3_EXPANSION!CA$36)</f>
        <v>3676.7640000000001</v>
      </c>
      <c r="CB24" s="88">
        <f>IF(COUNTIF(CAPA3_EXPANSION!$D$56:CB$56,"&gt;="&amp;17)=0,0,SUP_CONTROL!$C$8*IF($B24="V",1,IF($B24="D",(1+SUP_VOLUMEN!$C$26),(1+SUP_VOLUMEN!$C$27)))*INDEX(SUP_C3_EXPANSION!$C$6:$F$6,MIN(4,COUNTIF(CAPA3_EXPANSION!$D$56:CB$56,"&gt;="&amp;17)))*CAPA3_EXPANSION!CB$36)</f>
        <v>3676.7640000000001</v>
      </c>
      <c r="CC24" s="88">
        <f>IF(COUNTIF(CAPA3_EXPANSION!$D$56:CC$56,"&gt;="&amp;17)=0,0,SUP_CONTROL!$C$8*IF($B24="V",1,IF($B24="D",(1+SUP_VOLUMEN!$C$26),(1+SUP_VOLUMEN!$C$27)))*INDEX(SUP_C3_EXPANSION!$C$6:$F$6,MIN(4,COUNTIF(CAPA3_EXPANSION!$D$56:CC$56,"&gt;="&amp;17)))*CAPA3_EXPANSION!CC$36)</f>
        <v>3676.7640000000001</v>
      </c>
      <c r="CD24" s="88">
        <f>IF(COUNTIF(CAPA3_EXPANSION!$D$56:CD$56,"&gt;="&amp;17)=0,0,SUP_CONTROL!$C$8*IF($B24="V",1,IF($B24="D",(1+SUP_VOLUMEN!$C$26),(1+SUP_VOLUMEN!$C$27)))*INDEX(SUP_C3_EXPANSION!$C$6:$F$6,MIN(4,COUNTIF(CAPA3_EXPANSION!$D$56:CD$56,"&gt;="&amp;17)))*CAPA3_EXPANSION!CD$36)</f>
        <v>3676.7640000000001</v>
      </c>
      <c r="CE24" s="88">
        <f>IF(COUNTIF(CAPA3_EXPANSION!$D$56:CE$56,"&gt;="&amp;17)=0,0,SUP_CONTROL!$C$8*IF($B24="V",1,IF($B24="D",(1+SUP_VOLUMEN!$C$26),(1+SUP_VOLUMEN!$C$27)))*INDEX(SUP_C3_EXPANSION!$C$6:$F$6,MIN(4,COUNTIF(CAPA3_EXPANSION!$D$56:CE$56,"&gt;="&amp;17)))*CAPA3_EXPANSION!CE$36)</f>
        <v>3676.7640000000001</v>
      </c>
      <c r="CF24" s="88">
        <f>IF(COUNTIF(CAPA3_EXPANSION!$D$56:CF$56,"&gt;="&amp;17)=0,0,SUP_CONTROL!$C$8*IF($B24="V",1,IF($B24="D",(1+SUP_VOLUMEN!$C$26),(1+SUP_VOLUMEN!$C$27)))*INDEX(SUP_C3_EXPANSION!$C$6:$F$6,MIN(4,COUNTIF(CAPA3_EXPANSION!$D$56:CF$56,"&gt;="&amp;17)))*CAPA3_EXPANSION!CF$36)</f>
        <v>3676.7640000000001</v>
      </c>
      <c r="CG24" s="88">
        <f>IF(COUNTIF(CAPA3_EXPANSION!$D$56:CG$56,"&gt;="&amp;17)=0,0,SUP_CONTROL!$C$8*IF($B24="V",1,IF($B24="D",(1+SUP_VOLUMEN!$C$26),(1+SUP_VOLUMEN!$C$27)))*INDEX(SUP_C3_EXPANSION!$C$6:$F$6,MIN(4,COUNTIF(CAPA3_EXPANSION!$D$56:CG$56,"&gt;="&amp;17)))*CAPA3_EXPANSION!CG$36)</f>
        <v>3676.7640000000001</v>
      </c>
      <c r="CH24" s="88">
        <f>IF(COUNTIF(CAPA3_EXPANSION!$D$56:CH$56,"&gt;="&amp;17)=0,0,SUP_CONTROL!$C$8*IF($B24="V",1,IF($B24="D",(1+SUP_VOLUMEN!$C$26),(1+SUP_VOLUMEN!$C$27)))*INDEX(SUP_C3_EXPANSION!$C$6:$F$6,MIN(4,COUNTIF(CAPA3_EXPANSION!$D$56:CH$56,"&gt;="&amp;17)))*CAPA3_EXPANSION!CH$36)</f>
        <v>3676.7640000000001</v>
      </c>
      <c r="CI24" s="88">
        <f>IF(COUNTIF(CAPA3_EXPANSION!$D$56:CI$56,"&gt;="&amp;17)=0,0,SUP_CONTROL!$C$8*IF($B24="V",1,IF($B24="D",(1+SUP_VOLUMEN!$C$26),(1+SUP_VOLUMEN!$C$27)))*INDEX(SUP_C3_EXPANSION!$C$6:$F$6,MIN(4,COUNTIF(CAPA3_EXPANSION!$D$56:CI$56,"&gt;="&amp;17)))*CAPA3_EXPANSION!CI$36)</f>
        <v>3676.7640000000001</v>
      </c>
      <c r="CJ24" s="88">
        <f>IF(COUNTIF(CAPA3_EXPANSION!$D$56:CJ$56,"&gt;="&amp;17)=0,0,SUP_CONTROL!$C$8*IF($B24="V",1,IF($B24="D",(1+SUP_VOLUMEN!$C$26),(1+SUP_VOLUMEN!$C$27)))*INDEX(SUP_C3_EXPANSION!$C$6:$F$6,MIN(4,COUNTIF(CAPA3_EXPANSION!$D$56:CJ$56,"&gt;="&amp;17)))*CAPA3_EXPANSION!CJ$36)</f>
        <v>3676.7640000000001</v>
      </c>
      <c r="CK24" s="88">
        <f>IF(COUNTIF(CAPA3_EXPANSION!$D$56:CK$56,"&gt;="&amp;17)=0,0,SUP_CONTROL!$C$8*IF($B24="V",1,IF($B24="D",(1+SUP_VOLUMEN!$C$26),(1+SUP_VOLUMEN!$C$27)))*INDEX(SUP_C3_EXPANSION!$C$6:$F$6,MIN(4,COUNTIF(CAPA3_EXPANSION!$D$56:CK$56,"&gt;="&amp;17)))*CAPA3_EXPANSION!CK$36)</f>
        <v>3676.7640000000001</v>
      </c>
      <c r="CL24" s="88">
        <f>IF(COUNTIF(CAPA3_EXPANSION!$D$56:CL$56,"&gt;="&amp;17)=0,0,SUP_CONTROL!$C$8*IF($B24="V",1,IF($B24="D",(1+SUP_VOLUMEN!$C$26),(1+SUP_VOLUMEN!$C$27)))*INDEX(SUP_C3_EXPANSION!$C$6:$F$6,MIN(4,COUNTIF(CAPA3_EXPANSION!$D$56:CL$56,"&gt;="&amp;17)))*CAPA3_EXPANSION!CL$36)</f>
        <v>3676.7640000000001</v>
      </c>
      <c r="CM24" s="88">
        <f>IF(COUNTIF(CAPA3_EXPANSION!$D$56:CM$56,"&gt;="&amp;17)=0,0,SUP_CONTROL!$C$8*IF($B24="V",1,IF($B24="D",(1+SUP_VOLUMEN!$C$26),(1+SUP_VOLUMEN!$C$27)))*INDEX(SUP_C3_EXPANSION!$C$6:$F$6,MIN(4,COUNTIF(CAPA3_EXPANSION!$D$56:CM$56,"&gt;="&amp;17)))*CAPA3_EXPANSION!CM$36)</f>
        <v>3676.7640000000001</v>
      </c>
      <c r="CN24" s="88">
        <f>IF(COUNTIF(CAPA3_EXPANSION!$D$56:CN$56,"&gt;="&amp;17)=0,0,SUP_CONTROL!$C$8*IF($B24="V",1,IF($B24="D",(1+SUP_VOLUMEN!$C$26),(1+SUP_VOLUMEN!$C$27)))*INDEX(SUP_C3_EXPANSION!$C$6:$F$6,MIN(4,COUNTIF(CAPA3_EXPANSION!$D$56:CN$56,"&gt;="&amp;17)))*CAPA3_EXPANSION!CN$36)</f>
        <v>3676.7640000000001</v>
      </c>
      <c r="CO24" s="88">
        <f>IF(COUNTIF(CAPA3_EXPANSION!$D$56:CO$56,"&gt;="&amp;17)=0,0,SUP_CONTROL!$C$8*IF($B24="V",1,IF($B24="D",(1+SUP_VOLUMEN!$C$26),(1+SUP_VOLUMEN!$C$27)))*INDEX(SUP_C3_EXPANSION!$C$6:$F$6,MIN(4,COUNTIF(CAPA3_EXPANSION!$D$56:CO$56,"&gt;="&amp;17)))*CAPA3_EXPANSION!CO$36)</f>
        <v>3676.7640000000001</v>
      </c>
      <c r="CP24" s="88">
        <f>IF(COUNTIF(CAPA3_EXPANSION!$D$56:CP$56,"&gt;="&amp;17)=0,0,SUP_CONTROL!$C$8*IF($B24="V",1,IF($B24="D",(1+SUP_VOLUMEN!$C$26),(1+SUP_VOLUMEN!$C$27)))*INDEX(SUP_C3_EXPANSION!$C$6:$F$6,MIN(4,COUNTIF(CAPA3_EXPANSION!$D$56:CP$56,"&gt;="&amp;17)))*CAPA3_EXPANSION!CP$36)</f>
        <v>3676.7640000000001</v>
      </c>
      <c r="CQ24" s="88">
        <f>IF(COUNTIF(CAPA3_EXPANSION!$D$56:CQ$56,"&gt;="&amp;17)=0,0,SUP_CONTROL!$C$8*IF($B24="V",1,IF($B24="D",(1+SUP_VOLUMEN!$C$26),(1+SUP_VOLUMEN!$C$27)))*INDEX(SUP_C3_EXPANSION!$C$6:$F$6,MIN(4,COUNTIF(CAPA3_EXPANSION!$D$56:CQ$56,"&gt;="&amp;17)))*CAPA3_EXPANSION!CQ$36)</f>
        <v>3676.7640000000001</v>
      </c>
      <c r="CR24" s="88">
        <f>IF(COUNTIF(CAPA3_EXPANSION!$D$56:CR$56,"&gt;="&amp;17)=0,0,SUP_CONTROL!$C$8*IF($B24="V",1,IF($B24="D",(1+SUP_VOLUMEN!$C$26),(1+SUP_VOLUMEN!$C$27)))*INDEX(SUP_C3_EXPANSION!$C$6:$F$6,MIN(4,COUNTIF(CAPA3_EXPANSION!$D$56:CR$56,"&gt;="&amp;17)))*CAPA3_EXPANSION!CR$36)</f>
        <v>3676.7640000000001</v>
      </c>
      <c r="CS24" s="88">
        <f>IF(COUNTIF(CAPA3_EXPANSION!$D$56:CS$56,"&gt;="&amp;17)=0,0,SUP_CONTROL!$C$8*IF($B24="V",1,IF($B24="D",(1+SUP_VOLUMEN!$C$26),(1+SUP_VOLUMEN!$C$27)))*INDEX(SUP_C3_EXPANSION!$C$6:$F$6,MIN(4,COUNTIF(CAPA3_EXPANSION!$D$56:CS$56,"&gt;="&amp;17)))*CAPA3_EXPANSION!CS$36)</f>
        <v>3676.7640000000001</v>
      </c>
      <c r="CT24" s="88">
        <f>IF(COUNTIF(CAPA3_EXPANSION!$D$56:CT$56,"&gt;="&amp;17)=0,0,SUP_CONTROL!$C$8*IF($B24="V",1,IF($B24="D",(1+SUP_VOLUMEN!$C$26),(1+SUP_VOLUMEN!$C$27)))*INDEX(SUP_C3_EXPANSION!$C$6:$F$6,MIN(4,COUNTIF(CAPA3_EXPANSION!$D$56:CT$56,"&gt;="&amp;17)))*CAPA3_EXPANSION!CT$36)</f>
        <v>3676.7640000000001</v>
      </c>
      <c r="CU24" s="88">
        <f>IF(COUNTIF(CAPA3_EXPANSION!$D$56:CU$56,"&gt;="&amp;17)=0,0,SUP_CONTROL!$C$8*IF($B24="V",1,IF($B24="D",(1+SUP_VOLUMEN!$C$26),(1+SUP_VOLUMEN!$C$27)))*INDEX(SUP_C3_EXPANSION!$C$6:$F$6,MIN(4,COUNTIF(CAPA3_EXPANSION!$D$56:CU$56,"&gt;="&amp;17)))*CAPA3_EXPANSION!CU$36)</f>
        <v>3676.7640000000001</v>
      </c>
      <c r="CV24" s="88">
        <f>IF(COUNTIF(CAPA3_EXPANSION!$D$56:CV$56,"&gt;="&amp;17)=0,0,SUP_CONTROL!$C$8*IF($B24="V",1,IF($B24="D",(1+SUP_VOLUMEN!$C$26),(1+SUP_VOLUMEN!$C$27)))*INDEX(SUP_C3_EXPANSION!$C$6:$F$6,MIN(4,COUNTIF(CAPA3_EXPANSION!$D$56:CV$56,"&gt;="&amp;17)))*CAPA3_EXPANSION!CV$36)</f>
        <v>3676.7640000000001</v>
      </c>
      <c r="CW24" s="88">
        <f>IF(COUNTIF(CAPA3_EXPANSION!$D$56:CW$56,"&gt;="&amp;17)=0,0,SUP_CONTROL!$C$8*IF($B24="V",1,IF($B24="D",(1+SUP_VOLUMEN!$C$26),(1+SUP_VOLUMEN!$C$27)))*INDEX(SUP_C3_EXPANSION!$C$6:$F$6,MIN(4,COUNTIF(CAPA3_EXPANSION!$D$56:CW$56,"&gt;="&amp;17)))*CAPA3_EXPANSION!CW$36)</f>
        <v>3676.7640000000001</v>
      </c>
      <c r="CX24" s="88">
        <f>IF(COUNTIF(CAPA3_EXPANSION!$D$56:CX$56,"&gt;="&amp;17)=0,0,SUP_CONTROL!$C$8*IF($B24="V",1,IF($B24="D",(1+SUP_VOLUMEN!$C$26),(1+SUP_VOLUMEN!$C$27)))*INDEX(SUP_C3_EXPANSION!$C$6:$F$6,MIN(4,COUNTIF(CAPA3_EXPANSION!$D$56:CX$56,"&gt;="&amp;17)))*CAPA3_EXPANSION!CX$36)</f>
        <v>3676.7640000000001</v>
      </c>
      <c r="CY24" s="88">
        <f>IF(COUNTIF(CAPA3_EXPANSION!$D$56:CY$56,"&gt;="&amp;17)=0,0,SUP_CONTROL!$C$8*IF($B24="V",1,IF($B24="D",(1+SUP_VOLUMEN!$C$26),(1+SUP_VOLUMEN!$C$27)))*INDEX(SUP_C3_EXPANSION!$C$6:$F$6,MIN(4,COUNTIF(CAPA3_EXPANSION!$D$56:CY$56,"&gt;="&amp;17)))*CAPA3_EXPANSION!CY$36)</f>
        <v>3676.7640000000001</v>
      </c>
      <c r="CZ24" s="88">
        <f>IF(COUNTIF(CAPA3_EXPANSION!$D$56:CZ$56,"&gt;="&amp;17)=0,0,SUP_CONTROL!$C$8*IF($B24="V",1,IF($B24="D",(1+SUP_VOLUMEN!$C$26),(1+SUP_VOLUMEN!$C$27)))*INDEX(SUP_C3_EXPANSION!$C$6:$F$6,MIN(4,COUNTIF(CAPA3_EXPANSION!$D$56:CZ$56,"&gt;="&amp;17)))*CAPA3_EXPANSION!CZ$36)</f>
        <v>3676.7640000000001</v>
      </c>
      <c r="DA24" s="88">
        <f>IF(COUNTIF(CAPA3_EXPANSION!$D$56:DA$56,"&gt;="&amp;17)=0,0,SUP_CONTROL!$C$8*IF($B24="V",1,IF($B24="D",(1+SUP_VOLUMEN!$C$26),(1+SUP_VOLUMEN!$C$27)))*INDEX(SUP_C3_EXPANSION!$C$6:$F$6,MIN(4,COUNTIF(CAPA3_EXPANSION!$D$56:DA$56,"&gt;="&amp;17)))*CAPA3_EXPANSION!DA$36)</f>
        <v>3676.7640000000001</v>
      </c>
      <c r="DB24" s="88">
        <f>IF(COUNTIF(CAPA3_EXPANSION!$D$56:DB$56,"&gt;="&amp;17)=0,0,SUP_CONTROL!$C$8*IF($B24="V",1,IF($B24="D",(1+SUP_VOLUMEN!$C$26),(1+SUP_VOLUMEN!$C$27)))*INDEX(SUP_C3_EXPANSION!$C$6:$F$6,MIN(4,COUNTIF(CAPA3_EXPANSION!$D$56:DB$56,"&gt;="&amp;17)))*CAPA3_EXPANSION!DB$36)</f>
        <v>3676.7640000000001</v>
      </c>
      <c r="DC24" s="88">
        <f>IF(COUNTIF(CAPA3_EXPANSION!$D$56:DC$56,"&gt;="&amp;17)=0,0,SUP_CONTROL!$C$8*IF($B24="V",1,IF($B24="D",(1+SUP_VOLUMEN!$C$26),(1+SUP_VOLUMEN!$C$27)))*INDEX(SUP_C3_EXPANSION!$C$6:$F$6,MIN(4,COUNTIF(CAPA3_EXPANSION!$D$56:DC$56,"&gt;="&amp;17)))*CAPA3_EXPANSION!DC$36)</f>
        <v>3676.7640000000001</v>
      </c>
      <c r="DD24" s="88">
        <f>IF(COUNTIF(CAPA3_EXPANSION!$D$56:DD$56,"&gt;="&amp;17)=0,0,SUP_CONTROL!$C$8*IF($B24="V",1,IF($B24="D",(1+SUP_VOLUMEN!$C$26),(1+SUP_VOLUMEN!$C$27)))*INDEX(SUP_C3_EXPANSION!$C$6:$F$6,MIN(4,COUNTIF(CAPA3_EXPANSION!$D$56:DD$56,"&gt;="&amp;17)))*CAPA3_EXPANSION!DD$36)</f>
        <v>3676.7640000000001</v>
      </c>
      <c r="DE24" s="88">
        <f>IF(COUNTIF(CAPA3_EXPANSION!$D$56:DE$56,"&gt;="&amp;17)=0,0,SUP_CONTROL!$C$8*IF($B24="V",1,IF($B24="D",(1+SUP_VOLUMEN!$C$26),(1+SUP_VOLUMEN!$C$27)))*INDEX(SUP_C3_EXPANSION!$C$6:$F$6,MIN(4,COUNTIF(CAPA3_EXPANSION!$D$56:DE$56,"&gt;="&amp;17)))*CAPA3_EXPANSION!DE$36)</f>
        <v>3676.7640000000001</v>
      </c>
      <c r="DF24" s="88">
        <f>IF(COUNTIF(CAPA3_EXPANSION!$D$56:DF$56,"&gt;="&amp;17)=0,0,SUP_CONTROL!$C$8*IF($B24="V",1,IF($B24="D",(1+SUP_VOLUMEN!$C$26),(1+SUP_VOLUMEN!$C$27)))*INDEX(SUP_C3_EXPANSION!$C$6:$F$6,MIN(4,COUNTIF(CAPA3_EXPANSION!$D$56:DF$56,"&gt;="&amp;17)))*CAPA3_EXPANSION!DF$36)</f>
        <v>3676.7640000000001</v>
      </c>
      <c r="DG24" s="88">
        <f>IF(COUNTIF(CAPA3_EXPANSION!$D$56:DG$56,"&gt;="&amp;17)=0,0,SUP_CONTROL!$C$8*IF($B24="V",1,IF($B24="D",(1+SUP_VOLUMEN!$C$26),(1+SUP_VOLUMEN!$C$27)))*INDEX(SUP_C3_EXPANSION!$C$6:$F$6,MIN(4,COUNTIF(CAPA3_EXPANSION!$D$56:DG$56,"&gt;="&amp;17)))*CAPA3_EXPANSION!DG$36)</f>
        <v>3676.7640000000001</v>
      </c>
      <c r="DH24" s="88">
        <f>IF(COUNTIF(CAPA3_EXPANSION!$D$56:DH$56,"&gt;="&amp;17)=0,0,SUP_CONTROL!$C$8*IF($B24="V",1,IF($B24="D",(1+SUP_VOLUMEN!$C$26),(1+SUP_VOLUMEN!$C$27)))*INDEX(SUP_C3_EXPANSION!$C$6:$F$6,MIN(4,COUNTIF(CAPA3_EXPANSION!$D$56:DH$56,"&gt;="&amp;17)))*CAPA3_EXPANSION!DH$36)</f>
        <v>3676.7640000000001</v>
      </c>
      <c r="DI24" s="88">
        <f>IF(COUNTIF(CAPA3_EXPANSION!$D$56:DI$56,"&gt;="&amp;17)=0,0,SUP_CONTROL!$C$8*IF($B24="V",1,IF($B24="D",(1+SUP_VOLUMEN!$C$26),(1+SUP_VOLUMEN!$C$27)))*INDEX(SUP_C3_EXPANSION!$C$6:$F$6,MIN(4,COUNTIF(CAPA3_EXPANSION!$D$56:DI$56,"&gt;="&amp;17)))*CAPA3_EXPANSION!DI$36)</f>
        <v>3676.7640000000001</v>
      </c>
      <c r="DJ24" s="88">
        <f>IF(COUNTIF(CAPA3_EXPANSION!$D$56:DJ$56,"&gt;="&amp;17)=0,0,SUP_CONTROL!$C$8*IF($B24="V",1,IF($B24="D",(1+SUP_VOLUMEN!$C$26),(1+SUP_VOLUMEN!$C$27)))*INDEX(SUP_C3_EXPANSION!$C$6:$F$6,MIN(4,COUNTIF(CAPA3_EXPANSION!$D$56:DJ$56,"&gt;="&amp;17)))*CAPA3_EXPANSION!DJ$36)</f>
        <v>3676.7640000000001</v>
      </c>
      <c r="DK24" s="88">
        <f>IF(COUNTIF(CAPA3_EXPANSION!$D$56:DK$56,"&gt;="&amp;17)=0,0,SUP_CONTROL!$C$8*IF($B24="V",1,IF($B24="D",(1+SUP_VOLUMEN!$C$26),(1+SUP_VOLUMEN!$C$27)))*INDEX(SUP_C3_EXPANSION!$C$6:$F$6,MIN(4,COUNTIF(CAPA3_EXPANSION!$D$56:DK$56,"&gt;="&amp;17)))*CAPA3_EXPANSION!DK$36)</f>
        <v>3676.7640000000001</v>
      </c>
      <c r="DL24" s="88">
        <f>IF(COUNTIF(CAPA3_EXPANSION!$D$56:DL$56,"&gt;="&amp;17)=0,0,SUP_CONTROL!$C$8*IF($B24="V",1,IF($B24="D",(1+SUP_VOLUMEN!$C$26),(1+SUP_VOLUMEN!$C$27)))*INDEX(SUP_C3_EXPANSION!$C$6:$F$6,MIN(4,COUNTIF(CAPA3_EXPANSION!$D$56:DL$56,"&gt;="&amp;17)))*CAPA3_EXPANSION!DL$36)</f>
        <v>3676.7640000000001</v>
      </c>
      <c r="DM24" s="88">
        <f>IF(COUNTIF(CAPA3_EXPANSION!$D$56:DM$56,"&gt;="&amp;17)=0,0,SUP_CONTROL!$C$8*IF($B24="V",1,IF($B24="D",(1+SUP_VOLUMEN!$C$26),(1+SUP_VOLUMEN!$C$27)))*INDEX(SUP_C3_EXPANSION!$C$6:$F$6,MIN(4,COUNTIF(CAPA3_EXPANSION!$D$56:DM$56,"&gt;="&amp;17)))*CAPA3_EXPANSION!DM$36)</f>
        <v>3676.7640000000001</v>
      </c>
      <c r="DN24" s="88">
        <f>IF(COUNTIF(CAPA3_EXPANSION!$D$56:DN$56,"&gt;="&amp;17)=0,0,SUP_CONTROL!$C$8*IF($B24="V",1,IF($B24="D",(1+SUP_VOLUMEN!$C$26),(1+SUP_VOLUMEN!$C$27)))*INDEX(SUP_C3_EXPANSION!$C$6:$F$6,MIN(4,COUNTIF(CAPA3_EXPANSION!$D$56:DN$56,"&gt;="&amp;17)))*CAPA3_EXPANSION!DN$36)</f>
        <v>3676.7640000000001</v>
      </c>
      <c r="DO24" s="88">
        <f>IF(COUNTIF(CAPA3_EXPANSION!$D$56:DO$56,"&gt;="&amp;17)=0,0,SUP_CONTROL!$C$8*IF($B24="V",1,IF($B24="D",(1+SUP_VOLUMEN!$C$26),(1+SUP_VOLUMEN!$C$27)))*INDEX(SUP_C3_EXPANSION!$C$6:$F$6,MIN(4,COUNTIF(CAPA3_EXPANSION!$D$56:DO$56,"&gt;="&amp;17)))*CAPA3_EXPANSION!DO$36)</f>
        <v>3676.7640000000001</v>
      </c>
      <c r="DP24" s="88">
        <f>IF(COUNTIF(CAPA3_EXPANSION!$D$56:DP$56,"&gt;="&amp;17)=0,0,SUP_CONTROL!$C$8*IF($B24="V",1,IF($B24="D",(1+SUP_VOLUMEN!$C$26),(1+SUP_VOLUMEN!$C$27)))*INDEX(SUP_C3_EXPANSION!$C$6:$F$6,MIN(4,COUNTIF(CAPA3_EXPANSION!$D$56:DP$56,"&gt;="&amp;17)))*CAPA3_EXPANSION!DP$36)</f>
        <v>3676.7640000000001</v>
      </c>
      <c r="DQ24" s="88">
        <f>IF(COUNTIF(CAPA3_EXPANSION!$D$56:DQ$56,"&gt;="&amp;17)=0,0,SUP_CONTROL!$C$8*IF($B24="V",1,IF($B24="D",(1+SUP_VOLUMEN!$C$26),(1+SUP_VOLUMEN!$C$27)))*INDEX(SUP_C3_EXPANSION!$C$6:$F$6,MIN(4,COUNTIF(CAPA3_EXPANSION!$D$56:DQ$56,"&gt;="&amp;17)))*CAPA3_EXPANSION!DQ$36)</f>
        <v>3676.7640000000001</v>
      </c>
      <c r="DR24" s="88">
        <f>IF(COUNTIF(CAPA3_EXPANSION!$D$56:DR$56,"&gt;="&amp;17)=0,0,SUP_CONTROL!$C$8*IF($B24="V",1,IF($B24="D",(1+SUP_VOLUMEN!$C$26),(1+SUP_VOLUMEN!$C$27)))*INDEX(SUP_C3_EXPANSION!$C$6:$F$6,MIN(4,COUNTIF(CAPA3_EXPANSION!$D$56:DR$56,"&gt;="&amp;17)))*CAPA3_EXPANSION!DR$36)</f>
        <v>3676.7640000000001</v>
      </c>
      <c r="DS24" s="88">
        <f>IF(COUNTIF(CAPA3_EXPANSION!$D$56:DS$56,"&gt;="&amp;17)=0,0,SUP_CONTROL!$C$8*IF($B24="V",1,IF($B24="D",(1+SUP_VOLUMEN!$C$26),(1+SUP_VOLUMEN!$C$27)))*INDEX(SUP_C3_EXPANSION!$C$6:$F$6,MIN(4,COUNTIF(CAPA3_EXPANSION!$D$56:DS$56,"&gt;="&amp;17)))*CAPA3_EXPANSION!DS$36)</f>
        <v>3676.7640000000001</v>
      </c>
    </row>
    <row r="25" spans="1:123" ht="15" customHeight="1" x14ac:dyDescent="0.2">
      <c r="A25" s="88">
        <v>28</v>
      </c>
      <c r="B25" s="104" t="str">
        <f>SUP_C3_EXPANSION!B37</f>
        <v>V</v>
      </c>
      <c r="C25" s="73">
        <f>SUP_C3_EXPANSION!G37</f>
        <v>53</v>
      </c>
      <c r="D25" s="88">
        <f>IF(COUNTIF(CAPA3_EXPANSION!$D$56:D$56,"&gt;="&amp;18)=0,0,SUP_CONTROL!$C$8*IF($B25="V",1,IF($B25="D",(1+SUP_VOLUMEN!$C$26),(1+SUP_VOLUMEN!$C$27)))*INDEX(SUP_C3_EXPANSION!$C$6:$F$6,MIN(4,COUNTIF(CAPA3_EXPANSION!$D$56:D$56,"&gt;="&amp;18)))*CAPA3_EXPANSION!D$36)</f>
        <v>0</v>
      </c>
      <c r="E25" s="88">
        <f>IF(COUNTIF(CAPA3_EXPANSION!$D$56:E$56,"&gt;="&amp;18)=0,0,SUP_CONTROL!$C$8*IF($B25="V",1,IF($B25="D",(1+SUP_VOLUMEN!$C$26),(1+SUP_VOLUMEN!$C$27)))*INDEX(SUP_C3_EXPANSION!$C$6:$F$6,MIN(4,COUNTIF(CAPA3_EXPANSION!$D$56:E$56,"&gt;="&amp;18)))*CAPA3_EXPANSION!E$36)</f>
        <v>0</v>
      </c>
      <c r="F25" s="88">
        <f>IF(COUNTIF(CAPA3_EXPANSION!$D$56:F$56,"&gt;="&amp;18)=0,0,SUP_CONTROL!$C$8*IF($B25="V",1,IF($B25="D",(1+SUP_VOLUMEN!$C$26),(1+SUP_VOLUMEN!$C$27)))*INDEX(SUP_C3_EXPANSION!$C$6:$F$6,MIN(4,COUNTIF(CAPA3_EXPANSION!$D$56:F$56,"&gt;="&amp;18)))*CAPA3_EXPANSION!F$36)</f>
        <v>0</v>
      </c>
      <c r="G25" s="88">
        <f>IF(COUNTIF(CAPA3_EXPANSION!$D$56:G$56,"&gt;="&amp;18)=0,0,SUP_CONTROL!$C$8*IF($B25="V",1,IF($B25="D",(1+SUP_VOLUMEN!$C$26),(1+SUP_VOLUMEN!$C$27)))*INDEX(SUP_C3_EXPANSION!$C$6:$F$6,MIN(4,COUNTIF(CAPA3_EXPANSION!$D$56:G$56,"&gt;="&amp;18)))*CAPA3_EXPANSION!G$36)</f>
        <v>0</v>
      </c>
      <c r="H25" s="88">
        <f>IF(COUNTIF(CAPA3_EXPANSION!$D$56:H$56,"&gt;="&amp;18)=0,0,SUP_CONTROL!$C$8*IF($B25="V",1,IF($B25="D",(1+SUP_VOLUMEN!$C$26),(1+SUP_VOLUMEN!$C$27)))*INDEX(SUP_C3_EXPANSION!$C$6:$F$6,MIN(4,COUNTIF(CAPA3_EXPANSION!$D$56:H$56,"&gt;="&amp;18)))*CAPA3_EXPANSION!H$36)</f>
        <v>0</v>
      </c>
      <c r="I25" s="88">
        <f>IF(COUNTIF(CAPA3_EXPANSION!$D$56:I$56,"&gt;="&amp;18)=0,0,SUP_CONTROL!$C$8*IF($B25="V",1,IF($B25="D",(1+SUP_VOLUMEN!$C$26),(1+SUP_VOLUMEN!$C$27)))*INDEX(SUP_C3_EXPANSION!$C$6:$F$6,MIN(4,COUNTIF(CAPA3_EXPANSION!$D$56:I$56,"&gt;="&amp;18)))*CAPA3_EXPANSION!I$36)</f>
        <v>0</v>
      </c>
      <c r="J25" s="88">
        <f>IF(COUNTIF(CAPA3_EXPANSION!$D$56:J$56,"&gt;="&amp;18)=0,0,SUP_CONTROL!$C$8*IF($B25="V",1,IF($B25="D",(1+SUP_VOLUMEN!$C$26),(1+SUP_VOLUMEN!$C$27)))*INDEX(SUP_C3_EXPANSION!$C$6:$F$6,MIN(4,COUNTIF(CAPA3_EXPANSION!$D$56:J$56,"&gt;="&amp;18)))*CAPA3_EXPANSION!J$36)</f>
        <v>0</v>
      </c>
      <c r="K25" s="88">
        <f>IF(COUNTIF(CAPA3_EXPANSION!$D$56:K$56,"&gt;="&amp;18)=0,0,SUP_CONTROL!$C$8*IF($B25="V",1,IF($B25="D",(1+SUP_VOLUMEN!$C$26),(1+SUP_VOLUMEN!$C$27)))*INDEX(SUP_C3_EXPANSION!$C$6:$F$6,MIN(4,COUNTIF(CAPA3_EXPANSION!$D$56:K$56,"&gt;="&amp;18)))*CAPA3_EXPANSION!K$36)</f>
        <v>0</v>
      </c>
      <c r="L25" s="88">
        <f>IF(COUNTIF(CAPA3_EXPANSION!$D$56:L$56,"&gt;="&amp;18)=0,0,SUP_CONTROL!$C$8*IF($B25="V",1,IF($B25="D",(1+SUP_VOLUMEN!$C$26),(1+SUP_VOLUMEN!$C$27)))*INDEX(SUP_C3_EXPANSION!$C$6:$F$6,MIN(4,COUNTIF(CAPA3_EXPANSION!$D$56:L$56,"&gt;="&amp;18)))*CAPA3_EXPANSION!L$36)</f>
        <v>0</v>
      </c>
      <c r="M25" s="88">
        <f>IF(COUNTIF(CAPA3_EXPANSION!$D$56:M$56,"&gt;="&amp;18)=0,0,SUP_CONTROL!$C$8*IF($B25="V",1,IF($B25="D",(1+SUP_VOLUMEN!$C$26),(1+SUP_VOLUMEN!$C$27)))*INDEX(SUP_C3_EXPANSION!$C$6:$F$6,MIN(4,COUNTIF(CAPA3_EXPANSION!$D$56:M$56,"&gt;="&amp;18)))*CAPA3_EXPANSION!M$36)</f>
        <v>0</v>
      </c>
      <c r="N25" s="88">
        <f>IF(COUNTIF(CAPA3_EXPANSION!$D$56:N$56,"&gt;="&amp;18)=0,0,SUP_CONTROL!$C$8*IF($B25="V",1,IF($B25="D",(1+SUP_VOLUMEN!$C$26),(1+SUP_VOLUMEN!$C$27)))*INDEX(SUP_C3_EXPANSION!$C$6:$F$6,MIN(4,COUNTIF(CAPA3_EXPANSION!$D$56:N$56,"&gt;="&amp;18)))*CAPA3_EXPANSION!N$36)</f>
        <v>0</v>
      </c>
      <c r="O25" s="88">
        <f>IF(COUNTIF(CAPA3_EXPANSION!$D$56:O$56,"&gt;="&amp;18)=0,0,SUP_CONTROL!$C$8*IF($B25="V",1,IF($B25="D",(1+SUP_VOLUMEN!$C$26),(1+SUP_VOLUMEN!$C$27)))*INDEX(SUP_C3_EXPANSION!$C$6:$F$6,MIN(4,COUNTIF(CAPA3_EXPANSION!$D$56:O$56,"&gt;="&amp;18)))*CAPA3_EXPANSION!O$36)</f>
        <v>0</v>
      </c>
      <c r="P25" s="88">
        <f>IF(COUNTIF(CAPA3_EXPANSION!$D$56:P$56,"&gt;="&amp;18)=0,0,SUP_CONTROL!$C$8*IF($B25="V",1,IF($B25="D",(1+SUP_VOLUMEN!$C$26),(1+SUP_VOLUMEN!$C$27)))*INDEX(SUP_C3_EXPANSION!$C$6:$F$6,MIN(4,COUNTIF(CAPA3_EXPANSION!$D$56:P$56,"&gt;="&amp;18)))*CAPA3_EXPANSION!P$36)</f>
        <v>0</v>
      </c>
      <c r="Q25" s="88">
        <f>IF(COUNTIF(CAPA3_EXPANSION!$D$56:Q$56,"&gt;="&amp;18)=0,0,SUP_CONTROL!$C$8*IF($B25="V",1,IF($B25="D",(1+SUP_VOLUMEN!$C$26),(1+SUP_VOLUMEN!$C$27)))*INDEX(SUP_C3_EXPANSION!$C$6:$F$6,MIN(4,COUNTIF(CAPA3_EXPANSION!$D$56:Q$56,"&gt;="&amp;18)))*CAPA3_EXPANSION!Q$36)</f>
        <v>0</v>
      </c>
      <c r="R25" s="88">
        <f>IF(COUNTIF(CAPA3_EXPANSION!$D$56:R$56,"&gt;="&amp;18)=0,0,SUP_CONTROL!$C$8*IF($B25="V",1,IF($B25="D",(1+SUP_VOLUMEN!$C$26),(1+SUP_VOLUMEN!$C$27)))*INDEX(SUP_C3_EXPANSION!$C$6:$F$6,MIN(4,COUNTIF(CAPA3_EXPANSION!$D$56:R$56,"&gt;="&amp;18)))*CAPA3_EXPANSION!R$36)</f>
        <v>0</v>
      </c>
      <c r="S25" s="88">
        <f>IF(COUNTIF(CAPA3_EXPANSION!$D$56:S$56,"&gt;="&amp;18)=0,0,SUP_CONTROL!$C$8*IF($B25="V",1,IF($B25="D",(1+SUP_VOLUMEN!$C$26),(1+SUP_VOLUMEN!$C$27)))*INDEX(SUP_C3_EXPANSION!$C$6:$F$6,MIN(4,COUNTIF(CAPA3_EXPANSION!$D$56:S$56,"&gt;="&amp;18)))*CAPA3_EXPANSION!S$36)</f>
        <v>0</v>
      </c>
      <c r="T25" s="88">
        <f>IF(COUNTIF(CAPA3_EXPANSION!$D$56:T$56,"&gt;="&amp;18)=0,0,SUP_CONTROL!$C$8*IF($B25="V",1,IF($B25="D",(1+SUP_VOLUMEN!$C$26),(1+SUP_VOLUMEN!$C$27)))*INDEX(SUP_C3_EXPANSION!$C$6:$F$6,MIN(4,COUNTIF(CAPA3_EXPANSION!$D$56:T$56,"&gt;="&amp;18)))*CAPA3_EXPANSION!T$36)</f>
        <v>0</v>
      </c>
      <c r="U25" s="88">
        <f>IF(COUNTIF(CAPA3_EXPANSION!$D$56:U$56,"&gt;="&amp;18)=0,0,SUP_CONTROL!$C$8*IF($B25="V",1,IF($B25="D",(1+SUP_VOLUMEN!$C$26),(1+SUP_VOLUMEN!$C$27)))*INDEX(SUP_C3_EXPANSION!$C$6:$F$6,MIN(4,COUNTIF(CAPA3_EXPANSION!$D$56:U$56,"&gt;="&amp;18)))*CAPA3_EXPANSION!U$36)</f>
        <v>0</v>
      </c>
      <c r="V25" s="88">
        <f>IF(COUNTIF(CAPA3_EXPANSION!$D$56:V$56,"&gt;="&amp;18)=0,0,SUP_CONTROL!$C$8*IF($B25="V",1,IF($B25="D",(1+SUP_VOLUMEN!$C$26),(1+SUP_VOLUMEN!$C$27)))*INDEX(SUP_C3_EXPANSION!$C$6:$F$6,MIN(4,COUNTIF(CAPA3_EXPANSION!$D$56:V$56,"&gt;="&amp;18)))*CAPA3_EXPANSION!V$36)</f>
        <v>0</v>
      </c>
      <c r="W25" s="88">
        <f>IF(COUNTIF(CAPA3_EXPANSION!$D$56:W$56,"&gt;="&amp;18)=0,0,SUP_CONTROL!$C$8*IF($B25="V",1,IF($B25="D",(1+SUP_VOLUMEN!$C$26),(1+SUP_VOLUMEN!$C$27)))*INDEX(SUP_C3_EXPANSION!$C$6:$F$6,MIN(4,COUNTIF(CAPA3_EXPANSION!$D$56:W$56,"&gt;="&amp;18)))*CAPA3_EXPANSION!W$36)</f>
        <v>0</v>
      </c>
      <c r="X25" s="88">
        <f>IF(COUNTIF(CAPA3_EXPANSION!$D$56:X$56,"&gt;="&amp;18)=0,0,SUP_CONTROL!$C$8*IF($B25="V",1,IF($B25="D",(1+SUP_VOLUMEN!$C$26),(1+SUP_VOLUMEN!$C$27)))*INDEX(SUP_C3_EXPANSION!$C$6:$F$6,MIN(4,COUNTIF(CAPA3_EXPANSION!$D$56:X$56,"&gt;="&amp;18)))*CAPA3_EXPANSION!X$36)</f>
        <v>0</v>
      </c>
      <c r="Y25" s="88">
        <f>IF(COUNTIF(CAPA3_EXPANSION!$D$56:Y$56,"&gt;="&amp;18)=0,0,SUP_CONTROL!$C$8*IF($B25="V",1,IF($B25="D",(1+SUP_VOLUMEN!$C$26),(1+SUP_VOLUMEN!$C$27)))*INDEX(SUP_C3_EXPANSION!$C$6:$F$6,MIN(4,COUNTIF(CAPA3_EXPANSION!$D$56:Y$56,"&gt;="&amp;18)))*CAPA3_EXPANSION!Y$36)</f>
        <v>0</v>
      </c>
      <c r="Z25" s="88">
        <f>IF(COUNTIF(CAPA3_EXPANSION!$D$56:Z$56,"&gt;="&amp;18)=0,0,SUP_CONTROL!$C$8*IF($B25="V",1,IF($B25="D",(1+SUP_VOLUMEN!$C$26),(1+SUP_VOLUMEN!$C$27)))*INDEX(SUP_C3_EXPANSION!$C$6:$F$6,MIN(4,COUNTIF(CAPA3_EXPANSION!$D$56:Z$56,"&gt;="&amp;18)))*CAPA3_EXPANSION!Z$36)</f>
        <v>0</v>
      </c>
      <c r="AA25" s="88">
        <f>IF(COUNTIF(CAPA3_EXPANSION!$D$56:AA$56,"&gt;="&amp;18)=0,0,SUP_CONTROL!$C$8*IF($B25="V",1,IF($B25="D",(1+SUP_VOLUMEN!$C$26),(1+SUP_VOLUMEN!$C$27)))*INDEX(SUP_C3_EXPANSION!$C$6:$F$6,MIN(4,COUNTIF(CAPA3_EXPANSION!$D$56:AA$56,"&gt;="&amp;18)))*CAPA3_EXPANSION!AA$36)</f>
        <v>0</v>
      </c>
      <c r="AB25" s="88">
        <f>IF(COUNTIF(CAPA3_EXPANSION!$D$56:AB$56,"&gt;="&amp;18)=0,0,SUP_CONTROL!$C$8*IF($B25="V",1,IF($B25="D",(1+SUP_VOLUMEN!$C$26),(1+SUP_VOLUMEN!$C$27)))*INDEX(SUP_C3_EXPANSION!$C$6:$F$6,MIN(4,COUNTIF(CAPA3_EXPANSION!$D$56:AB$56,"&gt;="&amp;18)))*CAPA3_EXPANSION!AB$36)</f>
        <v>0</v>
      </c>
      <c r="AC25" s="88">
        <f>IF(COUNTIF(CAPA3_EXPANSION!$D$56:AC$56,"&gt;="&amp;18)=0,0,SUP_CONTROL!$C$8*IF($B25="V",1,IF($B25="D",(1+SUP_VOLUMEN!$C$26),(1+SUP_VOLUMEN!$C$27)))*INDEX(SUP_C3_EXPANSION!$C$6:$F$6,MIN(4,COUNTIF(CAPA3_EXPANSION!$D$56:AC$56,"&gt;="&amp;18)))*CAPA3_EXPANSION!AC$36)</f>
        <v>0</v>
      </c>
      <c r="AD25" s="88">
        <f>IF(COUNTIF(CAPA3_EXPANSION!$D$56:AD$56,"&gt;="&amp;18)=0,0,SUP_CONTROL!$C$8*IF($B25="V",1,IF($B25="D",(1+SUP_VOLUMEN!$C$26),(1+SUP_VOLUMEN!$C$27)))*INDEX(SUP_C3_EXPANSION!$C$6:$F$6,MIN(4,COUNTIF(CAPA3_EXPANSION!$D$56:AD$56,"&gt;="&amp;18)))*CAPA3_EXPANSION!AD$36)</f>
        <v>0</v>
      </c>
      <c r="AE25" s="88">
        <f>IF(COUNTIF(CAPA3_EXPANSION!$D$56:AE$56,"&gt;="&amp;18)=0,0,SUP_CONTROL!$C$8*IF($B25="V",1,IF($B25="D",(1+SUP_VOLUMEN!$C$26),(1+SUP_VOLUMEN!$C$27)))*INDEX(SUP_C3_EXPANSION!$C$6:$F$6,MIN(4,COUNTIF(CAPA3_EXPANSION!$D$56:AE$56,"&gt;="&amp;18)))*CAPA3_EXPANSION!AE$36)</f>
        <v>0</v>
      </c>
      <c r="AF25" s="88">
        <f>IF(COUNTIF(CAPA3_EXPANSION!$D$56:AF$56,"&gt;="&amp;18)=0,0,SUP_CONTROL!$C$8*IF($B25="V",1,IF($B25="D",(1+SUP_VOLUMEN!$C$26),(1+SUP_VOLUMEN!$C$27)))*INDEX(SUP_C3_EXPANSION!$C$6:$F$6,MIN(4,COUNTIF(CAPA3_EXPANSION!$D$56:AF$56,"&gt;="&amp;18)))*CAPA3_EXPANSION!AF$36)</f>
        <v>0</v>
      </c>
      <c r="AG25" s="88">
        <f>IF(COUNTIF(CAPA3_EXPANSION!$D$56:AG$56,"&gt;="&amp;18)=0,0,SUP_CONTROL!$C$8*IF($B25="V",1,IF($B25="D",(1+SUP_VOLUMEN!$C$26),(1+SUP_VOLUMEN!$C$27)))*INDEX(SUP_C3_EXPANSION!$C$6:$F$6,MIN(4,COUNTIF(CAPA3_EXPANSION!$D$56:AG$56,"&gt;="&amp;18)))*CAPA3_EXPANSION!AG$36)</f>
        <v>0</v>
      </c>
      <c r="AH25" s="88">
        <f>IF(COUNTIF(CAPA3_EXPANSION!$D$56:AH$56,"&gt;="&amp;18)=0,0,SUP_CONTROL!$C$8*IF($B25="V",1,IF($B25="D",(1+SUP_VOLUMEN!$C$26),(1+SUP_VOLUMEN!$C$27)))*INDEX(SUP_C3_EXPANSION!$C$6:$F$6,MIN(4,COUNTIF(CAPA3_EXPANSION!$D$56:AH$56,"&gt;="&amp;18)))*CAPA3_EXPANSION!AH$36)</f>
        <v>0</v>
      </c>
      <c r="AI25" s="88">
        <f>IF(COUNTIF(CAPA3_EXPANSION!$D$56:AI$56,"&gt;="&amp;18)=0,0,SUP_CONTROL!$C$8*IF($B25="V",1,IF($B25="D",(1+SUP_VOLUMEN!$C$26),(1+SUP_VOLUMEN!$C$27)))*INDEX(SUP_C3_EXPANSION!$C$6:$F$6,MIN(4,COUNTIF(CAPA3_EXPANSION!$D$56:AI$56,"&gt;="&amp;18)))*CAPA3_EXPANSION!AI$36)</f>
        <v>0</v>
      </c>
      <c r="AJ25" s="88">
        <f>IF(COUNTIF(CAPA3_EXPANSION!$D$56:AJ$56,"&gt;="&amp;18)=0,0,SUP_CONTROL!$C$8*IF($B25="V",1,IF($B25="D",(1+SUP_VOLUMEN!$C$26),(1+SUP_VOLUMEN!$C$27)))*INDEX(SUP_C3_EXPANSION!$C$6:$F$6,MIN(4,COUNTIF(CAPA3_EXPANSION!$D$56:AJ$56,"&gt;="&amp;18)))*CAPA3_EXPANSION!AJ$36)</f>
        <v>0</v>
      </c>
      <c r="AK25" s="88">
        <f>IF(COUNTIF(CAPA3_EXPANSION!$D$56:AK$56,"&gt;="&amp;18)=0,0,SUP_CONTROL!$C$8*IF($B25="V",1,IF($B25="D",(1+SUP_VOLUMEN!$C$26),(1+SUP_VOLUMEN!$C$27)))*INDEX(SUP_C3_EXPANSION!$C$6:$F$6,MIN(4,COUNTIF(CAPA3_EXPANSION!$D$56:AK$56,"&gt;="&amp;18)))*CAPA3_EXPANSION!AK$36)</f>
        <v>0</v>
      </c>
      <c r="AL25" s="88">
        <f>IF(COUNTIF(CAPA3_EXPANSION!$D$56:AL$56,"&gt;="&amp;18)=0,0,SUP_CONTROL!$C$8*IF($B25="V",1,IF($B25="D",(1+SUP_VOLUMEN!$C$26),(1+SUP_VOLUMEN!$C$27)))*INDEX(SUP_C3_EXPANSION!$C$6:$F$6,MIN(4,COUNTIF(CAPA3_EXPANSION!$D$56:AL$56,"&gt;="&amp;18)))*CAPA3_EXPANSION!AL$36)</f>
        <v>0</v>
      </c>
      <c r="AM25" s="88">
        <f>IF(COUNTIF(CAPA3_EXPANSION!$D$56:AM$56,"&gt;="&amp;18)=0,0,SUP_CONTROL!$C$8*IF($B25="V",1,IF($B25="D",(1+SUP_VOLUMEN!$C$26),(1+SUP_VOLUMEN!$C$27)))*INDEX(SUP_C3_EXPANSION!$C$6:$F$6,MIN(4,COUNTIF(CAPA3_EXPANSION!$D$56:AM$56,"&gt;="&amp;18)))*CAPA3_EXPANSION!AM$36)</f>
        <v>0</v>
      </c>
      <c r="AN25" s="88">
        <f>IF(COUNTIF(CAPA3_EXPANSION!$D$56:AN$56,"&gt;="&amp;18)=0,0,SUP_CONTROL!$C$8*IF($B25="V",1,IF($B25="D",(1+SUP_VOLUMEN!$C$26),(1+SUP_VOLUMEN!$C$27)))*INDEX(SUP_C3_EXPANSION!$C$6:$F$6,MIN(4,COUNTIF(CAPA3_EXPANSION!$D$56:AN$56,"&gt;="&amp;18)))*CAPA3_EXPANSION!AN$36)</f>
        <v>0</v>
      </c>
      <c r="AO25" s="88">
        <f>IF(COUNTIF(CAPA3_EXPANSION!$D$56:AO$56,"&gt;="&amp;18)=0,0,SUP_CONTROL!$C$8*IF($B25="V",1,IF($B25="D",(1+SUP_VOLUMEN!$C$26),(1+SUP_VOLUMEN!$C$27)))*INDEX(SUP_C3_EXPANSION!$C$6:$F$6,MIN(4,COUNTIF(CAPA3_EXPANSION!$D$56:AO$56,"&gt;="&amp;18)))*CAPA3_EXPANSION!AO$36)</f>
        <v>0</v>
      </c>
      <c r="AP25" s="88">
        <f>IF(COUNTIF(CAPA3_EXPANSION!$D$56:AP$56,"&gt;="&amp;18)=0,0,SUP_CONTROL!$C$8*IF($B25="V",1,IF($B25="D",(1+SUP_VOLUMEN!$C$26),(1+SUP_VOLUMEN!$C$27)))*INDEX(SUP_C3_EXPANSION!$C$6:$F$6,MIN(4,COUNTIF(CAPA3_EXPANSION!$D$56:AP$56,"&gt;="&amp;18)))*CAPA3_EXPANSION!AP$36)</f>
        <v>0</v>
      </c>
      <c r="AQ25" s="88">
        <f>IF(COUNTIF(CAPA3_EXPANSION!$D$56:AQ$56,"&gt;="&amp;18)=0,0,SUP_CONTROL!$C$8*IF($B25="V",1,IF($B25="D",(1+SUP_VOLUMEN!$C$26),(1+SUP_VOLUMEN!$C$27)))*INDEX(SUP_C3_EXPANSION!$C$6:$F$6,MIN(4,COUNTIF(CAPA3_EXPANSION!$D$56:AQ$56,"&gt;="&amp;18)))*CAPA3_EXPANSION!AQ$36)</f>
        <v>0</v>
      </c>
      <c r="AR25" s="88">
        <f>IF(COUNTIF(CAPA3_EXPANSION!$D$56:AR$56,"&gt;="&amp;18)=0,0,SUP_CONTROL!$C$8*IF($B25="V",1,IF($B25="D",(1+SUP_VOLUMEN!$C$26),(1+SUP_VOLUMEN!$C$27)))*INDEX(SUP_C3_EXPANSION!$C$6:$F$6,MIN(4,COUNTIF(CAPA3_EXPANSION!$D$56:AR$56,"&gt;="&amp;18)))*CAPA3_EXPANSION!AR$36)</f>
        <v>0</v>
      </c>
      <c r="AS25" s="88">
        <f>IF(COUNTIF(CAPA3_EXPANSION!$D$56:AS$56,"&gt;="&amp;18)=0,0,SUP_CONTROL!$C$8*IF($B25="V",1,IF($B25="D",(1+SUP_VOLUMEN!$C$26),(1+SUP_VOLUMEN!$C$27)))*INDEX(SUP_C3_EXPANSION!$C$6:$F$6,MIN(4,COUNTIF(CAPA3_EXPANSION!$D$56:AS$56,"&gt;="&amp;18)))*CAPA3_EXPANSION!AS$36)</f>
        <v>0</v>
      </c>
      <c r="AT25" s="88">
        <f>IF(COUNTIF(CAPA3_EXPANSION!$D$56:AT$56,"&gt;="&amp;18)=0,0,SUP_CONTROL!$C$8*IF($B25="V",1,IF($B25="D",(1+SUP_VOLUMEN!$C$26),(1+SUP_VOLUMEN!$C$27)))*INDEX(SUP_C3_EXPANSION!$C$6:$F$6,MIN(4,COUNTIF(CAPA3_EXPANSION!$D$56:AT$56,"&gt;="&amp;18)))*CAPA3_EXPANSION!AT$36)</f>
        <v>0</v>
      </c>
      <c r="AU25" s="88">
        <f>IF(COUNTIF(CAPA3_EXPANSION!$D$56:AU$56,"&gt;="&amp;18)=0,0,SUP_CONTROL!$C$8*IF($B25="V",1,IF($B25="D",(1+SUP_VOLUMEN!$C$26),(1+SUP_VOLUMEN!$C$27)))*INDEX(SUP_C3_EXPANSION!$C$6:$F$6,MIN(4,COUNTIF(CAPA3_EXPANSION!$D$56:AU$56,"&gt;="&amp;18)))*CAPA3_EXPANSION!AU$36)</f>
        <v>0</v>
      </c>
      <c r="AV25" s="88">
        <f>IF(COUNTIF(CAPA3_EXPANSION!$D$56:AV$56,"&gt;="&amp;18)=0,0,SUP_CONTROL!$C$8*IF($B25="V",1,IF($B25="D",(1+SUP_VOLUMEN!$C$26),(1+SUP_VOLUMEN!$C$27)))*INDEX(SUP_C3_EXPANSION!$C$6:$F$6,MIN(4,COUNTIF(CAPA3_EXPANSION!$D$56:AV$56,"&gt;="&amp;18)))*CAPA3_EXPANSION!AV$36)</f>
        <v>0</v>
      </c>
      <c r="AW25" s="88">
        <f>IF(COUNTIF(CAPA3_EXPANSION!$D$56:AW$56,"&gt;="&amp;18)=0,0,SUP_CONTROL!$C$8*IF($B25="V",1,IF($B25="D",(1+SUP_VOLUMEN!$C$26),(1+SUP_VOLUMEN!$C$27)))*INDEX(SUP_C3_EXPANSION!$C$6:$F$6,MIN(4,COUNTIF(CAPA3_EXPANSION!$D$56:AW$56,"&gt;="&amp;18)))*CAPA3_EXPANSION!AW$36)</f>
        <v>0</v>
      </c>
      <c r="AX25" s="88">
        <f>IF(COUNTIF(CAPA3_EXPANSION!$D$56:AX$56,"&gt;="&amp;18)=0,0,SUP_CONTROL!$C$8*IF($B25="V",1,IF($B25="D",(1+SUP_VOLUMEN!$C$26),(1+SUP_VOLUMEN!$C$27)))*INDEX(SUP_C3_EXPANSION!$C$6:$F$6,MIN(4,COUNTIF(CAPA3_EXPANSION!$D$56:AX$56,"&gt;="&amp;18)))*CAPA3_EXPANSION!AX$36)</f>
        <v>0</v>
      </c>
      <c r="AY25" s="88">
        <f>IF(COUNTIF(CAPA3_EXPANSION!$D$56:AY$56,"&gt;="&amp;18)=0,0,SUP_CONTROL!$C$8*IF($B25="V",1,IF($B25="D",(1+SUP_VOLUMEN!$C$26),(1+SUP_VOLUMEN!$C$27)))*INDEX(SUP_C3_EXPANSION!$C$6:$F$6,MIN(4,COUNTIF(CAPA3_EXPANSION!$D$56:AY$56,"&gt;="&amp;18)))*CAPA3_EXPANSION!AY$36)</f>
        <v>0</v>
      </c>
      <c r="AZ25" s="88">
        <f>IF(COUNTIF(CAPA3_EXPANSION!$D$56:AZ$56,"&gt;="&amp;18)=0,0,SUP_CONTROL!$C$8*IF($B25="V",1,IF($B25="D",(1+SUP_VOLUMEN!$C$26),(1+SUP_VOLUMEN!$C$27)))*INDEX(SUP_C3_EXPANSION!$C$6:$F$6,MIN(4,COUNTIF(CAPA3_EXPANSION!$D$56:AZ$56,"&gt;="&amp;18)))*CAPA3_EXPANSION!AZ$36)</f>
        <v>0</v>
      </c>
      <c r="BA25" s="88">
        <f>IF(COUNTIF(CAPA3_EXPANSION!$D$56:BA$56,"&gt;="&amp;18)=0,0,SUP_CONTROL!$C$8*IF($B25="V",1,IF($B25="D",(1+SUP_VOLUMEN!$C$26),(1+SUP_VOLUMEN!$C$27)))*INDEX(SUP_C3_EXPANSION!$C$6:$F$6,MIN(4,COUNTIF(CAPA3_EXPANSION!$D$56:BA$56,"&gt;="&amp;18)))*CAPA3_EXPANSION!BA$36)</f>
        <v>0</v>
      </c>
      <c r="BB25" s="88">
        <f>IF(COUNTIF(CAPA3_EXPANSION!$D$56:BB$56,"&gt;="&amp;18)=0,0,SUP_CONTROL!$C$8*IF($B25="V",1,IF($B25="D",(1+SUP_VOLUMEN!$C$26),(1+SUP_VOLUMEN!$C$27)))*INDEX(SUP_C3_EXPANSION!$C$6:$F$6,MIN(4,COUNTIF(CAPA3_EXPANSION!$D$56:BB$56,"&gt;="&amp;18)))*CAPA3_EXPANSION!BB$36)</f>
        <v>0</v>
      </c>
      <c r="BC25" s="88">
        <f>IF(COUNTIF(CAPA3_EXPANSION!$D$56:BC$56,"&gt;="&amp;18)=0,0,SUP_CONTROL!$C$8*IF($B25="V",1,IF($B25="D",(1+SUP_VOLUMEN!$C$26),(1+SUP_VOLUMEN!$C$27)))*INDEX(SUP_C3_EXPANSION!$C$6:$F$6,MIN(4,COUNTIF(CAPA3_EXPANSION!$D$56:BC$56,"&gt;="&amp;18)))*CAPA3_EXPANSION!BC$36)</f>
        <v>0</v>
      </c>
      <c r="BD25" s="88">
        <f>IF(COUNTIF(CAPA3_EXPANSION!$D$56:BD$56,"&gt;="&amp;18)=0,0,SUP_CONTROL!$C$8*IF($B25="V",1,IF($B25="D",(1+SUP_VOLUMEN!$C$26),(1+SUP_VOLUMEN!$C$27)))*INDEX(SUP_C3_EXPANSION!$C$6:$F$6,MIN(4,COUNTIF(CAPA3_EXPANSION!$D$56:BD$56,"&gt;="&amp;18)))*CAPA3_EXPANSION!BD$36)</f>
        <v>0</v>
      </c>
      <c r="BE25" s="88">
        <f>IF(COUNTIF(CAPA3_EXPANSION!$D$56:BE$56,"&gt;="&amp;18)=0,0,SUP_CONTROL!$C$8*IF($B25="V",1,IF($B25="D",(1+SUP_VOLUMEN!$C$26),(1+SUP_VOLUMEN!$C$27)))*INDEX(SUP_C3_EXPANSION!$C$6:$F$6,MIN(4,COUNTIF(CAPA3_EXPANSION!$D$56:BE$56,"&gt;="&amp;18)))*CAPA3_EXPANSION!BE$36)</f>
        <v>0</v>
      </c>
      <c r="BF25" s="88">
        <f>IF(COUNTIF(CAPA3_EXPANSION!$D$56:BF$56,"&gt;="&amp;18)=0,0,SUP_CONTROL!$C$8*IF($B25="V",1,IF($B25="D",(1+SUP_VOLUMEN!$C$26),(1+SUP_VOLUMEN!$C$27)))*INDEX(SUP_C3_EXPANSION!$C$6:$F$6,MIN(4,COUNTIF(CAPA3_EXPANSION!$D$56:BF$56,"&gt;="&amp;18)))*CAPA3_EXPANSION!BF$36)</f>
        <v>0</v>
      </c>
      <c r="BG25" s="88">
        <f>IF(COUNTIF(CAPA3_EXPANSION!$D$56:BG$56,"&gt;="&amp;18)=0,0,SUP_CONTROL!$C$8*IF($B25="V",1,IF($B25="D",(1+SUP_VOLUMEN!$C$26),(1+SUP_VOLUMEN!$C$27)))*INDEX(SUP_C3_EXPANSION!$C$6:$F$6,MIN(4,COUNTIF(CAPA3_EXPANSION!$D$56:BG$56,"&gt;="&amp;18)))*CAPA3_EXPANSION!BG$36)</f>
        <v>1969.6950000000002</v>
      </c>
      <c r="BH25" s="88">
        <f>IF(COUNTIF(CAPA3_EXPANSION!$D$56:BH$56,"&gt;="&amp;18)=0,0,SUP_CONTROL!$C$8*IF($B25="V",1,IF($B25="D",(1+SUP_VOLUMEN!$C$26),(1+SUP_VOLUMEN!$C$27)))*INDEX(SUP_C3_EXPANSION!$C$6:$F$6,MIN(4,COUNTIF(CAPA3_EXPANSION!$D$56:BH$56,"&gt;="&amp;18)))*CAPA3_EXPANSION!BH$36)</f>
        <v>2424.2400000000002</v>
      </c>
      <c r="BI25" s="88">
        <f>IF(COUNTIF(CAPA3_EXPANSION!$D$56:BI$56,"&gt;="&amp;18)=0,0,SUP_CONTROL!$C$8*IF($B25="V",1,IF($B25="D",(1+SUP_VOLUMEN!$C$26),(1+SUP_VOLUMEN!$C$27)))*INDEX(SUP_C3_EXPANSION!$C$6:$F$6,MIN(4,COUNTIF(CAPA3_EXPANSION!$D$56:BI$56,"&gt;="&amp;18)))*CAPA3_EXPANSION!BI$36)</f>
        <v>2727.2700000000004</v>
      </c>
      <c r="BJ25" s="88">
        <f>IF(COUNTIF(CAPA3_EXPANSION!$D$56:BJ$56,"&gt;="&amp;18)=0,0,SUP_CONTROL!$C$8*IF($B25="V",1,IF($B25="D",(1+SUP_VOLUMEN!$C$26),(1+SUP_VOLUMEN!$C$27)))*INDEX(SUP_C3_EXPANSION!$C$6:$F$6,MIN(4,COUNTIF(CAPA3_EXPANSION!$D$56:BJ$56,"&gt;="&amp;18)))*CAPA3_EXPANSION!BJ$36)</f>
        <v>3030.3</v>
      </c>
      <c r="BK25" s="88">
        <f>IF(COUNTIF(CAPA3_EXPANSION!$D$56:BK$56,"&gt;="&amp;18)=0,0,SUP_CONTROL!$C$8*IF($B25="V",1,IF($B25="D",(1+SUP_VOLUMEN!$C$26),(1+SUP_VOLUMEN!$C$27)))*INDEX(SUP_C3_EXPANSION!$C$6:$F$6,MIN(4,COUNTIF(CAPA3_EXPANSION!$D$56:BK$56,"&gt;="&amp;18)))*CAPA3_EXPANSION!BK$36)</f>
        <v>2962.96</v>
      </c>
      <c r="BL25" s="88">
        <f>IF(COUNTIF(CAPA3_EXPANSION!$D$56:BL$56,"&gt;="&amp;18)=0,0,SUP_CONTROL!$C$8*IF($B25="V",1,IF($B25="D",(1+SUP_VOLUMEN!$C$26),(1+SUP_VOLUMEN!$C$27)))*INDEX(SUP_C3_EXPANSION!$C$6:$F$6,MIN(4,COUNTIF(CAPA3_EXPANSION!$D$56:BL$56,"&gt;="&amp;18)))*CAPA3_EXPANSION!BL$36)</f>
        <v>2962.96</v>
      </c>
      <c r="BM25" s="88">
        <f>IF(COUNTIF(CAPA3_EXPANSION!$D$56:BM$56,"&gt;="&amp;18)=0,0,SUP_CONTROL!$C$8*IF($B25="V",1,IF($B25="D",(1+SUP_VOLUMEN!$C$26),(1+SUP_VOLUMEN!$C$27)))*INDEX(SUP_C3_EXPANSION!$C$6:$F$6,MIN(4,COUNTIF(CAPA3_EXPANSION!$D$56:BM$56,"&gt;="&amp;18)))*CAPA3_EXPANSION!BM$36)</f>
        <v>2962.96</v>
      </c>
      <c r="BN25" s="88">
        <f>IF(COUNTIF(CAPA3_EXPANSION!$D$56:BN$56,"&gt;="&amp;18)=0,0,SUP_CONTROL!$C$8*IF($B25="V",1,IF($B25="D",(1+SUP_VOLUMEN!$C$26),(1+SUP_VOLUMEN!$C$27)))*INDEX(SUP_C3_EXPANSION!$C$6:$F$6,MIN(4,COUNTIF(CAPA3_EXPANSION!$D$56:BN$56,"&gt;="&amp;18)))*CAPA3_EXPANSION!BN$36)</f>
        <v>2962.96</v>
      </c>
      <c r="BO25" s="88">
        <f>IF(COUNTIF(CAPA3_EXPANSION!$D$56:BO$56,"&gt;="&amp;18)=0,0,SUP_CONTROL!$C$8*IF($B25="V",1,IF($B25="D",(1+SUP_VOLUMEN!$C$26),(1+SUP_VOLUMEN!$C$27)))*INDEX(SUP_C3_EXPANSION!$C$6:$F$6,MIN(4,COUNTIF(CAPA3_EXPANSION!$D$56:BO$56,"&gt;="&amp;18)))*CAPA3_EXPANSION!BO$36)</f>
        <v>2962.96</v>
      </c>
      <c r="BP25" s="88">
        <f>IF(COUNTIF(CAPA3_EXPANSION!$D$56:BP$56,"&gt;="&amp;18)=0,0,SUP_CONTROL!$C$8*IF($B25="V",1,IF($B25="D",(1+SUP_VOLUMEN!$C$26),(1+SUP_VOLUMEN!$C$27)))*INDEX(SUP_C3_EXPANSION!$C$6:$F$6,MIN(4,COUNTIF(CAPA3_EXPANSION!$D$56:BP$56,"&gt;="&amp;18)))*CAPA3_EXPANSION!BP$36)</f>
        <v>2912.4549999999999</v>
      </c>
      <c r="BQ25" s="88">
        <f>IF(COUNTIF(CAPA3_EXPANSION!$D$56:BQ$56,"&gt;="&amp;18)=0,0,SUP_CONTROL!$C$8*IF($B25="V",1,IF($B25="D",(1+SUP_VOLUMEN!$C$26),(1+SUP_VOLUMEN!$C$27)))*INDEX(SUP_C3_EXPANSION!$C$6:$F$6,MIN(4,COUNTIF(CAPA3_EXPANSION!$D$56:BQ$56,"&gt;="&amp;18)))*CAPA3_EXPANSION!BQ$36)</f>
        <v>2912.4549999999999</v>
      </c>
      <c r="BR25" s="88">
        <f>IF(COUNTIF(CAPA3_EXPANSION!$D$56:BR$56,"&gt;="&amp;18)=0,0,SUP_CONTROL!$C$8*IF($B25="V",1,IF($B25="D",(1+SUP_VOLUMEN!$C$26),(1+SUP_VOLUMEN!$C$27)))*INDEX(SUP_C3_EXPANSION!$C$6:$F$6,MIN(4,COUNTIF(CAPA3_EXPANSION!$D$56:BR$56,"&gt;="&amp;18)))*CAPA3_EXPANSION!BR$36)</f>
        <v>2912.4549999999999</v>
      </c>
      <c r="BS25" s="88">
        <f>IF(COUNTIF(CAPA3_EXPANSION!$D$56:BS$56,"&gt;="&amp;18)=0,0,SUP_CONTROL!$C$8*IF($B25="V",1,IF($B25="D",(1+SUP_VOLUMEN!$C$26),(1+SUP_VOLUMEN!$C$27)))*INDEX(SUP_C3_EXPANSION!$C$6:$F$6,MIN(4,COUNTIF(CAPA3_EXPANSION!$D$56:BS$56,"&gt;="&amp;18)))*CAPA3_EXPANSION!BS$36)</f>
        <v>2912.4549999999999</v>
      </c>
      <c r="BT25" s="88">
        <f>IF(COUNTIF(CAPA3_EXPANSION!$D$56:BT$56,"&gt;="&amp;18)=0,0,SUP_CONTROL!$C$8*IF($B25="V",1,IF($B25="D",(1+SUP_VOLUMEN!$C$26),(1+SUP_VOLUMEN!$C$27)))*INDEX(SUP_C3_EXPANSION!$C$6:$F$6,MIN(4,COUNTIF(CAPA3_EXPANSION!$D$56:BT$56,"&gt;="&amp;18)))*CAPA3_EXPANSION!BT$36)</f>
        <v>2912.4549999999999</v>
      </c>
      <c r="BU25" s="88">
        <f>IF(COUNTIF(CAPA3_EXPANSION!$D$56:BU$56,"&gt;="&amp;18)=0,0,SUP_CONTROL!$C$8*IF($B25="V",1,IF($B25="D",(1+SUP_VOLUMEN!$C$26),(1+SUP_VOLUMEN!$C$27)))*INDEX(SUP_C3_EXPANSION!$C$6:$F$6,MIN(4,COUNTIF(CAPA3_EXPANSION!$D$56:BU$56,"&gt;="&amp;18)))*CAPA3_EXPANSION!BU$36)</f>
        <v>2861.95</v>
      </c>
      <c r="BV25" s="88">
        <f>IF(COUNTIF(CAPA3_EXPANSION!$D$56:BV$56,"&gt;="&amp;18)=0,0,SUP_CONTROL!$C$8*IF($B25="V",1,IF($B25="D",(1+SUP_VOLUMEN!$C$26),(1+SUP_VOLUMEN!$C$27)))*INDEX(SUP_C3_EXPANSION!$C$6:$F$6,MIN(4,COUNTIF(CAPA3_EXPANSION!$D$56:BV$56,"&gt;="&amp;18)))*CAPA3_EXPANSION!BV$36)</f>
        <v>2861.95</v>
      </c>
      <c r="BW25" s="88">
        <f>IF(COUNTIF(CAPA3_EXPANSION!$D$56:BW$56,"&gt;="&amp;18)=0,0,SUP_CONTROL!$C$8*IF($B25="V",1,IF($B25="D",(1+SUP_VOLUMEN!$C$26),(1+SUP_VOLUMEN!$C$27)))*INDEX(SUP_C3_EXPANSION!$C$6:$F$6,MIN(4,COUNTIF(CAPA3_EXPANSION!$D$56:BW$56,"&gt;="&amp;18)))*CAPA3_EXPANSION!BW$36)</f>
        <v>2861.95</v>
      </c>
      <c r="BX25" s="88">
        <f>IF(COUNTIF(CAPA3_EXPANSION!$D$56:BX$56,"&gt;="&amp;18)=0,0,SUP_CONTROL!$C$8*IF($B25="V",1,IF($B25="D",(1+SUP_VOLUMEN!$C$26),(1+SUP_VOLUMEN!$C$27)))*INDEX(SUP_C3_EXPANSION!$C$6:$F$6,MIN(4,COUNTIF(CAPA3_EXPANSION!$D$56:BX$56,"&gt;="&amp;18)))*CAPA3_EXPANSION!BX$36)</f>
        <v>2861.95</v>
      </c>
      <c r="BY25" s="88">
        <f>IF(COUNTIF(CAPA3_EXPANSION!$D$56:BY$56,"&gt;="&amp;18)=0,0,SUP_CONTROL!$C$8*IF($B25="V",1,IF($B25="D",(1+SUP_VOLUMEN!$C$26),(1+SUP_VOLUMEN!$C$27)))*INDEX(SUP_C3_EXPANSION!$C$6:$F$6,MIN(4,COUNTIF(CAPA3_EXPANSION!$D$56:BY$56,"&gt;="&amp;18)))*CAPA3_EXPANSION!BY$36)</f>
        <v>2861.95</v>
      </c>
      <c r="BZ25" s="88">
        <f>IF(COUNTIF(CAPA3_EXPANSION!$D$56:BZ$56,"&gt;="&amp;18)=0,0,SUP_CONTROL!$C$8*IF($B25="V",1,IF($B25="D",(1+SUP_VOLUMEN!$C$26),(1+SUP_VOLUMEN!$C$27)))*INDEX(SUP_C3_EXPANSION!$C$6:$F$6,MIN(4,COUNTIF(CAPA3_EXPANSION!$D$56:BZ$56,"&gt;="&amp;18)))*CAPA3_EXPANSION!BZ$36)</f>
        <v>2828.2799999999997</v>
      </c>
      <c r="CA25" s="88">
        <f>IF(COUNTIF(CAPA3_EXPANSION!$D$56:CA$56,"&gt;="&amp;18)=0,0,SUP_CONTROL!$C$8*IF($B25="V",1,IF($B25="D",(1+SUP_VOLUMEN!$C$26),(1+SUP_VOLUMEN!$C$27)))*INDEX(SUP_C3_EXPANSION!$C$6:$F$6,MIN(4,COUNTIF(CAPA3_EXPANSION!$D$56:CA$56,"&gt;="&amp;18)))*CAPA3_EXPANSION!CA$36)</f>
        <v>2828.2799999999997</v>
      </c>
      <c r="CB25" s="88">
        <f>IF(COUNTIF(CAPA3_EXPANSION!$D$56:CB$56,"&gt;="&amp;18)=0,0,SUP_CONTROL!$C$8*IF($B25="V",1,IF($B25="D",(1+SUP_VOLUMEN!$C$26),(1+SUP_VOLUMEN!$C$27)))*INDEX(SUP_C3_EXPANSION!$C$6:$F$6,MIN(4,COUNTIF(CAPA3_EXPANSION!$D$56:CB$56,"&gt;="&amp;18)))*CAPA3_EXPANSION!CB$36)</f>
        <v>2828.2799999999997</v>
      </c>
      <c r="CC25" s="88">
        <f>IF(COUNTIF(CAPA3_EXPANSION!$D$56:CC$56,"&gt;="&amp;18)=0,0,SUP_CONTROL!$C$8*IF($B25="V",1,IF($B25="D",(1+SUP_VOLUMEN!$C$26),(1+SUP_VOLUMEN!$C$27)))*INDEX(SUP_C3_EXPANSION!$C$6:$F$6,MIN(4,COUNTIF(CAPA3_EXPANSION!$D$56:CC$56,"&gt;="&amp;18)))*CAPA3_EXPANSION!CC$36)</f>
        <v>2828.2799999999997</v>
      </c>
      <c r="CD25" s="88">
        <f>IF(COUNTIF(CAPA3_EXPANSION!$D$56:CD$56,"&gt;="&amp;18)=0,0,SUP_CONTROL!$C$8*IF($B25="V",1,IF($B25="D",(1+SUP_VOLUMEN!$C$26),(1+SUP_VOLUMEN!$C$27)))*INDEX(SUP_C3_EXPANSION!$C$6:$F$6,MIN(4,COUNTIF(CAPA3_EXPANSION!$D$56:CD$56,"&gt;="&amp;18)))*CAPA3_EXPANSION!CD$36)</f>
        <v>2828.2799999999997</v>
      </c>
      <c r="CE25" s="88">
        <f>IF(COUNTIF(CAPA3_EXPANSION!$D$56:CE$56,"&gt;="&amp;18)=0,0,SUP_CONTROL!$C$8*IF($B25="V",1,IF($B25="D",(1+SUP_VOLUMEN!$C$26),(1+SUP_VOLUMEN!$C$27)))*INDEX(SUP_C3_EXPANSION!$C$6:$F$6,MIN(4,COUNTIF(CAPA3_EXPANSION!$D$56:CE$56,"&gt;="&amp;18)))*CAPA3_EXPANSION!CE$36)</f>
        <v>2828.2799999999997</v>
      </c>
      <c r="CF25" s="88">
        <f>IF(COUNTIF(CAPA3_EXPANSION!$D$56:CF$56,"&gt;="&amp;18)=0,0,SUP_CONTROL!$C$8*IF($B25="V",1,IF($B25="D",(1+SUP_VOLUMEN!$C$26),(1+SUP_VOLUMEN!$C$27)))*INDEX(SUP_C3_EXPANSION!$C$6:$F$6,MIN(4,COUNTIF(CAPA3_EXPANSION!$D$56:CF$56,"&gt;="&amp;18)))*CAPA3_EXPANSION!CF$36)</f>
        <v>2828.2799999999997</v>
      </c>
      <c r="CG25" s="88">
        <f>IF(COUNTIF(CAPA3_EXPANSION!$D$56:CG$56,"&gt;="&amp;18)=0,0,SUP_CONTROL!$C$8*IF($B25="V",1,IF($B25="D",(1+SUP_VOLUMEN!$C$26),(1+SUP_VOLUMEN!$C$27)))*INDEX(SUP_C3_EXPANSION!$C$6:$F$6,MIN(4,COUNTIF(CAPA3_EXPANSION!$D$56:CG$56,"&gt;="&amp;18)))*CAPA3_EXPANSION!CG$36)</f>
        <v>2828.2799999999997</v>
      </c>
      <c r="CH25" s="88">
        <f>IF(COUNTIF(CAPA3_EXPANSION!$D$56:CH$56,"&gt;="&amp;18)=0,0,SUP_CONTROL!$C$8*IF($B25="V",1,IF($B25="D",(1+SUP_VOLUMEN!$C$26),(1+SUP_VOLUMEN!$C$27)))*INDEX(SUP_C3_EXPANSION!$C$6:$F$6,MIN(4,COUNTIF(CAPA3_EXPANSION!$D$56:CH$56,"&gt;="&amp;18)))*CAPA3_EXPANSION!CH$36)</f>
        <v>2828.2799999999997</v>
      </c>
      <c r="CI25" s="88">
        <f>IF(COUNTIF(CAPA3_EXPANSION!$D$56:CI$56,"&gt;="&amp;18)=0,0,SUP_CONTROL!$C$8*IF($B25="V",1,IF($B25="D",(1+SUP_VOLUMEN!$C$26),(1+SUP_VOLUMEN!$C$27)))*INDEX(SUP_C3_EXPANSION!$C$6:$F$6,MIN(4,COUNTIF(CAPA3_EXPANSION!$D$56:CI$56,"&gt;="&amp;18)))*CAPA3_EXPANSION!CI$36)</f>
        <v>2828.2799999999997</v>
      </c>
      <c r="CJ25" s="88">
        <f>IF(COUNTIF(CAPA3_EXPANSION!$D$56:CJ$56,"&gt;="&amp;18)=0,0,SUP_CONTROL!$C$8*IF($B25="V",1,IF($B25="D",(1+SUP_VOLUMEN!$C$26),(1+SUP_VOLUMEN!$C$27)))*INDEX(SUP_C3_EXPANSION!$C$6:$F$6,MIN(4,COUNTIF(CAPA3_EXPANSION!$D$56:CJ$56,"&gt;="&amp;18)))*CAPA3_EXPANSION!CJ$36)</f>
        <v>2828.2799999999997</v>
      </c>
      <c r="CK25" s="88">
        <f>IF(COUNTIF(CAPA3_EXPANSION!$D$56:CK$56,"&gt;="&amp;18)=0,0,SUP_CONTROL!$C$8*IF($B25="V",1,IF($B25="D",(1+SUP_VOLUMEN!$C$26),(1+SUP_VOLUMEN!$C$27)))*INDEX(SUP_C3_EXPANSION!$C$6:$F$6,MIN(4,COUNTIF(CAPA3_EXPANSION!$D$56:CK$56,"&gt;="&amp;18)))*CAPA3_EXPANSION!CK$36)</f>
        <v>2828.2799999999997</v>
      </c>
      <c r="CL25" s="88">
        <f>IF(COUNTIF(CAPA3_EXPANSION!$D$56:CL$56,"&gt;="&amp;18)=0,0,SUP_CONTROL!$C$8*IF($B25="V",1,IF($B25="D",(1+SUP_VOLUMEN!$C$26),(1+SUP_VOLUMEN!$C$27)))*INDEX(SUP_C3_EXPANSION!$C$6:$F$6,MIN(4,COUNTIF(CAPA3_EXPANSION!$D$56:CL$56,"&gt;="&amp;18)))*CAPA3_EXPANSION!CL$36)</f>
        <v>2828.2799999999997</v>
      </c>
      <c r="CM25" s="88">
        <f>IF(COUNTIF(CAPA3_EXPANSION!$D$56:CM$56,"&gt;="&amp;18)=0,0,SUP_CONTROL!$C$8*IF($B25="V",1,IF($B25="D",(1+SUP_VOLUMEN!$C$26),(1+SUP_VOLUMEN!$C$27)))*INDEX(SUP_C3_EXPANSION!$C$6:$F$6,MIN(4,COUNTIF(CAPA3_EXPANSION!$D$56:CM$56,"&gt;="&amp;18)))*CAPA3_EXPANSION!CM$36)</f>
        <v>2828.2799999999997</v>
      </c>
      <c r="CN25" s="88">
        <f>IF(COUNTIF(CAPA3_EXPANSION!$D$56:CN$56,"&gt;="&amp;18)=0,0,SUP_CONTROL!$C$8*IF($B25="V",1,IF($B25="D",(1+SUP_VOLUMEN!$C$26),(1+SUP_VOLUMEN!$C$27)))*INDEX(SUP_C3_EXPANSION!$C$6:$F$6,MIN(4,COUNTIF(CAPA3_EXPANSION!$D$56:CN$56,"&gt;="&amp;18)))*CAPA3_EXPANSION!CN$36)</f>
        <v>2828.2799999999997</v>
      </c>
      <c r="CO25" s="88">
        <f>IF(COUNTIF(CAPA3_EXPANSION!$D$56:CO$56,"&gt;="&amp;18)=0,0,SUP_CONTROL!$C$8*IF($B25="V",1,IF($B25="D",(1+SUP_VOLUMEN!$C$26),(1+SUP_VOLUMEN!$C$27)))*INDEX(SUP_C3_EXPANSION!$C$6:$F$6,MIN(4,COUNTIF(CAPA3_EXPANSION!$D$56:CO$56,"&gt;="&amp;18)))*CAPA3_EXPANSION!CO$36)</f>
        <v>2828.2799999999997</v>
      </c>
      <c r="CP25" s="88">
        <f>IF(COUNTIF(CAPA3_EXPANSION!$D$56:CP$56,"&gt;="&amp;18)=0,0,SUP_CONTROL!$C$8*IF($B25="V",1,IF($B25="D",(1+SUP_VOLUMEN!$C$26),(1+SUP_VOLUMEN!$C$27)))*INDEX(SUP_C3_EXPANSION!$C$6:$F$6,MIN(4,COUNTIF(CAPA3_EXPANSION!$D$56:CP$56,"&gt;="&amp;18)))*CAPA3_EXPANSION!CP$36)</f>
        <v>2828.2799999999997</v>
      </c>
      <c r="CQ25" s="88">
        <f>IF(COUNTIF(CAPA3_EXPANSION!$D$56:CQ$56,"&gt;="&amp;18)=0,0,SUP_CONTROL!$C$8*IF($B25="V",1,IF($B25="D",(1+SUP_VOLUMEN!$C$26),(1+SUP_VOLUMEN!$C$27)))*INDEX(SUP_C3_EXPANSION!$C$6:$F$6,MIN(4,COUNTIF(CAPA3_EXPANSION!$D$56:CQ$56,"&gt;="&amp;18)))*CAPA3_EXPANSION!CQ$36)</f>
        <v>2828.2799999999997</v>
      </c>
      <c r="CR25" s="88">
        <f>IF(COUNTIF(CAPA3_EXPANSION!$D$56:CR$56,"&gt;="&amp;18)=0,0,SUP_CONTROL!$C$8*IF($B25="V",1,IF($B25="D",(1+SUP_VOLUMEN!$C$26),(1+SUP_VOLUMEN!$C$27)))*INDEX(SUP_C3_EXPANSION!$C$6:$F$6,MIN(4,COUNTIF(CAPA3_EXPANSION!$D$56:CR$56,"&gt;="&amp;18)))*CAPA3_EXPANSION!CR$36)</f>
        <v>2828.2799999999997</v>
      </c>
      <c r="CS25" s="88">
        <f>IF(COUNTIF(CAPA3_EXPANSION!$D$56:CS$56,"&gt;="&amp;18)=0,0,SUP_CONTROL!$C$8*IF($B25="V",1,IF($B25="D",(1+SUP_VOLUMEN!$C$26),(1+SUP_VOLUMEN!$C$27)))*INDEX(SUP_C3_EXPANSION!$C$6:$F$6,MIN(4,COUNTIF(CAPA3_EXPANSION!$D$56:CS$56,"&gt;="&amp;18)))*CAPA3_EXPANSION!CS$36)</f>
        <v>2828.2799999999997</v>
      </c>
      <c r="CT25" s="88">
        <f>IF(COUNTIF(CAPA3_EXPANSION!$D$56:CT$56,"&gt;="&amp;18)=0,0,SUP_CONTROL!$C$8*IF($B25="V",1,IF($B25="D",(1+SUP_VOLUMEN!$C$26),(1+SUP_VOLUMEN!$C$27)))*INDEX(SUP_C3_EXPANSION!$C$6:$F$6,MIN(4,COUNTIF(CAPA3_EXPANSION!$D$56:CT$56,"&gt;="&amp;18)))*CAPA3_EXPANSION!CT$36)</f>
        <v>2828.2799999999997</v>
      </c>
      <c r="CU25" s="88">
        <f>IF(COUNTIF(CAPA3_EXPANSION!$D$56:CU$56,"&gt;="&amp;18)=0,0,SUP_CONTROL!$C$8*IF($B25="V",1,IF($B25="D",(1+SUP_VOLUMEN!$C$26),(1+SUP_VOLUMEN!$C$27)))*INDEX(SUP_C3_EXPANSION!$C$6:$F$6,MIN(4,COUNTIF(CAPA3_EXPANSION!$D$56:CU$56,"&gt;="&amp;18)))*CAPA3_EXPANSION!CU$36)</f>
        <v>2828.2799999999997</v>
      </c>
      <c r="CV25" s="88">
        <f>IF(COUNTIF(CAPA3_EXPANSION!$D$56:CV$56,"&gt;="&amp;18)=0,0,SUP_CONTROL!$C$8*IF($B25="V",1,IF($B25="D",(1+SUP_VOLUMEN!$C$26),(1+SUP_VOLUMEN!$C$27)))*INDEX(SUP_C3_EXPANSION!$C$6:$F$6,MIN(4,COUNTIF(CAPA3_EXPANSION!$D$56:CV$56,"&gt;="&amp;18)))*CAPA3_EXPANSION!CV$36)</f>
        <v>2828.2799999999997</v>
      </c>
      <c r="CW25" s="88">
        <f>IF(COUNTIF(CAPA3_EXPANSION!$D$56:CW$56,"&gt;="&amp;18)=0,0,SUP_CONTROL!$C$8*IF($B25="V",1,IF($B25="D",(1+SUP_VOLUMEN!$C$26),(1+SUP_VOLUMEN!$C$27)))*INDEX(SUP_C3_EXPANSION!$C$6:$F$6,MIN(4,COUNTIF(CAPA3_EXPANSION!$D$56:CW$56,"&gt;="&amp;18)))*CAPA3_EXPANSION!CW$36)</f>
        <v>2828.2799999999997</v>
      </c>
      <c r="CX25" s="88">
        <f>IF(COUNTIF(CAPA3_EXPANSION!$D$56:CX$56,"&gt;="&amp;18)=0,0,SUP_CONTROL!$C$8*IF($B25="V",1,IF($B25="D",(1+SUP_VOLUMEN!$C$26),(1+SUP_VOLUMEN!$C$27)))*INDEX(SUP_C3_EXPANSION!$C$6:$F$6,MIN(4,COUNTIF(CAPA3_EXPANSION!$D$56:CX$56,"&gt;="&amp;18)))*CAPA3_EXPANSION!CX$36)</f>
        <v>2828.2799999999997</v>
      </c>
      <c r="CY25" s="88">
        <f>IF(COUNTIF(CAPA3_EXPANSION!$D$56:CY$56,"&gt;="&amp;18)=0,0,SUP_CONTROL!$C$8*IF($B25="V",1,IF($B25="D",(1+SUP_VOLUMEN!$C$26),(1+SUP_VOLUMEN!$C$27)))*INDEX(SUP_C3_EXPANSION!$C$6:$F$6,MIN(4,COUNTIF(CAPA3_EXPANSION!$D$56:CY$56,"&gt;="&amp;18)))*CAPA3_EXPANSION!CY$36)</f>
        <v>2828.2799999999997</v>
      </c>
      <c r="CZ25" s="88">
        <f>IF(COUNTIF(CAPA3_EXPANSION!$D$56:CZ$56,"&gt;="&amp;18)=0,0,SUP_CONTROL!$C$8*IF($B25="V",1,IF($B25="D",(1+SUP_VOLUMEN!$C$26),(1+SUP_VOLUMEN!$C$27)))*INDEX(SUP_C3_EXPANSION!$C$6:$F$6,MIN(4,COUNTIF(CAPA3_EXPANSION!$D$56:CZ$56,"&gt;="&amp;18)))*CAPA3_EXPANSION!CZ$36)</f>
        <v>2828.2799999999997</v>
      </c>
      <c r="DA25" s="88">
        <f>IF(COUNTIF(CAPA3_EXPANSION!$D$56:DA$56,"&gt;="&amp;18)=0,0,SUP_CONTROL!$C$8*IF($B25="V",1,IF($B25="D",(1+SUP_VOLUMEN!$C$26),(1+SUP_VOLUMEN!$C$27)))*INDEX(SUP_C3_EXPANSION!$C$6:$F$6,MIN(4,COUNTIF(CAPA3_EXPANSION!$D$56:DA$56,"&gt;="&amp;18)))*CAPA3_EXPANSION!DA$36)</f>
        <v>2828.2799999999997</v>
      </c>
      <c r="DB25" s="88">
        <f>IF(COUNTIF(CAPA3_EXPANSION!$D$56:DB$56,"&gt;="&amp;18)=0,0,SUP_CONTROL!$C$8*IF($B25="V",1,IF($B25="D",(1+SUP_VOLUMEN!$C$26),(1+SUP_VOLUMEN!$C$27)))*INDEX(SUP_C3_EXPANSION!$C$6:$F$6,MIN(4,COUNTIF(CAPA3_EXPANSION!$D$56:DB$56,"&gt;="&amp;18)))*CAPA3_EXPANSION!DB$36)</f>
        <v>2828.2799999999997</v>
      </c>
      <c r="DC25" s="88">
        <f>IF(COUNTIF(CAPA3_EXPANSION!$D$56:DC$56,"&gt;="&amp;18)=0,0,SUP_CONTROL!$C$8*IF($B25="V",1,IF($B25="D",(1+SUP_VOLUMEN!$C$26),(1+SUP_VOLUMEN!$C$27)))*INDEX(SUP_C3_EXPANSION!$C$6:$F$6,MIN(4,COUNTIF(CAPA3_EXPANSION!$D$56:DC$56,"&gt;="&amp;18)))*CAPA3_EXPANSION!DC$36)</f>
        <v>2828.2799999999997</v>
      </c>
      <c r="DD25" s="88">
        <f>IF(COUNTIF(CAPA3_EXPANSION!$D$56:DD$56,"&gt;="&amp;18)=0,0,SUP_CONTROL!$C$8*IF($B25="V",1,IF($B25="D",(1+SUP_VOLUMEN!$C$26),(1+SUP_VOLUMEN!$C$27)))*INDEX(SUP_C3_EXPANSION!$C$6:$F$6,MIN(4,COUNTIF(CAPA3_EXPANSION!$D$56:DD$56,"&gt;="&amp;18)))*CAPA3_EXPANSION!DD$36)</f>
        <v>2828.2799999999997</v>
      </c>
      <c r="DE25" s="88">
        <f>IF(COUNTIF(CAPA3_EXPANSION!$D$56:DE$56,"&gt;="&amp;18)=0,0,SUP_CONTROL!$C$8*IF($B25="V",1,IF($B25="D",(1+SUP_VOLUMEN!$C$26),(1+SUP_VOLUMEN!$C$27)))*INDEX(SUP_C3_EXPANSION!$C$6:$F$6,MIN(4,COUNTIF(CAPA3_EXPANSION!$D$56:DE$56,"&gt;="&amp;18)))*CAPA3_EXPANSION!DE$36)</f>
        <v>2828.2799999999997</v>
      </c>
      <c r="DF25" s="88">
        <f>IF(COUNTIF(CAPA3_EXPANSION!$D$56:DF$56,"&gt;="&amp;18)=0,0,SUP_CONTROL!$C$8*IF($B25="V",1,IF($B25="D",(1+SUP_VOLUMEN!$C$26),(1+SUP_VOLUMEN!$C$27)))*INDEX(SUP_C3_EXPANSION!$C$6:$F$6,MIN(4,COUNTIF(CAPA3_EXPANSION!$D$56:DF$56,"&gt;="&amp;18)))*CAPA3_EXPANSION!DF$36)</f>
        <v>2828.2799999999997</v>
      </c>
      <c r="DG25" s="88">
        <f>IF(COUNTIF(CAPA3_EXPANSION!$D$56:DG$56,"&gt;="&amp;18)=0,0,SUP_CONTROL!$C$8*IF($B25="V",1,IF($B25="D",(1+SUP_VOLUMEN!$C$26),(1+SUP_VOLUMEN!$C$27)))*INDEX(SUP_C3_EXPANSION!$C$6:$F$6,MIN(4,COUNTIF(CAPA3_EXPANSION!$D$56:DG$56,"&gt;="&amp;18)))*CAPA3_EXPANSION!DG$36)</f>
        <v>2828.2799999999997</v>
      </c>
      <c r="DH25" s="88">
        <f>IF(COUNTIF(CAPA3_EXPANSION!$D$56:DH$56,"&gt;="&amp;18)=0,0,SUP_CONTROL!$C$8*IF($B25="V",1,IF($B25="D",(1+SUP_VOLUMEN!$C$26),(1+SUP_VOLUMEN!$C$27)))*INDEX(SUP_C3_EXPANSION!$C$6:$F$6,MIN(4,COUNTIF(CAPA3_EXPANSION!$D$56:DH$56,"&gt;="&amp;18)))*CAPA3_EXPANSION!DH$36)</f>
        <v>2828.2799999999997</v>
      </c>
      <c r="DI25" s="88">
        <f>IF(COUNTIF(CAPA3_EXPANSION!$D$56:DI$56,"&gt;="&amp;18)=0,0,SUP_CONTROL!$C$8*IF($B25="V",1,IF($B25="D",(1+SUP_VOLUMEN!$C$26),(1+SUP_VOLUMEN!$C$27)))*INDEX(SUP_C3_EXPANSION!$C$6:$F$6,MIN(4,COUNTIF(CAPA3_EXPANSION!$D$56:DI$56,"&gt;="&amp;18)))*CAPA3_EXPANSION!DI$36)</f>
        <v>2828.2799999999997</v>
      </c>
      <c r="DJ25" s="88">
        <f>IF(COUNTIF(CAPA3_EXPANSION!$D$56:DJ$56,"&gt;="&amp;18)=0,0,SUP_CONTROL!$C$8*IF($B25="V",1,IF($B25="D",(1+SUP_VOLUMEN!$C$26),(1+SUP_VOLUMEN!$C$27)))*INDEX(SUP_C3_EXPANSION!$C$6:$F$6,MIN(4,COUNTIF(CAPA3_EXPANSION!$D$56:DJ$56,"&gt;="&amp;18)))*CAPA3_EXPANSION!DJ$36)</f>
        <v>2828.2799999999997</v>
      </c>
      <c r="DK25" s="88">
        <f>IF(COUNTIF(CAPA3_EXPANSION!$D$56:DK$56,"&gt;="&amp;18)=0,0,SUP_CONTROL!$C$8*IF($B25="V",1,IF($B25="D",(1+SUP_VOLUMEN!$C$26),(1+SUP_VOLUMEN!$C$27)))*INDEX(SUP_C3_EXPANSION!$C$6:$F$6,MIN(4,COUNTIF(CAPA3_EXPANSION!$D$56:DK$56,"&gt;="&amp;18)))*CAPA3_EXPANSION!DK$36)</f>
        <v>2828.2799999999997</v>
      </c>
      <c r="DL25" s="88">
        <f>IF(COUNTIF(CAPA3_EXPANSION!$D$56:DL$56,"&gt;="&amp;18)=0,0,SUP_CONTROL!$C$8*IF($B25="V",1,IF($B25="D",(1+SUP_VOLUMEN!$C$26),(1+SUP_VOLUMEN!$C$27)))*INDEX(SUP_C3_EXPANSION!$C$6:$F$6,MIN(4,COUNTIF(CAPA3_EXPANSION!$D$56:DL$56,"&gt;="&amp;18)))*CAPA3_EXPANSION!DL$36)</f>
        <v>2828.2799999999997</v>
      </c>
      <c r="DM25" s="88">
        <f>IF(COUNTIF(CAPA3_EXPANSION!$D$56:DM$56,"&gt;="&amp;18)=0,0,SUP_CONTROL!$C$8*IF($B25="V",1,IF($B25="D",(1+SUP_VOLUMEN!$C$26),(1+SUP_VOLUMEN!$C$27)))*INDEX(SUP_C3_EXPANSION!$C$6:$F$6,MIN(4,COUNTIF(CAPA3_EXPANSION!$D$56:DM$56,"&gt;="&amp;18)))*CAPA3_EXPANSION!DM$36)</f>
        <v>2828.2799999999997</v>
      </c>
      <c r="DN25" s="88">
        <f>IF(COUNTIF(CAPA3_EXPANSION!$D$56:DN$56,"&gt;="&amp;18)=0,0,SUP_CONTROL!$C$8*IF($B25="V",1,IF($B25="D",(1+SUP_VOLUMEN!$C$26),(1+SUP_VOLUMEN!$C$27)))*INDEX(SUP_C3_EXPANSION!$C$6:$F$6,MIN(4,COUNTIF(CAPA3_EXPANSION!$D$56:DN$56,"&gt;="&amp;18)))*CAPA3_EXPANSION!DN$36)</f>
        <v>2828.2799999999997</v>
      </c>
      <c r="DO25" s="88">
        <f>IF(COUNTIF(CAPA3_EXPANSION!$D$56:DO$56,"&gt;="&amp;18)=0,0,SUP_CONTROL!$C$8*IF($B25="V",1,IF($B25="D",(1+SUP_VOLUMEN!$C$26),(1+SUP_VOLUMEN!$C$27)))*INDEX(SUP_C3_EXPANSION!$C$6:$F$6,MIN(4,COUNTIF(CAPA3_EXPANSION!$D$56:DO$56,"&gt;="&amp;18)))*CAPA3_EXPANSION!DO$36)</f>
        <v>2828.2799999999997</v>
      </c>
      <c r="DP25" s="88">
        <f>IF(COUNTIF(CAPA3_EXPANSION!$D$56:DP$56,"&gt;="&amp;18)=0,0,SUP_CONTROL!$C$8*IF($B25="V",1,IF($B25="D",(1+SUP_VOLUMEN!$C$26),(1+SUP_VOLUMEN!$C$27)))*INDEX(SUP_C3_EXPANSION!$C$6:$F$6,MIN(4,COUNTIF(CAPA3_EXPANSION!$D$56:DP$56,"&gt;="&amp;18)))*CAPA3_EXPANSION!DP$36)</f>
        <v>2828.2799999999997</v>
      </c>
      <c r="DQ25" s="88">
        <f>IF(COUNTIF(CAPA3_EXPANSION!$D$56:DQ$56,"&gt;="&amp;18)=0,0,SUP_CONTROL!$C$8*IF($B25="V",1,IF($B25="D",(1+SUP_VOLUMEN!$C$26),(1+SUP_VOLUMEN!$C$27)))*INDEX(SUP_C3_EXPANSION!$C$6:$F$6,MIN(4,COUNTIF(CAPA3_EXPANSION!$D$56:DQ$56,"&gt;="&amp;18)))*CAPA3_EXPANSION!DQ$36)</f>
        <v>2828.2799999999997</v>
      </c>
      <c r="DR25" s="88">
        <f>IF(COUNTIF(CAPA3_EXPANSION!$D$56:DR$56,"&gt;="&amp;18)=0,0,SUP_CONTROL!$C$8*IF($B25="V",1,IF($B25="D",(1+SUP_VOLUMEN!$C$26),(1+SUP_VOLUMEN!$C$27)))*INDEX(SUP_C3_EXPANSION!$C$6:$F$6,MIN(4,COUNTIF(CAPA3_EXPANSION!$D$56:DR$56,"&gt;="&amp;18)))*CAPA3_EXPANSION!DR$36)</f>
        <v>2828.2799999999997</v>
      </c>
      <c r="DS25" s="88">
        <f>IF(COUNTIF(CAPA3_EXPANSION!$D$56:DS$56,"&gt;="&amp;18)=0,0,SUP_CONTROL!$C$8*IF($B25="V",1,IF($B25="D",(1+SUP_VOLUMEN!$C$26),(1+SUP_VOLUMEN!$C$27)))*INDEX(SUP_C3_EXPANSION!$C$6:$F$6,MIN(4,COUNTIF(CAPA3_EXPANSION!$D$56:DS$56,"&gt;="&amp;18)))*CAPA3_EXPANSION!DS$36)</f>
        <v>2828.2799999999997</v>
      </c>
    </row>
    <row r="26" spans="1:123" ht="15" customHeight="1" x14ac:dyDescent="0.2">
      <c r="A26" s="88">
        <v>29</v>
      </c>
      <c r="B26" s="104" t="str">
        <f>SUP_C3_EXPANSION!B38</f>
        <v>V</v>
      </c>
      <c r="C26" s="73">
        <f>SUP_C3_EXPANSION!G38</f>
        <v>54</v>
      </c>
      <c r="D26" s="88">
        <f>IF(COUNTIF(CAPA3_EXPANSION!$D$56:D$56,"&gt;="&amp;19)=0,0,SUP_CONTROL!$C$8*IF($B26="V",1,IF($B26="D",(1+SUP_VOLUMEN!$C$26),(1+SUP_VOLUMEN!$C$27)))*INDEX(SUP_C3_EXPANSION!$C$6:$F$6,MIN(4,COUNTIF(CAPA3_EXPANSION!$D$56:D$56,"&gt;="&amp;19)))*CAPA3_EXPANSION!D$36)</f>
        <v>0</v>
      </c>
      <c r="E26" s="88">
        <f>IF(COUNTIF(CAPA3_EXPANSION!$D$56:E$56,"&gt;="&amp;19)=0,0,SUP_CONTROL!$C$8*IF($B26="V",1,IF($B26="D",(1+SUP_VOLUMEN!$C$26),(1+SUP_VOLUMEN!$C$27)))*INDEX(SUP_C3_EXPANSION!$C$6:$F$6,MIN(4,COUNTIF(CAPA3_EXPANSION!$D$56:E$56,"&gt;="&amp;19)))*CAPA3_EXPANSION!E$36)</f>
        <v>0</v>
      </c>
      <c r="F26" s="88">
        <f>IF(COUNTIF(CAPA3_EXPANSION!$D$56:F$56,"&gt;="&amp;19)=0,0,SUP_CONTROL!$C$8*IF($B26="V",1,IF($B26="D",(1+SUP_VOLUMEN!$C$26),(1+SUP_VOLUMEN!$C$27)))*INDEX(SUP_C3_EXPANSION!$C$6:$F$6,MIN(4,COUNTIF(CAPA3_EXPANSION!$D$56:F$56,"&gt;="&amp;19)))*CAPA3_EXPANSION!F$36)</f>
        <v>0</v>
      </c>
      <c r="G26" s="88">
        <f>IF(COUNTIF(CAPA3_EXPANSION!$D$56:G$56,"&gt;="&amp;19)=0,0,SUP_CONTROL!$C$8*IF($B26="V",1,IF($B26="D",(1+SUP_VOLUMEN!$C$26),(1+SUP_VOLUMEN!$C$27)))*INDEX(SUP_C3_EXPANSION!$C$6:$F$6,MIN(4,COUNTIF(CAPA3_EXPANSION!$D$56:G$56,"&gt;="&amp;19)))*CAPA3_EXPANSION!G$36)</f>
        <v>0</v>
      </c>
      <c r="H26" s="88">
        <f>IF(COUNTIF(CAPA3_EXPANSION!$D$56:H$56,"&gt;="&amp;19)=0,0,SUP_CONTROL!$C$8*IF($B26="V",1,IF($B26="D",(1+SUP_VOLUMEN!$C$26),(1+SUP_VOLUMEN!$C$27)))*INDEX(SUP_C3_EXPANSION!$C$6:$F$6,MIN(4,COUNTIF(CAPA3_EXPANSION!$D$56:H$56,"&gt;="&amp;19)))*CAPA3_EXPANSION!H$36)</f>
        <v>0</v>
      </c>
      <c r="I26" s="88">
        <f>IF(COUNTIF(CAPA3_EXPANSION!$D$56:I$56,"&gt;="&amp;19)=0,0,SUP_CONTROL!$C$8*IF($B26="V",1,IF($B26="D",(1+SUP_VOLUMEN!$C$26),(1+SUP_VOLUMEN!$C$27)))*INDEX(SUP_C3_EXPANSION!$C$6:$F$6,MIN(4,COUNTIF(CAPA3_EXPANSION!$D$56:I$56,"&gt;="&amp;19)))*CAPA3_EXPANSION!I$36)</f>
        <v>0</v>
      </c>
      <c r="J26" s="88">
        <f>IF(COUNTIF(CAPA3_EXPANSION!$D$56:J$56,"&gt;="&amp;19)=0,0,SUP_CONTROL!$C$8*IF($B26="V",1,IF($B26="D",(1+SUP_VOLUMEN!$C$26),(1+SUP_VOLUMEN!$C$27)))*INDEX(SUP_C3_EXPANSION!$C$6:$F$6,MIN(4,COUNTIF(CAPA3_EXPANSION!$D$56:J$56,"&gt;="&amp;19)))*CAPA3_EXPANSION!J$36)</f>
        <v>0</v>
      </c>
      <c r="K26" s="88">
        <f>IF(COUNTIF(CAPA3_EXPANSION!$D$56:K$56,"&gt;="&amp;19)=0,0,SUP_CONTROL!$C$8*IF($B26="V",1,IF($B26="D",(1+SUP_VOLUMEN!$C$26),(1+SUP_VOLUMEN!$C$27)))*INDEX(SUP_C3_EXPANSION!$C$6:$F$6,MIN(4,COUNTIF(CAPA3_EXPANSION!$D$56:K$56,"&gt;="&amp;19)))*CAPA3_EXPANSION!K$36)</f>
        <v>0</v>
      </c>
      <c r="L26" s="88">
        <f>IF(COUNTIF(CAPA3_EXPANSION!$D$56:L$56,"&gt;="&amp;19)=0,0,SUP_CONTROL!$C$8*IF($B26="V",1,IF($B26="D",(1+SUP_VOLUMEN!$C$26),(1+SUP_VOLUMEN!$C$27)))*INDEX(SUP_C3_EXPANSION!$C$6:$F$6,MIN(4,COUNTIF(CAPA3_EXPANSION!$D$56:L$56,"&gt;="&amp;19)))*CAPA3_EXPANSION!L$36)</f>
        <v>0</v>
      </c>
      <c r="M26" s="88">
        <f>IF(COUNTIF(CAPA3_EXPANSION!$D$56:M$56,"&gt;="&amp;19)=0,0,SUP_CONTROL!$C$8*IF($B26="V",1,IF($B26="D",(1+SUP_VOLUMEN!$C$26),(1+SUP_VOLUMEN!$C$27)))*INDEX(SUP_C3_EXPANSION!$C$6:$F$6,MIN(4,COUNTIF(CAPA3_EXPANSION!$D$56:M$56,"&gt;="&amp;19)))*CAPA3_EXPANSION!M$36)</f>
        <v>0</v>
      </c>
      <c r="N26" s="88">
        <f>IF(COUNTIF(CAPA3_EXPANSION!$D$56:N$56,"&gt;="&amp;19)=0,0,SUP_CONTROL!$C$8*IF($B26="V",1,IF($B26="D",(1+SUP_VOLUMEN!$C$26),(1+SUP_VOLUMEN!$C$27)))*INDEX(SUP_C3_EXPANSION!$C$6:$F$6,MIN(4,COUNTIF(CAPA3_EXPANSION!$D$56:N$56,"&gt;="&amp;19)))*CAPA3_EXPANSION!N$36)</f>
        <v>0</v>
      </c>
      <c r="O26" s="88">
        <f>IF(COUNTIF(CAPA3_EXPANSION!$D$56:O$56,"&gt;="&amp;19)=0,0,SUP_CONTROL!$C$8*IF($B26="V",1,IF($B26="D",(1+SUP_VOLUMEN!$C$26),(1+SUP_VOLUMEN!$C$27)))*INDEX(SUP_C3_EXPANSION!$C$6:$F$6,MIN(4,COUNTIF(CAPA3_EXPANSION!$D$56:O$56,"&gt;="&amp;19)))*CAPA3_EXPANSION!O$36)</f>
        <v>0</v>
      </c>
      <c r="P26" s="88">
        <f>IF(COUNTIF(CAPA3_EXPANSION!$D$56:P$56,"&gt;="&amp;19)=0,0,SUP_CONTROL!$C$8*IF($B26="V",1,IF($B26="D",(1+SUP_VOLUMEN!$C$26),(1+SUP_VOLUMEN!$C$27)))*INDEX(SUP_C3_EXPANSION!$C$6:$F$6,MIN(4,COUNTIF(CAPA3_EXPANSION!$D$56:P$56,"&gt;="&amp;19)))*CAPA3_EXPANSION!P$36)</f>
        <v>0</v>
      </c>
      <c r="Q26" s="88">
        <f>IF(COUNTIF(CAPA3_EXPANSION!$D$56:Q$56,"&gt;="&amp;19)=0,0,SUP_CONTROL!$C$8*IF($B26="V",1,IF($B26="D",(1+SUP_VOLUMEN!$C$26),(1+SUP_VOLUMEN!$C$27)))*INDEX(SUP_C3_EXPANSION!$C$6:$F$6,MIN(4,COUNTIF(CAPA3_EXPANSION!$D$56:Q$56,"&gt;="&amp;19)))*CAPA3_EXPANSION!Q$36)</f>
        <v>0</v>
      </c>
      <c r="R26" s="88">
        <f>IF(COUNTIF(CAPA3_EXPANSION!$D$56:R$56,"&gt;="&amp;19)=0,0,SUP_CONTROL!$C$8*IF($B26="V",1,IF($B26="D",(1+SUP_VOLUMEN!$C$26),(1+SUP_VOLUMEN!$C$27)))*INDEX(SUP_C3_EXPANSION!$C$6:$F$6,MIN(4,COUNTIF(CAPA3_EXPANSION!$D$56:R$56,"&gt;="&amp;19)))*CAPA3_EXPANSION!R$36)</f>
        <v>0</v>
      </c>
      <c r="S26" s="88">
        <f>IF(COUNTIF(CAPA3_EXPANSION!$D$56:S$56,"&gt;="&amp;19)=0,0,SUP_CONTROL!$C$8*IF($B26="V",1,IF($B26="D",(1+SUP_VOLUMEN!$C$26),(1+SUP_VOLUMEN!$C$27)))*INDEX(SUP_C3_EXPANSION!$C$6:$F$6,MIN(4,COUNTIF(CAPA3_EXPANSION!$D$56:S$56,"&gt;="&amp;19)))*CAPA3_EXPANSION!S$36)</f>
        <v>0</v>
      </c>
      <c r="T26" s="88">
        <f>IF(COUNTIF(CAPA3_EXPANSION!$D$56:T$56,"&gt;="&amp;19)=0,0,SUP_CONTROL!$C$8*IF($B26="V",1,IF($B26="D",(1+SUP_VOLUMEN!$C$26),(1+SUP_VOLUMEN!$C$27)))*INDEX(SUP_C3_EXPANSION!$C$6:$F$6,MIN(4,COUNTIF(CAPA3_EXPANSION!$D$56:T$56,"&gt;="&amp;19)))*CAPA3_EXPANSION!T$36)</f>
        <v>0</v>
      </c>
      <c r="U26" s="88">
        <f>IF(COUNTIF(CAPA3_EXPANSION!$D$56:U$56,"&gt;="&amp;19)=0,0,SUP_CONTROL!$C$8*IF($B26="V",1,IF($B26="D",(1+SUP_VOLUMEN!$C$26),(1+SUP_VOLUMEN!$C$27)))*INDEX(SUP_C3_EXPANSION!$C$6:$F$6,MIN(4,COUNTIF(CAPA3_EXPANSION!$D$56:U$56,"&gt;="&amp;19)))*CAPA3_EXPANSION!U$36)</f>
        <v>0</v>
      </c>
      <c r="V26" s="88">
        <f>IF(COUNTIF(CAPA3_EXPANSION!$D$56:V$56,"&gt;="&amp;19)=0,0,SUP_CONTROL!$C$8*IF($B26="V",1,IF($B26="D",(1+SUP_VOLUMEN!$C$26),(1+SUP_VOLUMEN!$C$27)))*INDEX(SUP_C3_EXPANSION!$C$6:$F$6,MIN(4,COUNTIF(CAPA3_EXPANSION!$D$56:V$56,"&gt;="&amp;19)))*CAPA3_EXPANSION!V$36)</f>
        <v>0</v>
      </c>
      <c r="W26" s="88">
        <f>IF(COUNTIF(CAPA3_EXPANSION!$D$56:W$56,"&gt;="&amp;19)=0,0,SUP_CONTROL!$C$8*IF($B26="V",1,IF($B26="D",(1+SUP_VOLUMEN!$C$26),(1+SUP_VOLUMEN!$C$27)))*INDEX(SUP_C3_EXPANSION!$C$6:$F$6,MIN(4,COUNTIF(CAPA3_EXPANSION!$D$56:W$56,"&gt;="&amp;19)))*CAPA3_EXPANSION!W$36)</f>
        <v>0</v>
      </c>
      <c r="X26" s="88">
        <f>IF(COUNTIF(CAPA3_EXPANSION!$D$56:X$56,"&gt;="&amp;19)=0,0,SUP_CONTROL!$C$8*IF($B26="V",1,IF($B26="D",(1+SUP_VOLUMEN!$C$26),(1+SUP_VOLUMEN!$C$27)))*INDEX(SUP_C3_EXPANSION!$C$6:$F$6,MIN(4,COUNTIF(CAPA3_EXPANSION!$D$56:X$56,"&gt;="&amp;19)))*CAPA3_EXPANSION!X$36)</f>
        <v>0</v>
      </c>
      <c r="Y26" s="88">
        <f>IF(COUNTIF(CAPA3_EXPANSION!$D$56:Y$56,"&gt;="&amp;19)=0,0,SUP_CONTROL!$C$8*IF($B26="V",1,IF($B26="D",(1+SUP_VOLUMEN!$C$26),(1+SUP_VOLUMEN!$C$27)))*INDEX(SUP_C3_EXPANSION!$C$6:$F$6,MIN(4,COUNTIF(CAPA3_EXPANSION!$D$56:Y$56,"&gt;="&amp;19)))*CAPA3_EXPANSION!Y$36)</f>
        <v>0</v>
      </c>
      <c r="Z26" s="88">
        <f>IF(COUNTIF(CAPA3_EXPANSION!$D$56:Z$56,"&gt;="&amp;19)=0,0,SUP_CONTROL!$C$8*IF($B26="V",1,IF($B26="D",(1+SUP_VOLUMEN!$C$26),(1+SUP_VOLUMEN!$C$27)))*INDEX(SUP_C3_EXPANSION!$C$6:$F$6,MIN(4,COUNTIF(CAPA3_EXPANSION!$D$56:Z$56,"&gt;="&amp;19)))*CAPA3_EXPANSION!Z$36)</f>
        <v>0</v>
      </c>
      <c r="AA26" s="88">
        <f>IF(COUNTIF(CAPA3_EXPANSION!$D$56:AA$56,"&gt;="&amp;19)=0,0,SUP_CONTROL!$C$8*IF($B26="V",1,IF($B26="D",(1+SUP_VOLUMEN!$C$26),(1+SUP_VOLUMEN!$C$27)))*INDEX(SUP_C3_EXPANSION!$C$6:$F$6,MIN(4,COUNTIF(CAPA3_EXPANSION!$D$56:AA$56,"&gt;="&amp;19)))*CAPA3_EXPANSION!AA$36)</f>
        <v>0</v>
      </c>
      <c r="AB26" s="88">
        <f>IF(COUNTIF(CAPA3_EXPANSION!$D$56:AB$56,"&gt;="&amp;19)=0,0,SUP_CONTROL!$C$8*IF($B26="V",1,IF($B26="D",(1+SUP_VOLUMEN!$C$26),(1+SUP_VOLUMEN!$C$27)))*INDEX(SUP_C3_EXPANSION!$C$6:$F$6,MIN(4,COUNTIF(CAPA3_EXPANSION!$D$56:AB$56,"&gt;="&amp;19)))*CAPA3_EXPANSION!AB$36)</f>
        <v>0</v>
      </c>
      <c r="AC26" s="88">
        <f>IF(COUNTIF(CAPA3_EXPANSION!$D$56:AC$56,"&gt;="&amp;19)=0,0,SUP_CONTROL!$C$8*IF($B26="V",1,IF($B26="D",(1+SUP_VOLUMEN!$C$26),(1+SUP_VOLUMEN!$C$27)))*INDEX(SUP_C3_EXPANSION!$C$6:$F$6,MIN(4,COUNTIF(CAPA3_EXPANSION!$D$56:AC$56,"&gt;="&amp;19)))*CAPA3_EXPANSION!AC$36)</f>
        <v>0</v>
      </c>
      <c r="AD26" s="88">
        <f>IF(COUNTIF(CAPA3_EXPANSION!$D$56:AD$56,"&gt;="&amp;19)=0,0,SUP_CONTROL!$C$8*IF($B26="V",1,IF($B26="D",(1+SUP_VOLUMEN!$C$26),(1+SUP_VOLUMEN!$C$27)))*INDEX(SUP_C3_EXPANSION!$C$6:$F$6,MIN(4,COUNTIF(CAPA3_EXPANSION!$D$56:AD$56,"&gt;="&amp;19)))*CAPA3_EXPANSION!AD$36)</f>
        <v>0</v>
      </c>
      <c r="AE26" s="88">
        <f>IF(COUNTIF(CAPA3_EXPANSION!$D$56:AE$56,"&gt;="&amp;19)=0,0,SUP_CONTROL!$C$8*IF($B26="V",1,IF($B26="D",(1+SUP_VOLUMEN!$C$26),(1+SUP_VOLUMEN!$C$27)))*INDEX(SUP_C3_EXPANSION!$C$6:$F$6,MIN(4,COUNTIF(CAPA3_EXPANSION!$D$56:AE$56,"&gt;="&amp;19)))*CAPA3_EXPANSION!AE$36)</f>
        <v>0</v>
      </c>
      <c r="AF26" s="88">
        <f>IF(COUNTIF(CAPA3_EXPANSION!$D$56:AF$56,"&gt;="&amp;19)=0,0,SUP_CONTROL!$C$8*IF($B26="V",1,IF($B26="D",(1+SUP_VOLUMEN!$C$26),(1+SUP_VOLUMEN!$C$27)))*INDEX(SUP_C3_EXPANSION!$C$6:$F$6,MIN(4,COUNTIF(CAPA3_EXPANSION!$D$56:AF$56,"&gt;="&amp;19)))*CAPA3_EXPANSION!AF$36)</f>
        <v>0</v>
      </c>
      <c r="AG26" s="88">
        <f>IF(COUNTIF(CAPA3_EXPANSION!$D$56:AG$56,"&gt;="&amp;19)=0,0,SUP_CONTROL!$C$8*IF($B26="V",1,IF($B26="D",(1+SUP_VOLUMEN!$C$26),(1+SUP_VOLUMEN!$C$27)))*INDEX(SUP_C3_EXPANSION!$C$6:$F$6,MIN(4,COUNTIF(CAPA3_EXPANSION!$D$56:AG$56,"&gt;="&amp;19)))*CAPA3_EXPANSION!AG$36)</f>
        <v>0</v>
      </c>
      <c r="AH26" s="88">
        <f>IF(COUNTIF(CAPA3_EXPANSION!$D$56:AH$56,"&gt;="&amp;19)=0,0,SUP_CONTROL!$C$8*IF($B26="V",1,IF($B26="D",(1+SUP_VOLUMEN!$C$26),(1+SUP_VOLUMEN!$C$27)))*INDEX(SUP_C3_EXPANSION!$C$6:$F$6,MIN(4,COUNTIF(CAPA3_EXPANSION!$D$56:AH$56,"&gt;="&amp;19)))*CAPA3_EXPANSION!AH$36)</f>
        <v>0</v>
      </c>
      <c r="AI26" s="88">
        <f>IF(COUNTIF(CAPA3_EXPANSION!$D$56:AI$56,"&gt;="&amp;19)=0,0,SUP_CONTROL!$C$8*IF($B26="V",1,IF($B26="D",(1+SUP_VOLUMEN!$C$26),(1+SUP_VOLUMEN!$C$27)))*INDEX(SUP_C3_EXPANSION!$C$6:$F$6,MIN(4,COUNTIF(CAPA3_EXPANSION!$D$56:AI$56,"&gt;="&amp;19)))*CAPA3_EXPANSION!AI$36)</f>
        <v>0</v>
      </c>
      <c r="AJ26" s="88">
        <f>IF(COUNTIF(CAPA3_EXPANSION!$D$56:AJ$56,"&gt;="&amp;19)=0,0,SUP_CONTROL!$C$8*IF($B26="V",1,IF($B26="D",(1+SUP_VOLUMEN!$C$26),(1+SUP_VOLUMEN!$C$27)))*INDEX(SUP_C3_EXPANSION!$C$6:$F$6,MIN(4,COUNTIF(CAPA3_EXPANSION!$D$56:AJ$56,"&gt;="&amp;19)))*CAPA3_EXPANSION!AJ$36)</f>
        <v>0</v>
      </c>
      <c r="AK26" s="88">
        <f>IF(COUNTIF(CAPA3_EXPANSION!$D$56:AK$56,"&gt;="&amp;19)=0,0,SUP_CONTROL!$C$8*IF($B26="V",1,IF($B26="D",(1+SUP_VOLUMEN!$C$26),(1+SUP_VOLUMEN!$C$27)))*INDEX(SUP_C3_EXPANSION!$C$6:$F$6,MIN(4,COUNTIF(CAPA3_EXPANSION!$D$56:AK$56,"&gt;="&amp;19)))*CAPA3_EXPANSION!AK$36)</f>
        <v>0</v>
      </c>
      <c r="AL26" s="88">
        <f>IF(COUNTIF(CAPA3_EXPANSION!$D$56:AL$56,"&gt;="&amp;19)=0,0,SUP_CONTROL!$C$8*IF($B26="V",1,IF($B26="D",(1+SUP_VOLUMEN!$C$26),(1+SUP_VOLUMEN!$C$27)))*INDEX(SUP_C3_EXPANSION!$C$6:$F$6,MIN(4,COUNTIF(CAPA3_EXPANSION!$D$56:AL$56,"&gt;="&amp;19)))*CAPA3_EXPANSION!AL$36)</f>
        <v>0</v>
      </c>
      <c r="AM26" s="88">
        <f>IF(COUNTIF(CAPA3_EXPANSION!$D$56:AM$56,"&gt;="&amp;19)=0,0,SUP_CONTROL!$C$8*IF($B26="V",1,IF($B26="D",(1+SUP_VOLUMEN!$C$26),(1+SUP_VOLUMEN!$C$27)))*INDEX(SUP_C3_EXPANSION!$C$6:$F$6,MIN(4,COUNTIF(CAPA3_EXPANSION!$D$56:AM$56,"&gt;="&amp;19)))*CAPA3_EXPANSION!AM$36)</f>
        <v>0</v>
      </c>
      <c r="AN26" s="88">
        <f>IF(COUNTIF(CAPA3_EXPANSION!$D$56:AN$56,"&gt;="&amp;19)=0,0,SUP_CONTROL!$C$8*IF($B26="V",1,IF($B26="D",(1+SUP_VOLUMEN!$C$26),(1+SUP_VOLUMEN!$C$27)))*INDEX(SUP_C3_EXPANSION!$C$6:$F$6,MIN(4,COUNTIF(CAPA3_EXPANSION!$D$56:AN$56,"&gt;="&amp;19)))*CAPA3_EXPANSION!AN$36)</f>
        <v>0</v>
      </c>
      <c r="AO26" s="88">
        <f>IF(COUNTIF(CAPA3_EXPANSION!$D$56:AO$56,"&gt;="&amp;19)=0,0,SUP_CONTROL!$C$8*IF($B26="V",1,IF($B26="D",(1+SUP_VOLUMEN!$C$26),(1+SUP_VOLUMEN!$C$27)))*INDEX(SUP_C3_EXPANSION!$C$6:$F$6,MIN(4,COUNTIF(CAPA3_EXPANSION!$D$56:AO$56,"&gt;="&amp;19)))*CAPA3_EXPANSION!AO$36)</f>
        <v>0</v>
      </c>
      <c r="AP26" s="88">
        <f>IF(COUNTIF(CAPA3_EXPANSION!$D$56:AP$56,"&gt;="&amp;19)=0,0,SUP_CONTROL!$C$8*IF($B26="V",1,IF($B26="D",(1+SUP_VOLUMEN!$C$26),(1+SUP_VOLUMEN!$C$27)))*INDEX(SUP_C3_EXPANSION!$C$6:$F$6,MIN(4,COUNTIF(CAPA3_EXPANSION!$D$56:AP$56,"&gt;="&amp;19)))*CAPA3_EXPANSION!AP$36)</f>
        <v>0</v>
      </c>
      <c r="AQ26" s="88">
        <f>IF(COUNTIF(CAPA3_EXPANSION!$D$56:AQ$56,"&gt;="&amp;19)=0,0,SUP_CONTROL!$C$8*IF($B26="V",1,IF($B26="D",(1+SUP_VOLUMEN!$C$26),(1+SUP_VOLUMEN!$C$27)))*INDEX(SUP_C3_EXPANSION!$C$6:$F$6,MIN(4,COUNTIF(CAPA3_EXPANSION!$D$56:AQ$56,"&gt;="&amp;19)))*CAPA3_EXPANSION!AQ$36)</f>
        <v>0</v>
      </c>
      <c r="AR26" s="88">
        <f>IF(COUNTIF(CAPA3_EXPANSION!$D$56:AR$56,"&gt;="&amp;19)=0,0,SUP_CONTROL!$C$8*IF($B26="V",1,IF($B26="D",(1+SUP_VOLUMEN!$C$26),(1+SUP_VOLUMEN!$C$27)))*INDEX(SUP_C3_EXPANSION!$C$6:$F$6,MIN(4,COUNTIF(CAPA3_EXPANSION!$D$56:AR$56,"&gt;="&amp;19)))*CAPA3_EXPANSION!AR$36)</f>
        <v>0</v>
      </c>
      <c r="AS26" s="88">
        <f>IF(COUNTIF(CAPA3_EXPANSION!$D$56:AS$56,"&gt;="&amp;19)=0,0,SUP_CONTROL!$C$8*IF($B26="V",1,IF($B26="D",(1+SUP_VOLUMEN!$C$26),(1+SUP_VOLUMEN!$C$27)))*INDEX(SUP_C3_EXPANSION!$C$6:$F$6,MIN(4,COUNTIF(CAPA3_EXPANSION!$D$56:AS$56,"&gt;="&amp;19)))*CAPA3_EXPANSION!AS$36)</f>
        <v>0</v>
      </c>
      <c r="AT26" s="88">
        <f>IF(COUNTIF(CAPA3_EXPANSION!$D$56:AT$56,"&gt;="&amp;19)=0,0,SUP_CONTROL!$C$8*IF($B26="V",1,IF($B26="D",(1+SUP_VOLUMEN!$C$26),(1+SUP_VOLUMEN!$C$27)))*INDEX(SUP_C3_EXPANSION!$C$6:$F$6,MIN(4,COUNTIF(CAPA3_EXPANSION!$D$56:AT$56,"&gt;="&amp;19)))*CAPA3_EXPANSION!AT$36)</f>
        <v>0</v>
      </c>
      <c r="AU26" s="88">
        <f>IF(COUNTIF(CAPA3_EXPANSION!$D$56:AU$56,"&gt;="&amp;19)=0,0,SUP_CONTROL!$C$8*IF($B26="V",1,IF($B26="D",(1+SUP_VOLUMEN!$C$26),(1+SUP_VOLUMEN!$C$27)))*INDEX(SUP_C3_EXPANSION!$C$6:$F$6,MIN(4,COUNTIF(CAPA3_EXPANSION!$D$56:AU$56,"&gt;="&amp;19)))*CAPA3_EXPANSION!AU$36)</f>
        <v>0</v>
      </c>
      <c r="AV26" s="88">
        <f>IF(COUNTIF(CAPA3_EXPANSION!$D$56:AV$56,"&gt;="&amp;19)=0,0,SUP_CONTROL!$C$8*IF($B26="V",1,IF($B26="D",(1+SUP_VOLUMEN!$C$26),(1+SUP_VOLUMEN!$C$27)))*INDEX(SUP_C3_EXPANSION!$C$6:$F$6,MIN(4,COUNTIF(CAPA3_EXPANSION!$D$56:AV$56,"&gt;="&amp;19)))*CAPA3_EXPANSION!AV$36)</f>
        <v>0</v>
      </c>
      <c r="AW26" s="88">
        <f>IF(COUNTIF(CAPA3_EXPANSION!$D$56:AW$56,"&gt;="&amp;19)=0,0,SUP_CONTROL!$C$8*IF($B26="V",1,IF($B26="D",(1+SUP_VOLUMEN!$C$26),(1+SUP_VOLUMEN!$C$27)))*INDEX(SUP_C3_EXPANSION!$C$6:$F$6,MIN(4,COUNTIF(CAPA3_EXPANSION!$D$56:AW$56,"&gt;="&amp;19)))*CAPA3_EXPANSION!AW$36)</f>
        <v>0</v>
      </c>
      <c r="AX26" s="88">
        <f>IF(COUNTIF(CAPA3_EXPANSION!$D$56:AX$56,"&gt;="&amp;19)=0,0,SUP_CONTROL!$C$8*IF($B26="V",1,IF($B26="D",(1+SUP_VOLUMEN!$C$26),(1+SUP_VOLUMEN!$C$27)))*INDEX(SUP_C3_EXPANSION!$C$6:$F$6,MIN(4,COUNTIF(CAPA3_EXPANSION!$D$56:AX$56,"&gt;="&amp;19)))*CAPA3_EXPANSION!AX$36)</f>
        <v>0</v>
      </c>
      <c r="AY26" s="88">
        <f>IF(COUNTIF(CAPA3_EXPANSION!$D$56:AY$56,"&gt;="&amp;19)=0,0,SUP_CONTROL!$C$8*IF($B26="V",1,IF($B26="D",(1+SUP_VOLUMEN!$C$26),(1+SUP_VOLUMEN!$C$27)))*INDEX(SUP_C3_EXPANSION!$C$6:$F$6,MIN(4,COUNTIF(CAPA3_EXPANSION!$D$56:AY$56,"&gt;="&amp;19)))*CAPA3_EXPANSION!AY$36)</f>
        <v>0</v>
      </c>
      <c r="AZ26" s="88">
        <f>IF(COUNTIF(CAPA3_EXPANSION!$D$56:AZ$56,"&gt;="&amp;19)=0,0,SUP_CONTROL!$C$8*IF($B26="V",1,IF($B26="D",(1+SUP_VOLUMEN!$C$26),(1+SUP_VOLUMEN!$C$27)))*INDEX(SUP_C3_EXPANSION!$C$6:$F$6,MIN(4,COUNTIF(CAPA3_EXPANSION!$D$56:AZ$56,"&gt;="&amp;19)))*CAPA3_EXPANSION!AZ$36)</f>
        <v>0</v>
      </c>
      <c r="BA26" s="88">
        <f>IF(COUNTIF(CAPA3_EXPANSION!$D$56:BA$56,"&gt;="&amp;19)=0,0,SUP_CONTROL!$C$8*IF($B26="V",1,IF($B26="D",(1+SUP_VOLUMEN!$C$26),(1+SUP_VOLUMEN!$C$27)))*INDEX(SUP_C3_EXPANSION!$C$6:$F$6,MIN(4,COUNTIF(CAPA3_EXPANSION!$D$56:BA$56,"&gt;="&amp;19)))*CAPA3_EXPANSION!BA$36)</f>
        <v>0</v>
      </c>
      <c r="BB26" s="88">
        <f>IF(COUNTIF(CAPA3_EXPANSION!$D$56:BB$56,"&gt;="&amp;19)=0,0,SUP_CONTROL!$C$8*IF($B26="V",1,IF($B26="D",(1+SUP_VOLUMEN!$C$26),(1+SUP_VOLUMEN!$C$27)))*INDEX(SUP_C3_EXPANSION!$C$6:$F$6,MIN(4,COUNTIF(CAPA3_EXPANSION!$D$56:BB$56,"&gt;="&amp;19)))*CAPA3_EXPANSION!BB$36)</f>
        <v>0</v>
      </c>
      <c r="BC26" s="88">
        <f>IF(COUNTIF(CAPA3_EXPANSION!$D$56:BC$56,"&gt;="&amp;19)=0,0,SUP_CONTROL!$C$8*IF($B26="V",1,IF($B26="D",(1+SUP_VOLUMEN!$C$26),(1+SUP_VOLUMEN!$C$27)))*INDEX(SUP_C3_EXPANSION!$C$6:$F$6,MIN(4,COUNTIF(CAPA3_EXPANSION!$D$56:BC$56,"&gt;="&amp;19)))*CAPA3_EXPANSION!BC$36)</f>
        <v>0</v>
      </c>
      <c r="BD26" s="88">
        <f>IF(COUNTIF(CAPA3_EXPANSION!$D$56:BD$56,"&gt;="&amp;19)=0,0,SUP_CONTROL!$C$8*IF($B26="V",1,IF($B26="D",(1+SUP_VOLUMEN!$C$26),(1+SUP_VOLUMEN!$C$27)))*INDEX(SUP_C3_EXPANSION!$C$6:$F$6,MIN(4,COUNTIF(CAPA3_EXPANSION!$D$56:BD$56,"&gt;="&amp;19)))*CAPA3_EXPANSION!BD$36)</f>
        <v>0</v>
      </c>
      <c r="BE26" s="88">
        <f>IF(COUNTIF(CAPA3_EXPANSION!$D$56:BE$56,"&gt;="&amp;19)=0,0,SUP_CONTROL!$C$8*IF($B26="V",1,IF($B26="D",(1+SUP_VOLUMEN!$C$26),(1+SUP_VOLUMEN!$C$27)))*INDEX(SUP_C3_EXPANSION!$C$6:$F$6,MIN(4,COUNTIF(CAPA3_EXPANSION!$D$56:BE$56,"&gt;="&amp;19)))*CAPA3_EXPANSION!BE$36)</f>
        <v>0</v>
      </c>
      <c r="BF26" s="88">
        <f>IF(COUNTIF(CAPA3_EXPANSION!$D$56:BF$56,"&gt;="&amp;19)=0,0,SUP_CONTROL!$C$8*IF($B26="V",1,IF($B26="D",(1+SUP_VOLUMEN!$C$26),(1+SUP_VOLUMEN!$C$27)))*INDEX(SUP_C3_EXPANSION!$C$6:$F$6,MIN(4,COUNTIF(CAPA3_EXPANSION!$D$56:BF$56,"&gt;="&amp;19)))*CAPA3_EXPANSION!BF$36)</f>
        <v>0</v>
      </c>
      <c r="BG26" s="88">
        <f>IF(COUNTIF(CAPA3_EXPANSION!$D$56:BG$56,"&gt;="&amp;19)=0,0,SUP_CONTROL!$C$8*IF($B26="V",1,IF($B26="D",(1+SUP_VOLUMEN!$C$26),(1+SUP_VOLUMEN!$C$27)))*INDEX(SUP_C3_EXPANSION!$C$6:$F$6,MIN(4,COUNTIF(CAPA3_EXPANSION!$D$56:BG$56,"&gt;="&amp;19)))*CAPA3_EXPANSION!BG$36)</f>
        <v>0</v>
      </c>
      <c r="BH26" s="88">
        <f>IF(COUNTIF(CAPA3_EXPANSION!$D$56:BH$56,"&gt;="&amp;19)=0,0,SUP_CONTROL!$C$8*IF($B26="V",1,IF($B26="D",(1+SUP_VOLUMEN!$C$26),(1+SUP_VOLUMEN!$C$27)))*INDEX(SUP_C3_EXPANSION!$C$6:$F$6,MIN(4,COUNTIF(CAPA3_EXPANSION!$D$56:BH$56,"&gt;="&amp;19)))*CAPA3_EXPANSION!BH$36)</f>
        <v>1969.6950000000002</v>
      </c>
      <c r="BI26" s="88">
        <f>IF(COUNTIF(CAPA3_EXPANSION!$D$56:BI$56,"&gt;="&amp;19)=0,0,SUP_CONTROL!$C$8*IF($B26="V",1,IF($B26="D",(1+SUP_VOLUMEN!$C$26),(1+SUP_VOLUMEN!$C$27)))*INDEX(SUP_C3_EXPANSION!$C$6:$F$6,MIN(4,COUNTIF(CAPA3_EXPANSION!$D$56:BI$56,"&gt;="&amp;19)))*CAPA3_EXPANSION!BI$36)</f>
        <v>2424.2400000000002</v>
      </c>
      <c r="BJ26" s="88">
        <f>IF(COUNTIF(CAPA3_EXPANSION!$D$56:BJ$56,"&gt;="&amp;19)=0,0,SUP_CONTROL!$C$8*IF($B26="V",1,IF($B26="D",(1+SUP_VOLUMEN!$C$26),(1+SUP_VOLUMEN!$C$27)))*INDEX(SUP_C3_EXPANSION!$C$6:$F$6,MIN(4,COUNTIF(CAPA3_EXPANSION!$D$56:BJ$56,"&gt;="&amp;19)))*CAPA3_EXPANSION!BJ$36)</f>
        <v>2727.2700000000004</v>
      </c>
      <c r="BK26" s="88">
        <f>IF(COUNTIF(CAPA3_EXPANSION!$D$56:BK$56,"&gt;="&amp;19)=0,0,SUP_CONTROL!$C$8*IF($B26="V",1,IF($B26="D",(1+SUP_VOLUMEN!$C$26),(1+SUP_VOLUMEN!$C$27)))*INDEX(SUP_C3_EXPANSION!$C$6:$F$6,MIN(4,COUNTIF(CAPA3_EXPANSION!$D$56:BK$56,"&gt;="&amp;19)))*CAPA3_EXPANSION!BK$36)</f>
        <v>2962.96</v>
      </c>
      <c r="BL26" s="88">
        <f>IF(COUNTIF(CAPA3_EXPANSION!$D$56:BL$56,"&gt;="&amp;19)=0,0,SUP_CONTROL!$C$8*IF($B26="V",1,IF($B26="D",(1+SUP_VOLUMEN!$C$26),(1+SUP_VOLUMEN!$C$27)))*INDEX(SUP_C3_EXPANSION!$C$6:$F$6,MIN(4,COUNTIF(CAPA3_EXPANSION!$D$56:BL$56,"&gt;="&amp;19)))*CAPA3_EXPANSION!BL$36)</f>
        <v>2962.96</v>
      </c>
      <c r="BM26" s="88">
        <f>IF(COUNTIF(CAPA3_EXPANSION!$D$56:BM$56,"&gt;="&amp;19)=0,0,SUP_CONTROL!$C$8*IF($B26="V",1,IF($B26="D",(1+SUP_VOLUMEN!$C$26),(1+SUP_VOLUMEN!$C$27)))*INDEX(SUP_C3_EXPANSION!$C$6:$F$6,MIN(4,COUNTIF(CAPA3_EXPANSION!$D$56:BM$56,"&gt;="&amp;19)))*CAPA3_EXPANSION!BM$36)</f>
        <v>2962.96</v>
      </c>
      <c r="BN26" s="88">
        <f>IF(COUNTIF(CAPA3_EXPANSION!$D$56:BN$56,"&gt;="&amp;19)=0,0,SUP_CONTROL!$C$8*IF($B26="V",1,IF($B26="D",(1+SUP_VOLUMEN!$C$26),(1+SUP_VOLUMEN!$C$27)))*INDEX(SUP_C3_EXPANSION!$C$6:$F$6,MIN(4,COUNTIF(CAPA3_EXPANSION!$D$56:BN$56,"&gt;="&amp;19)))*CAPA3_EXPANSION!BN$36)</f>
        <v>2962.96</v>
      </c>
      <c r="BO26" s="88">
        <f>IF(COUNTIF(CAPA3_EXPANSION!$D$56:BO$56,"&gt;="&amp;19)=0,0,SUP_CONTROL!$C$8*IF($B26="V",1,IF($B26="D",(1+SUP_VOLUMEN!$C$26),(1+SUP_VOLUMEN!$C$27)))*INDEX(SUP_C3_EXPANSION!$C$6:$F$6,MIN(4,COUNTIF(CAPA3_EXPANSION!$D$56:BO$56,"&gt;="&amp;19)))*CAPA3_EXPANSION!BO$36)</f>
        <v>2962.96</v>
      </c>
      <c r="BP26" s="88">
        <f>IF(COUNTIF(CAPA3_EXPANSION!$D$56:BP$56,"&gt;="&amp;19)=0,0,SUP_CONTROL!$C$8*IF($B26="V",1,IF($B26="D",(1+SUP_VOLUMEN!$C$26),(1+SUP_VOLUMEN!$C$27)))*INDEX(SUP_C3_EXPANSION!$C$6:$F$6,MIN(4,COUNTIF(CAPA3_EXPANSION!$D$56:BP$56,"&gt;="&amp;19)))*CAPA3_EXPANSION!BP$36)</f>
        <v>2912.4549999999999</v>
      </c>
      <c r="BQ26" s="88">
        <f>IF(COUNTIF(CAPA3_EXPANSION!$D$56:BQ$56,"&gt;="&amp;19)=0,0,SUP_CONTROL!$C$8*IF($B26="V",1,IF($B26="D",(1+SUP_VOLUMEN!$C$26),(1+SUP_VOLUMEN!$C$27)))*INDEX(SUP_C3_EXPANSION!$C$6:$F$6,MIN(4,COUNTIF(CAPA3_EXPANSION!$D$56:BQ$56,"&gt;="&amp;19)))*CAPA3_EXPANSION!BQ$36)</f>
        <v>2912.4549999999999</v>
      </c>
      <c r="BR26" s="88">
        <f>IF(COUNTIF(CAPA3_EXPANSION!$D$56:BR$56,"&gt;="&amp;19)=0,0,SUP_CONTROL!$C$8*IF($B26="V",1,IF($B26="D",(1+SUP_VOLUMEN!$C$26),(1+SUP_VOLUMEN!$C$27)))*INDEX(SUP_C3_EXPANSION!$C$6:$F$6,MIN(4,COUNTIF(CAPA3_EXPANSION!$D$56:BR$56,"&gt;="&amp;19)))*CAPA3_EXPANSION!BR$36)</f>
        <v>2912.4549999999999</v>
      </c>
      <c r="BS26" s="88">
        <f>IF(COUNTIF(CAPA3_EXPANSION!$D$56:BS$56,"&gt;="&amp;19)=0,0,SUP_CONTROL!$C$8*IF($B26="V",1,IF($B26="D",(1+SUP_VOLUMEN!$C$26),(1+SUP_VOLUMEN!$C$27)))*INDEX(SUP_C3_EXPANSION!$C$6:$F$6,MIN(4,COUNTIF(CAPA3_EXPANSION!$D$56:BS$56,"&gt;="&amp;19)))*CAPA3_EXPANSION!BS$36)</f>
        <v>2912.4549999999999</v>
      </c>
      <c r="BT26" s="88">
        <f>IF(COUNTIF(CAPA3_EXPANSION!$D$56:BT$56,"&gt;="&amp;19)=0,0,SUP_CONTROL!$C$8*IF($B26="V",1,IF($B26="D",(1+SUP_VOLUMEN!$C$26),(1+SUP_VOLUMEN!$C$27)))*INDEX(SUP_C3_EXPANSION!$C$6:$F$6,MIN(4,COUNTIF(CAPA3_EXPANSION!$D$56:BT$56,"&gt;="&amp;19)))*CAPA3_EXPANSION!BT$36)</f>
        <v>2912.4549999999999</v>
      </c>
      <c r="BU26" s="88">
        <f>IF(COUNTIF(CAPA3_EXPANSION!$D$56:BU$56,"&gt;="&amp;19)=0,0,SUP_CONTROL!$C$8*IF($B26="V",1,IF($B26="D",(1+SUP_VOLUMEN!$C$26),(1+SUP_VOLUMEN!$C$27)))*INDEX(SUP_C3_EXPANSION!$C$6:$F$6,MIN(4,COUNTIF(CAPA3_EXPANSION!$D$56:BU$56,"&gt;="&amp;19)))*CAPA3_EXPANSION!BU$36)</f>
        <v>2861.95</v>
      </c>
      <c r="BV26" s="88">
        <f>IF(COUNTIF(CAPA3_EXPANSION!$D$56:BV$56,"&gt;="&amp;19)=0,0,SUP_CONTROL!$C$8*IF($B26="V",1,IF($B26="D",(1+SUP_VOLUMEN!$C$26),(1+SUP_VOLUMEN!$C$27)))*INDEX(SUP_C3_EXPANSION!$C$6:$F$6,MIN(4,COUNTIF(CAPA3_EXPANSION!$D$56:BV$56,"&gt;="&amp;19)))*CAPA3_EXPANSION!BV$36)</f>
        <v>2861.95</v>
      </c>
      <c r="BW26" s="88">
        <f>IF(COUNTIF(CAPA3_EXPANSION!$D$56:BW$56,"&gt;="&amp;19)=0,0,SUP_CONTROL!$C$8*IF($B26="V",1,IF($B26="D",(1+SUP_VOLUMEN!$C$26),(1+SUP_VOLUMEN!$C$27)))*INDEX(SUP_C3_EXPANSION!$C$6:$F$6,MIN(4,COUNTIF(CAPA3_EXPANSION!$D$56:BW$56,"&gt;="&amp;19)))*CAPA3_EXPANSION!BW$36)</f>
        <v>2861.95</v>
      </c>
      <c r="BX26" s="88">
        <f>IF(COUNTIF(CAPA3_EXPANSION!$D$56:BX$56,"&gt;="&amp;19)=0,0,SUP_CONTROL!$C$8*IF($B26="V",1,IF($B26="D",(1+SUP_VOLUMEN!$C$26),(1+SUP_VOLUMEN!$C$27)))*INDEX(SUP_C3_EXPANSION!$C$6:$F$6,MIN(4,COUNTIF(CAPA3_EXPANSION!$D$56:BX$56,"&gt;="&amp;19)))*CAPA3_EXPANSION!BX$36)</f>
        <v>2861.95</v>
      </c>
      <c r="BY26" s="88">
        <f>IF(COUNTIF(CAPA3_EXPANSION!$D$56:BY$56,"&gt;="&amp;19)=0,0,SUP_CONTROL!$C$8*IF($B26="V",1,IF($B26="D",(1+SUP_VOLUMEN!$C$26),(1+SUP_VOLUMEN!$C$27)))*INDEX(SUP_C3_EXPANSION!$C$6:$F$6,MIN(4,COUNTIF(CAPA3_EXPANSION!$D$56:BY$56,"&gt;="&amp;19)))*CAPA3_EXPANSION!BY$36)</f>
        <v>2861.95</v>
      </c>
      <c r="BZ26" s="88">
        <f>IF(COUNTIF(CAPA3_EXPANSION!$D$56:BZ$56,"&gt;="&amp;19)=0,0,SUP_CONTROL!$C$8*IF($B26="V",1,IF($B26="D",(1+SUP_VOLUMEN!$C$26),(1+SUP_VOLUMEN!$C$27)))*INDEX(SUP_C3_EXPANSION!$C$6:$F$6,MIN(4,COUNTIF(CAPA3_EXPANSION!$D$56:BZ$56,"&gt;="&amp;19)))*CAPA3_EXPANSION!BZ$36)</f>
        <v>2828.2799999999997</v>
      </c>
      <c r="CA26" s="88">
        <f>IF(COUNTIF(CAPA3_EXPANSION!$D$56:CA$56,"&gt;="&amp;19)=0,0,SUP_CONTROL!$C$8*IF($B26="V",1,IF($B26="D",(1+SUP_VOLUMEN!$C$26),(1+SUP_VOLUMEN!$C$27)))*INDEX(SUP_C3_EXPANSION!$C$6:$F$6,MIN(4,COUNTIF(CAPA3_EXPANSION!$D$56:CA$56,"&gt;="&amp;19)))*CAPA3_EXPANSION!CA$36)</f>
        <v>2828.2799999999997</v>
      </c>
      <c r="CB26" s="88">
        <f>IF(COUNTIF(CAPA3_EXPANSION!$D$56:CB$56,"&gt;="&amp;19)=0,0,SUP_CONTROL!$C$8*IF($B26="V",1,IF($B26="D",(1+SUP_VOLUMEN!$C$26),(1+SUP_VOLUMEN!$C$27)))*INDEX(SUP_C3_EXPANSION!$C$6:$F$6,MIN(4,COUNTIF(CAPA3_EXPANSION!$D$56:CB$56,"&gt;="&amp;19)))*CAPA3_EXPANSION!CB$36)</f>
        <v>2828.2799999999997</v>
      </c>
      <c r="CC26" s="88">
        <f>IF(COUNTIF(CAPA3_EXPANSION!$D$56:CC$56,"&gt;="&amp;19)=0,0,SUP_CONTROL!$C$8*IF($B26="V",1,IF($B26="D",(1+SUP_VOLUMEN!$C$26),(1+SUP_VOLUMEN!$C$27)))*INDEX(SUP_C3_EXPANSION!$C$6:$F$6,MIN(4,COUNTIF(CAPA3_EXPANSION!$D$56:CC$56,"&gt;="&amp;19)))*CAPA3_EXPANSION!CC$36)</f>
        <v>2828.2799999999997</v>
      </c>
      <c r="CD26" s="88">
        <f>IF(COUNTIF(CAPA3_EXPANSION!$D$56:CD$56,"&gt;="&amp;19)=0,0,SUP_CONTROL!$C$8*IF($B26="V",1,IF($B26="D",(1+SUP_VOLUMEN!$C$26),(1+SUP_VOLUMEN!$C$27)))*INDEX(SUP_C3_EXPANSION!$C$6:$F$6,MIN(4,COUNTIF(CAPA3_EXPANSION!$D$56:CD$56,"&gt;="&amp;19)))*CAPA3_EXPANSION!CD$36)</f>
        <v>2828.2799999999997</v>
      </c>
      <c r="CE26" s="88">
        <f>IF(COUNTIF(CAPA3_EXPANSION!$D$56:CE$56,"&gt;="&amp;19)=0,0,SUP_CONTROL!$C$8*IF($B26="V",1,IF($B26="D",(1+SUP_VOLUMEN!$C$26),(1+SUP_VOLUMEN!$C$27)))*INDEX(SUP_C3_EXPANSION!$C$6:$F$6,MIN(4,COUNTIF(CAPA3_EXPANSION!$D$56:CE$56,"&gt;="&amp;19)))*CAPA3_EXPANSION!CE$36)</f>
        <v>2828.2799999999997</v>
      </c>
      <c r="CF26" s="88">
        <f>IF(COUNTIF(CAPA3_EXPANSION!$D$56:CF$56,"&gt;="&amp;19)=0,0,SUP_CONTROL!$C$8*IF($B26="V",1,IF($B26="D",(1+SUP_VOLUMEN!$C$26),(1+SUP_VOLUMEN!$C$27)))*INDEX(SUP_C3_EXPANSION!$C$6:$F$6,MIN(4,COUNTIF(CAPA3_EXPANSION!$D$56:CF$56,"&gt;="&amp;19)))*CAPA3_EXPANSION!CF$36)</f>
        <v>2828.2799999999997</v>
      </c>
      <c r="CG26" s="88">
        <f>IF(COUNTIF(CAPA3_EXPANSION!$D$56:CG$56,"&gt;="&amp;19)=0,0,SUP_CONTROL!$C$8*IF($B26="V",1,IF($B26="D",(1+SUP_VOLUMEN!$C$26),(1+SUP_VOLUMEN!$C$27)))*INDEX(SUP_C3_EXPANSION!$C$6:$F$6,MIN(4,COUNTIF(CAPA3_EXPANSION!$D$56:CG$56,"&gt;="&amp;19)))*CAPA3_EXPANSION!CG$36)</f>
        <v>2828.2799999999997</v>
      </c>
      <c r="CH26" s="88">
        <f>IF(COUNTIF(CAPA3_EXPANSION!$D$56:CH$56,"&gt;="&amp;19)=0,0,SUP_CONTROL!$C$8*IF($B26="V",1,IF($B26="D",(1+SUP_VOLUMEN!$C$26),(1+SUP_VOLUMEN!$C$27)))*INDEX(SUP_C3_EXPANSION!$C$6:$F$6,MIN(4,COUNTIF(CAPA3_EXPANSION!$D$56:CH$56,"&gt;="&amp;19)))*CAPA3_EXPANSION!CH$36)</f>
        <v>2828.2799999999997</v>
      </c>
      <c r="CI26" s="88">
        <f>IF(COUNTIF(CAPA3_EXPANSION!$D$56:CI$56,"&gt;="&amp;19)=0,0,SUP_CONTROL!$C$8*IF($B26="V",1,IF($B26="D",(1+SUP_VOLUMEN!$C$26),(1+SUP_VOLUMEN!$C$27)))*INDEX(SUP_C3_EXPANSION!$C$6:$F$6,MIN(4,COUNTIF(CAPA3_EXPANSION!$D$56:CI$56,"&gt;="&amp;19)))*CAPA3_EXPANSION!CI$36)</f>
        <v>2828.2799999999997</v>
      </c>
      <c r="CJ26" s="88">
        <f>IF(COUNTIF(CAPA3_EXPANSION!$D$56:CJ$56,"&gt;="&amp;19)=0,0,SUP_CONTROL!$C$8*IF($B26="V",1,IF($B26="D",(1+SUP_VOLUMEN!$C$26),(1+SUP_VOLUMEN!$C$27)))*INDEX(SUP_C3_EXPANSION!$C$6:$F$6,MIN(4,COUNTIF(CAPA3_EXPANSION!$D$56:CJ$56,"&gt;="&amp;19)))*CAPA3_EXPANSION!CJ$36)</f>
        <v>2828.2799999999997</v>
      </c>
      <c r="CK26" s="88">
        <f>IF(COUNTIF(CAPA3_EXPANSION!$D$56:CK$56,"&gt;="&amp;19)=0,0,SUP_CONTROL!$C$8*IF($B26="V",1,IF($B26="D",(1+SUP_VOLUMEN!$C$26),(1+SUP_VOLUMEN!$C$27)))*INDEX(SUP_C3_EXPANSION!$C$6:$F$6,MIN(4,COUNTIF(CAPA3_EXPANSION!$D$56:CK$56,"&gt;="&amp;19)))*CAPA3_EXPANSION!CK$36)</f>
        <v>2828.2799999999997</v>
      </c>
      <c r="CL26" s="88">
        <f>IF(COUNTIF(CAPA3_EXPANSION!$D$56:CL$56,"&gt;="&amp;19)=0,0,SUP_CONTROL!$C$8*IF($B26="V",1,IF($B26="D",(1+SUP_VOLUMEN!$C$26),(1+SUP_VOLUMEN!$C$27)))*INDEX(SUP_C3_EXPANSION!$C$6:$F$6,MIN(4,COUNTIF(CAPA3_EXPANSION!$D$56:CL$56,"&gt;="&amp;19)))*CAPA3_EXPANSION!CL$36)</f>
        <v>2828.2799999999997</v>
      </c>
      <c r="CM26" s="88">
        <f>IF(COUNTIF(CAPA3_EXPANSION!$D$56:CM$56,"&gt;="&amp;19)=0,0,SUP_CONTROL!$C$8*IF($B26="V",1,IF($B26="D",(1+SUP_VOLUMEN!$C$26),(1+SUP_VOLUMEN!$C$27)))*INDEX(SUP_C3_EXPANSION!$C$6:$F$6,MIN(4,COUNTIF(CAPA3_EXPANSION!$D$56:CM$56,"&gt;="&amp;19)))*CAPA3_EXPANSION!CM$36)</f>
        <v>2828.2799999999997</v>
      </c>
      <c r="CN26" s="88">
        <f>IF(COUNTIF(CAPA3_EXPANSION!$D$56:CN$56,"&gt;="&amp;19)=0,0,SUP_CONTROL!$C$8*IF($B26="V",1,IF($B26="D",(1+SUP_VOLUMEN!$C$26),(1+SUP_VOLUMEN!$C$27)))*INDEX(SUP_C3_EXPANSION!$C$6:$F$6,MIN(4,COUNTIF(CAPA3_EXPANSION!$D$56:CN$56,"&gt;="&amp;19)))*CAPA3_EXPANSION!CN$36)</f>
        <v>2828.2799999999997</v>
      </c>
      <c r="CO26" s="88">
        <f>IF(COUNTIF(CAPA3_EXPANSION!$D$56:CO$56,"&gt;="&amp;19)=0,0,SUP_CONTROL!$C$8*IF($B26="V",1,IF($B26="D",(1+SUP_VOLUMEN!$C$26),(1+SUP_VOLUMEN!$C$27)))*INDEX(SUP_C3_EXPANSION!$C$6:$F$6,MIN(4,COUNTIF(CAPA3_EXPANSION!$D$56:CO$56,"&gt;="&amp;19)))*CAPA3_EXPANSION!CO$36)</f>
        <v>2828.2799999999997</v>
      </c>
      <c r="CP26" s="88">
        <f>IF(COUNTIF(CAPA3_EXPANSION!$D$56:CP$56,"&gt;="&amp;19)=0,0,SUP_CONTROL!$C$8*IF($B26="V",1,IF($B26="D",(1+SUP_VOLUMEN!$C$26),(1+SUP_VOLUMEN!$C$27)))*INDEX(SUP_C3_EXPANSION!$C$6:$F$6,MIN(4,COUNTIF(CAPA3_EXPANSION!$D$56:CP$56,"&gt;="&amp;19)))*CAPA3_EXPANSION!CP$36)</f>
        <v>2828.2799999999997</v>
      </c>
      <c r="CQ26" s="88">
        <f>IF(COUNTIF(CAPA3_EXPANSION!$D$56:CQ$56,"&gt;="&amp;19)=0,0,SUP_CONTROL!$C$8*IF($B26="V",1,IF($B26="D",(1+SUP_VOLUMEN!$C$26),(1+SUP_VOLUMEN!$C$27)))*INDEX(SUP_C3_EXPANSION!$C$6:$F$6,MIN(4,COUNTIF(CAPA3_EXPANSION!$D$56:CQ$56,"&gt;="&amp;19)))*CAPA3_EXPANSION!CQ$36)</f>
        <v>2828.2799999999997</v>
      </c>
      <c r="CR26" s="88">
        <f>IF(COUNTIF(CAPA3_EXPANSION!$D$56:CR$56,"&gt;="&amp;19)=0,0,SUP_CONTROL!$C$8*IF($B26="V",1,IF($B26="D",(1+SUP_VOLUMEN!$C$26),(1+SUP_VOLUMEN!$C$27)))*INDEX(SUP_C3_EXPANSION!$C$6:$F$6,MIN(4,COUNTIF(CAPA3_EXPANSION!$D$56:CR$56,"&gt;="&amp;19)))*CAPA3_EXPANSION!CR$36)</f>
        <v>2828.2799999999997</v>
      </c>
      <c r="CS26" s="88">
        <f>IF(COUNTIF(CAPA3_EXPANSION!$D$56:CS$56,"&gt;="&amp;19)=0,0,SUP_CONTROL!$C$8*IF($B26="V",1,IF($B26="D",(1+SUP_VOLUMEN!$C$26),(1+SUP_VOLUMEN!$C$27)))*INDEX(SUP_C3_EXPANSION!$C$6:$F$6,MIN(4,COUNTIF(CAPA3_EXPANSION!$D$56:CS$56,"&gt;="&amp;19)))*CAPA3_EXPANSION!CS$36)</f>
        <v>2828.2799999999997</v>
      </c>
      <c r="CT26" s="88">
        <f>IF(COUNTIF(CAPA3_EXPANSION!$D$56:CT$56,"&gt;="&amp;19)=0,0,SUP_CONTROL!$C$8*IF($B26="V",1,IF($B26="D",(1+SUP_VOLUMEN!$C$26),(1+SUP_VOLUMEN!$C$27)))*INDEX(SUP_C3_EXPANSION!$C$6:$F$6,MIN(4,COUNTIF(CAPA3_EXPANSION!$D$56:CT$56,"&gt;="&amp;19)))*CAPA3_EXPANSION!CT$36)</f>
        <v>2828.2799999999997</v>
      </c>
      <c r="CU26" s="88">
        <f>IF(COUNTIF(CAPA3_EXPANSION!$D$56:CU$56,"&gt;="&amp;19)=0,0,SUP_CONTROL!$C$8*IF($B26="V",1,IF($B26="D",(1+SUP_VOLUMEN!$C$26),(1+SUP_VOLUMEN!$C$27)))*INDEX(SUP_C3_EXPANSION!$C$6:$F$6,MIN(4,COUNTIF(CAPA3_EXPANSION!$D$56:CU$56,"&gt;="&amp;19)))*CAPA3_EXPANSION!CU$36)</f>
        <v>2828.2799999999997</v>
      </c>
      <c r="CV26" s="88">
        <f>IF(COUNTIF(CAPA3_EXPANSION!$D$56:CV$56,"&gt;="&amp;19)=0,0,SUP_CONTROL!$C$8*IF($B26="V",1,IF($B26="D",(1+SUP_VOLUMEN!$C$26),(1+SUP_VOLUMEN!$C$27)))*INDEX(SUP_C3_EXPANSION!$C$6:$F$6,MIN(4,COUNTIF(CAPA3_EXPANSION!$D$56:CV$56,"&gt;="&amp;19)))*CAPA3_EXPANSION!CV$36)</f>
        <v>2828.2799999999997</v>
      </c>
      <c r="CW26" s="88">
        <f>IF(COUNTIF(CAPA3_EXPANSION!$D$56:CW$56,"&gt;="&amp;19)=0,0,SUP_CONTROL!$C$8*IF($B26="V",1,IF($B26="D",(1+SUP_VOLUMEN!$C$26),(1+SUP_VOLUMEN!$C$27)))*INDEX(SUP_C3_EXPANSION!$C$6:$F$6,MIN(4,COUNTIF(CAPA3_EXPANSION!$D$56:CW$56,"&gt;="&amp;19)))*CAPA3_EXPANSION!CW$36)</f>
        <v>2828.2799999999997</v>
      </c>
      <c r="CX26" s="88">
        <f>IF(COUNTIF(CAPA3_EXPANSION!$D$56:CX$56,"&gt;="&amp;19)=0,0,SUP_CONTROL!$C$8*IF($B26="V",1,IF($B26="D",(1+SUP_VOLUMEN!$C$26),(1+SUP_VOLUMEN!$C$27)))*INDEX(SUP_C3_EXPANSION!$C$6:$F$6,MIN(4,COUNTIF(CAPA3_EXPANSION!$D$56:CX$56,"&gt;="&amp;19)))*CAPA3_EXPANSION!CX$36)</f>
        <v>2828.2799999999997</v>
      </c>
      <c r="CY26" s="88">
        <f>IF(COUNTIF(CAPA3_EXPANSION!$D$56:CY$56,"&gt;="&amp;19)=0,0,SUP_CONTROL!$C$8*IF($B26="V",1,IF($B26="D",(1+SUP_VOLUMEN!$C$26),(1+SUP_VOLUMEN!$C$27)))*INDEX(SUP_C3_EXPANSION!$C$6:$F$6,MIN(4,COUNTIF(CAPA3_EXPANSION!$D$56:CY$56,"&gt;="&amp;19)))*CAPA3_EXPANSION!CY$36)</f>
        <v>2828.2799999999997</v>
      </c>
      <c r="CZ26" s="88">
        <f>IF(COUNTIF(CAPA3_EXPANSION!$D$56:CZ$56,"&gt;="&amp;19)=0,0,SUP_CONTROL!$C$8*IF($B26="V",1,IF($B26="D",(1+SUP_VOLUMEN!$C$26),(1+SUP_VOLUMEN!$C$27)))*INDEX(SUP_C3_EXPANSION!$C$6:$F$6,MIN(4,COUNTIF(CAPA3_EXPANSION!$D$56:CZ$56,"&gt;="&amp;19)))*CAPA3_EXPANSION!CZ$36)</f>
        <v>2828.2799999999997</v>
      </c>
      <c r="DA26" s="88">
        <f>IF(COUNTIF(CAPA3_EXPANSION!$D$56:DA$56,"&gt;="&amp;19)=0,0,SUP_CONTROL!$C$8*IF($B26="V",1,IF($B26="D",(1+SUP_VOLUMEN!$C$26),(1+SUP_VOLUMEN!$C$27)))*INDEX(SUP_C3_EXPANSION!$C$6:$F$6,MIN(4,COUNTIF(CAPA3_EXPANSION!$D$56:DA$56,"&gt;="&amp;19)))*CAPA3_EXPANSION!DA$36)</f>
        <v>2828.2799999999997</v>
      </c>
      <c r="DB26" s="88">
        <f>IF(COUNTIF(CAPA3_EXPANSION!$D$56:DB$56,"&gt;="&amp;19)=0,0,SUP_CONTROL!$C$8*IF($B26="V",1,IF($B26="D",(1+SUP_VOLUMEN!$C$26),(1+SUP_VOLUMEN!$C$27)))*INDEX(SUP_C3_EXPANSION!$C$6:$F$6,MIN(4,COUNTIF(CAPA3_EXPANSION!$D$56:DB$56,"&gt;="&amp;19)))*CAPA3_EXPANSION!DB$36)</f>
        <v>2828.2799999999997</v>
      </c>
      <c r="DC26" s="88">
        <f>IF(COUNTIF(CAPA3_EXPANSION!$D$56:DC$56,"&gt;="&amp;19)=0,0,SUP_CONTROL!$C$8*IF($B26="V",1,IF($B26="D",(1+SUP_VOLUMEN!$C$26),(1+SUP_VOLUMEN!$C$27)))*INDEX(SUP_C3_EXPANSION!$C$6:$F$6,MIN(4,COUNTIF(CAPA3_EXPANSION!$D$56:DC$56,"&gt;="&amp;19)))*CAPA3_EXPANSION!DC$36)</f>
        <v>2828.2799999999997</v>
      </c>
      <c r="DD26" s="88">
        <f>IF(COUNTIF(CAPA3_EXPANSION!$D$56:DD$56,"&gt;="&amp;19)=0,0,SUP_CONTROL!$C$8*IF($B26="V",1,IF($B26="D",(1+SUP_VOLUMEN!$C$26),(1+SUP_VOLUMEN!$C$27)))*INDEX(SUP_C3_EXPANSION!$C$6:$F$6,MIN(4,COUNTIF(CAPA3_EXPANSION!$D$56:DD$56,"&gt;="&amp;19)))*CAPA3_EXPANSION!DD$36)</f>
        <v>2828.2799999999997</v>
      </c>
      <c r="DE26" s="88">
        <f>IF(COUNTIF(CAPA3_EXPANSION!$D$56:DE$56,"&gt;="&amp;19)=0,0,SUP_CONTROL!$C$8*IF($B26="V",1,IF($B26="D",(1+SUP_VOLUMEN!$C$26),(1+SUP_VOLUMEN!$C$27)))*INDEX(SUP_C3_EXPANSION!$C$6:$F$6,MIN(4,COUNTIF(CAPA3_EXPANSION!$D$56:DE$56,"&gt;="&amp;19)))*CAPA3_EXPANSION!DE$36)</f>
        <v>2828.2799999999997</v>
      </c>
      <c r="DF26" s="88">
        <f>IF(COUNTIF(CAPA3_EXPANSION!$D$56:DF$56,"&gt;="&amp;19)=0,0,SUP_CONTROL!$C$8*IF($B26="V",1,IF($B26="D",(1+SUP_VOLUMEN!$C$26),(1+SUP_VOLUMEN!$C$27)))*INDEX(SUP_C3_EXPANSION!$C$6:$F$6,MIN(4,COUNTIF(CAPA3_EXPANSION!$D$56:DF$56,"&gt;="&amp;19)))*CAPA3_EXPANSION!DF$36)</f>
        <v>2828.2799999999997</v>
      </c>
      <c r="DG26" s="88">
        <f>IF(COUNTIF(CAPA3_EXPANSION!$D$56:DG$56,"&gt;="&amp;19)=0,0,SUP_CONTROL!$C$8*IF($B26="V",1,IF($B26="D",(1+SUP_VOLUMEN!$C$26),(1+SUP_VOLUMEN!$C$27)))*INDEX(SUP_C3_EXPANSION!$C$6:$F$6,MIN(4,COUNTIF(CAPA3_EXPANSION!$D$56:DG$56,"&gt;="&amp;19)))*CAPA3_EXPANSION!DG$36)</f>
        <v>2828.2799999999997</v>
      </c>
      <c r="DH26" s="88">
        <f>IF(COUNTIF(CAPA3_EXPANSION!$D$56:DH$56,"&gt;="&amp;19)=0,0,SUP_CONTROL!$C$8*IF($B26="V",1,IF($B26="D",(1+SUP_VOLUMEN!$C$26),(1+SUP_VOLUMEN!$C$27)))*INDEX(SUP_C3_EXPANSION!$C$6:$F$6,MIN(4,COUNTIF(CAPA3_EXPANSION!$D$56:DH$56,"&gt;="&amp;19)))*CAPA3_EXPANSION!DH$36)</f>
        <v>2828.2799999999997</v>
      </c>
      <c r="DI26" s="88">
        <f>IF(COUNTIF(CAPA3_EXPANSION!$D$56:DI$56,"&gt;="&amp;19)=0,0,SUP_CONTROL!$C$8*IF($B26="V",1,IF($B26="D",(1+SUP_VOLUMEN!$C$26),(1+SUP_VOLUMEN!$C$27)))*INDEX(SUP_C3_EXPANSION!$C$6:$F$6,MIN(4,COUNTIF(CAPA3_EXPANSION!$D$56:DI$56,"&gt;="&amp;19)))*CAPA3_EXPANSION!DI$36)</f>
        <v>2828.2799999999997</v>
      </c>
      <c r="DJ26" s="88">
        <f>IF(COUNTIF(CAPA3_EXPANSION!$D$56:DJ$56,"&gt;="&amp;19)=0,0,SUP_CONTROL!$C$8*IF($B26="V",1,IF($B26="D",(1+SUP_VOLUMEN!$C$26),(1+SUP_VOLUMEN!$C$27)))*INDEX(SUP_C3_EXPANSION!$C$6:$F$6,MIN(4,COUNTIF(CAPA3_EXPANSION!$D$56:DJ$56,"&gt;="&amp;19)))*CAPA3_EXPANSION!DJ$36)</f>
        <v>2828.2799999999997</v>
      </c>
      <c r="DK26" s="88">
        <f>IF(COUNTIF(CAPA3_EXPANSION!$D$56:DK$56,"&gt;="&amp;19)=0,0,SUP_CONTROL!$C$8*IF($B26="V",1,IF($B26="D",(1+SUP_VOLUMEN!$C$26),(1+SUP_VOLUMEN!$C$27)))*INDEX(SUP_C3_EXPANSION!$C$6:$F$6,MIN(4,COUNTIF(CAPA3_EXPANSION!$D$56:DK$56,"&gt;="&amp;19)))*CAPA3_EXPANSION!DK$36)</f>
        <v>2828.2799999999997</v>
      </c>
      <c r="DL26" s="88">
        <f>IF(COUNTIF(CAPA3_EXPANSION!$D$56:DL$56,"&gt;="&amp;19)=0,0,SUP_CONTROL!$C$8*IF($B26="V",1,IF($B26="D",(1+SUP_VOLUMEN!$C$26),(1+SUP_VOLUMEN!$C$27)))*INDEX(SUP_C3_EXPANSION!$C$6:$F$6,MIN(4,COUNTIF(CAPA3_EXPANSION!$D$56:DL$56,"&gt;="&amp;19)))*CAPA3_EXPANSION!DL$36)</f>
        <v>2828.2799999999997</v>
      </c>
      <c r="DM26" s="88">
        <f>IF(COUNTIF(CAPA3_EXPANSION!$D$56:DM$56,"&gt;="&amp;19)=0,0,SUP_CONTROL!$C$8*IF($B26="V",1,IF($B26="D",(1+SUP_VOLUMEN!$C$26),(1+SUP_VOLUMEN!$C$27)))*INDEX(SUP_C3_EXPANSION!$C$6:$F$6,MIN(4,COUNTIF(CAPA3_EXPANSION!$D$56:DM$56,"&gt;="&amp;19)))*CAPA3_EXPANSION!DM$36)</f>
        <v>2828.2799999999997</v>
      </c>
      <c r="DN26" s="88">
        <f>IF(COUNTIF(CAPA3_EXPANSION!$D$56:DN$56,"&gt;="&amp;19)=0,0,SUP_CONTROL!$C$8*IF($B26="V",1,IF($B26="D",(1+SUP_VOLUMEN!$C$26),(1+SUP_VOLUMEN!$C$27)))*INDEX(SUP_C3_EXPANSION!$C$6:$F$6,MIN(4,COUNTIF(CAPA3_EXPANSION!$D$56:DN$56,"&gt;="&amp;19)))*CAPA3_EXPANSION!DN$36)</f>
        <v>2828.2799999999997</v>
      </c>
      <c r="DO26" s="88">
        <f>IF(COUNTIF(CAPA3_EXPANSION!$D$56:DO$56,"&gt;="&amp;19)=0,0,SUP_CONTROL!$C$8*IF($B26="V",1,IF($B26="D",(1+SUP_VOLUMEN!$C$26),(1+SUP_VOLUMEN!$C$27)))*INDEX(SUP_C3_EXPANSION!$C$6:$F$6,MIN(4,COUNTIF(CAPA3_EXPANSION!$D$56:DO$56,"&gt;="&amp;19)))*CAPA3_EXPANSION!DO$36)</f>
        <v>2828.2799999999997</v>
      </c>
      <c r="DP26" s="88">
        <f>IF(COUNTIF(CAPA3_EXPANSION!$D$56:DP$56,"&gt;="&amp;19)=0,0,SUP_CONTROL!$C$8*IF($B26="V",1,IF($B26="D",(1+SUP_VOLUMEN!$C$26),(1+SUP_VOLUMEN!$C$27)))*INDEX(SUP_C3_EXPANSION!$C$6:$F$6,MIN(4,COUNTIF(CAPA3_EXPANSION!$D$56:DP$56,"&gt;="&amp;19)))*CAPA3_EXPANSION!DP$36)</f>
        <v>2828.2799999999997</v>
      </c>
      <c r="DQ26" s="88">
        <f>IF(COUNTIF(CAPA3_EXPANSION!$D$56:DQ$56,"&gt;="&amp;19)=0,0,SUP_CONTROL!$C$8*IF($B26="V",1,IF($B26="D",(1+SUP_VOLUMEN!$C$26),(1+SUP_VOLUMEN!$C$27)))*INDEX(SUP_C3_EXPANSION!$C$6:$F$6,MIN(4,COUNTIF(CAPA3_EXPANSION!$D$56:DQ$56,"&gt;="&amp;19)))*CAPA3_EXPANSION!DQ$36)</f>
        <v>2828.2799999999997</v>
      </c>
      <c r="DR26" s="88">
        <f>IF(COUNTIF(CAPA3_EXPANSION!$D$56:DR$56,"&gt;="&amp;19)=0,0,SUP_CONTROL!$C$8*IF($B26="V",1,IF($B26="D",(1+SUP_VOLUMEN!$C$26),(1+SUP_VOLUMEN!$C$27)))*INDEX(SUP_C3_EXPANSION!$C$6:$F$6,MIN(4,COUNTIF(CAPA3_EXPANSION!$D$56:DR$56,"&gt;="&amp;19)))*CAPA3_EXPANSION!DR$36)</f>
        <v>2828.2799999999997</v>
      </c>
      <c r="DS26" s="88">
        <f>IF(COUNTIF(CAPA3_EXPANSION!$D$56:DS$56,"&gt;="&amp;19)=0,0,SUP_CONTROL!$C$8*IF($B26="V",1,IF($B26="D",(1+SUP_VOLUMEN!$C$26),(1+SUP_VOLUMEN!$C$27)))*INDEX(SUP_C3_EXPANSION!$C$6:$F$6,MIN(4,COUNTIF(CAPA3_EXPANSION!$D$56:DS$56,"&gt;="&amp;19)))*CAPA3_EXPANSION!DS$36)</f>
        <v>2828.2799999999997</v>
      </c>
    </row>
    <row r="27" spans="1:123" ht="15" customHeight="1" x14ac:dyDescent="0.2">
      <c r="A27" s="88">
        <v>30</v>
      </c>
      <c r="B27" s="104" t="str">
        <f>SUP_C3_EXPANSION!B39</f>
        <v>V</v>
      </c>
      <c r="C27" s="73">
        <f>SUP_C3_EXPANSION!G39</f>
        <v>55</v>
      </c>
      <c r="D27" s="88">
        <f>IF(COUNTIF(CAPA3_EXPANSION!$D$56:D$56,"&gt;="&amp;20)=0,0,SUP_CONTROL!$C$8*IF($B27="V",1,IF($B27="D",(1+SUP_VOLUMEN!$C$26),(1+SUP_VOLUMEN!$C$27)))*INDEX(SUP_C3_EXPANSION!$C$6:$F$6,MIN(4,COUNTIF(CAPA3_EXPANSION!$D$56:D$56,"&gt;="&amp;20)))*CAPA3_EXPANSION!D$36)</f>
        <v>0</v>
      </c>
      <c r="E27" s="88">
        <f>IF(COUNTIF(CAPA3_EXPANSION!$D$56:E$56,"&gt;="&amp;20)=0,0,SUP_CONTROL!$C$8*IF($B27="V",1,IF($B27="D",(1+SUP_VOLUMEN!$C$26),(1+SUP_VOLUMEN!$C$27)))*INDEX(SUP_C3_EXPANSION!$C$6:$F$6,MIN(4,COUNTIF(CAPA3_EXPANSION!$D$56:E$56,"&gt;="&amp;20)))*CAPA3_EXPANSION!E$36)</f>
        <v>0</v>
      </c>
      <c r="F27" s="88">
        <f>IF(COUNTIF(CAPA3_EXPANSION!$D$56:F$56,"&gt;="&amp;20)=0,0,SUP_CONTROL!$C$8*IF($B27="V",1,IF($B27="D",(1+SUP_VOLUMEN!$C$26),(1+SUP_VOLUMEN!$C$27)))*INDEX(SUP_C3_EXPANSION!$C$6:$F$6,MIN(4,COUNTIF(CAPA3_EXPANSION!$D$56:F$56,"&gt;="&amp;20)))*CAPA3_EXPANSION!F$36)</f>
        <v>0</v>
      </c>
      <c r="G27" s="88">
        <f>IF(COUNTIF(CAPA3_EXPANSION!$D$56:G$56,"&gt;="&amp;20)=0,0,SUP_CONTROL!$C$8*IF($B27="V",1,IF($B27="D",(1+SUP_VOLUMEN!$C$26),(1+SUP_VOLUMEN!$C$27)))*INDEX(SUP_C3_EXPANSION!$C$6:$F$6,MIN(4,COUNTIF(CAPA3_EXPANSION!$D$56:G$56,"&gt;="&amp;20)))*CAPA3_EXPANSION!G$36)</f>
        <v>0</v>
      </c>
      <c r="H27" s="88">
        <f>IF(COUNTIF(CAPA3_EXPANSION!$D$56:H$56,"&gt;="&amp;20)=0,0,SUP_CONTROL!$C$8*IF($B27="V",1,IF($B27="D",(1+SUP_VOLUMEN!$C$26),(1+SUP_VOLUMEN!$C$27)))*INDEX(SUP_C3_EXPANSION!$C$6:$F$6,MIN(4,COUNTIF(CAPA3_EXPANSION!$D$56:H$56,"&gt;="&amp;20)))*CAPA3_EXPANSION!H$36)</f>
        <v>0</v>
      </c>
      <c r="I27" s="88">
        <f>IF(COUNTIF(CAPA3_EXPANSION!$D$56:I$56,"&gt;="&amp;20)=0,0,SUP_CONTROL!$C$8*IF($B27="V",1,IF($B27="D",(1+SUP_VOLUMEN!$C$26),(1+SUP_VOLUMEN!$C$27)))*INDEX(SUP_C3_EXPANSION!$C$6:$F$6,MIN(4,COUNTIF(CAPA3_EXPANSION!$D$56:I$56,"&gt;="&amp;20)))*CAPA3_EXPANSION!I$36)</f>
        <v>0</v>
      </c>
      <c r="J27" s="88">
        <f>IF(COUNTIF(CAPA3_EXPANSION!$D$56:J$56,"&gt;="&amp;20)=0,0,SUP_CONTROL!$C$8*IF($B27="V",1,IF($B27="D",(1+SUP_VOLUMEN!$C$26),(1+SUP_VOLUMEN!$C$27)))*INDEX(SUP_C3_EXPANSION!$C$6:$F$6,MIN(4,COUNTIF(CAPA3_EXPANSION!$D$56:J$56,"&gt;="&amp;20)))*CAPA3_EXPANSION!J$36)</f>
        <v>0</v>
      </c>
      <c r="K27" s="88">
        <f>IF(COUNTIF(CAPA3_EXPANSION!$D$56:K$56,"&gt;="&amp;20)=0,0,SUP_CONTROL!$C$8*IF($B27="V",1,IF($B27="D",(1+SUP_VOLUMEN!$C$26),(1+SUP_VOLUMEN!$C$27)))*INDEX(SUP_C3_EXPANSION!$C$6:$F$6,MIN(4,COUNTIF(CAPA3_EXPANSION!$D$56:K$56,"&gt;="&amp;20)))*CAPA3_EXPANSION!K$36)</f>
        <v>0</v>
      </c>
      <c r="L27" s="88">
        <f>IF(COUNTIF(CAPA3_EXPANSION!$D$56:L$56,"&gt;="&amp;20)=0,0,SUP_CONTROL!$C$8*IF($B27="V",1,IF($B27="D",(1+SUP_VOLUMEN!$C$26),(1+SUP_VOLUMEN!$C$27)))*INDEX(SUP_C3_EXPANSION!$C$6:$F$6,MIN(4,COUNTIF(CAPA3_EXPANSION!$D$56:L$56,"&gt;="&amp;20)))*CAPA3_EXPANSION!L$36)</f>
        <v>0</v>
      </c>
      <c r="M27" s="88">
        <f>IF(COUNTIF(CAPA3_EXPANSION!$D$56:M$56,"&gt;="&amp;20)=0,0,SUP_CONTROL!$C$8*IF($B27="V",1,IF($B27="D",(1+SUP_VOLUMEN!$C$26),(1+SUP_VOLUMEN!$C$27)))*INDEX(SUP_C3_EXPANSION!$C$6:$F$6,MIN(4,COUNTIF(CAPA3_EXPANSION!$D$56:M$56,"&gt;="&amp;20)))*CAPA3_EXPANSION!M$36)</f>
        <v>0</v>
      </c>
      <c r="N27" s="88">
        <f>IF(COUNTIF(CAPA3_EXPANSION!$D$56:N$56,"&gt;="&amp;20)=0,0,SUP_CONTROL!$C$8*IF($B27="V",1,IF($B27="D",(1+SUP_VOLUMEN!$C$26),(1+SUP_VOLUMEN!$C$27)))*INDEX(SUP_C3_EXPANSION!$C$6:$F$6,MIN(4,COUNTIF(CAPA3_EXPANSION!$D$56:N$56,"&gt;="&amp;20)))*CAPA3_EXPANSION!N$36)</f>
        <v>0</v>
      </c>
      <c r="O27" s="88">
        <f>IF(COUNTIF(CAPA3_EXPANSION!$D$56:O$56,"&gt;="&amp;20)=0,0,SUP_CONTROL!$C$8*IF($B27="V",1,IF($B27="D",(1+SUP_VOLUMEN!$C$26),(1+SUP_VOLUMEN!$C$27)))*INDEX(SUP_C3_EXPANSION!$C$6:$F$6,MIN(4,COUNTIF(CAPA3_EXPANSION!$D$56:O$56,"&gt;="&amp;20)))*CAPA3_EXPANSION!O$36)</f>
        <v>0</v>
      </c>
      <c r="P27" s="88">
        <f>IF(COUNTIF(CAPA3_EXPANSION!$D$56:P$56,"&gt;="&amp;20)=0,0,SUP_CONTROL!$C$8*IF($B27="V",1,IF($B27="D",(1+SUP_VOLUMEN!$C$26),(1+SUP_VOLUMEN!$C$27)))*INDEX(SUP_C3_EXPANSION!$C$6:$F$6,MIN(4,COUNTIF(CAPA3_EXPANSION!$D$56:P$56,"&gt;="&amp;20)))*CAPA3_EXPANSION!P$36)</f>
        <v>0</v>
      </c>
      <c r="Q27" s="88">
        <f>IF(COUNTIF(CAPA3_EXPANSION!$D$56:Q$56,"&gt;="&amp;20)=0,0,SUP_CONTROL!$C$8*IF($B27="V",1,IF($B27="D",(1+SUP_VOLUMEN!$C$26),(1+SUP_VOLUMEN!$C$27)))*INDEX(SUP_C3_EXPANSION!$C$6:$F$6,MIN(4,COUNTIF(CAPA3_EXPANSION!$D$56:Q$56,"&gt;="&amp;20)))*CAPA3_EXPANSION!Q$36)</f>
        <v>0</v>
      </c>
      <c r="R27" s="88">
        <f>IF(COUNTIF(CAPA3_EXPANSION!$D$56:R$56,"&gt;="&amp;20)=0,0,SUP_CONTROL!$C$8*IF($B27="V",1,IF($B27="D",(1+SUP_VOLUMEN!$C$26),(1+SUP_VOLUMEN!$C$27)))*INDEX(SUP_C3_EXPANSION!$C$6:$F$6,MIN(4,COUNTIF(CAPA3_EXPANSION!$D$56:R$56,"&gt;="&amp;20)))*CAPA3_EXPANSION!R$36)</f>
        <v>0</v>
      </c>
      <c r="S27" s="88">
        <f>IF(COUNTIF(CAPA3_EXPANSION!$D$56:S$56,"&gt;="&amp;20)=0,0,SUP_CONTROL!$C$8*IF($B27="V",1,IF($B27="D",(1+SUP_VOLUMEN!$C$26),(1+SUP_VOLUMEN!$C$27)))*INDEX(SUP_C3_EXPANSION!$C$6:$F$6,MIN(4,COUNTIF(CAPA3_EXPANSION!$D$56:S$56,"&gt;="&amp;20)))*CAPA3_EXPANSION!S$36)</f>
        <v>0</v>
      </c>
      <c r="T27" s="88">
        <f>IF(COUNTIF(CAPA3_EXPANSION!$D$56:T$56,"&gt;="&amp;20)=0,0,SUP_CONTROL!$C$8*IF($B27="V",1,IF($B27="D",(1+SUP_VOLUMEN!$C$26),(1+SUP_VOLUMEN!$C$27)))*INDEX(SUP_C3_EXPANSION!$C$6:$F$6,MIN(4,COUNTIF(CAPA3_EXPANSION!$D$56:T$56,"&gt;="&amp;20)))*CAPA3_EXPANSION!T$36)</f>
        <v>0</v>
      </c>
      <c r="U27" s="88">
        <f>IF(COUNTIF(CAPA3_EXPANSION!$D$56:U$56,"&gt;="&amp;20)=0,0,SUP_CONTROL!$C$8*IF($B27="V",1,IF($B27="D",(1+SUP_VOLUMEN!$C$26),(1+SUP_VOLUMEN!$C$27)))*INDEX(SUP_C3_EXPANSION!$C$6:$F$6,MIN(4,COUNTIF(CAPA3_EXPANSION!$D$56:U$56,"&gt;="&amp;20)))*CAPA3_EXPANSION!U$36)</f>
        <v>0</v>
      </c>
      <c r="V27" s="88">
        <f>IF(COUNTIF(CAPA3_EXPANSION!$D$56:V$56,"&gt;="&amp;20)=0,0,SUP_CONTROL!$C$8*IF($B27="V",1,IF($B27="D",(1+SUP_VOLUMEN!$C$26),(1+SUP_VOLUMEN!$C$27)))*INDEX(SUP_C3_EXPANSION!$C$6:$F$6,MIN(4,COUNTIF(CAPA3_EXPANSION!$D$56:V$56,"&gt;="&amp;20)))*CAPA3_EXPANSION!V$36)</f>
        <v>0</v>
      </c>
      <c r="W27" s="88">
        <f>IF(COUNTIF(CAPA3_EXPANSION!$D$56:W$56,"&gt;="&amp;20)=0,0,SUP_CONTROL!$C$8*IF($B27="V",1,IF($B27="D",(1+SUP_VOLUMEN!$C$26),(1+SUP_VOLUMEN!$C$27)))*INDEX(SUP_C3_EXPANSION!$C$6:$F$6,MIN(4,COUNTIF(CAPA3_EXPANSION!$D$56:W$56,"&gt;="&amp;20)))*CAPA3_EXPANSION!W$36)</f>
        <v>0</v>
      </c>
      <c r="X27" s="88">
        <f>IF(COUNTIF(CAPA3_EXPANSION!$D$56:X$56,"&gt;="&amp;20)=0,0,SUP_CONTROL!$C$8*IF($B27="V",1,IF($B27="D",(1+SUP_VOLUMEN!$C$26),(1+SUP_VOLUMEN!$C$27)))*INDEX(SUP_C3_EXPANSION!$C$6:$F$6,MIN(4,COUNTIF(CAPA3_EXPANSION!$D$56:X$56,"&gt;="&amp;20)))*CAPA3_EXPANSION!X$36)</f>
        <v>0</v>
      </c>
      <c r="Y27" s="88">
        <f>IF(COUNTIF(CAPA3_EXPANSION!$D$56:Y$56,"&gt;="&amp;20)=0,0,SUP_CONTROL!$C$8*IF($B27="V",1,IF($B27="D",(1+SUP_VOLUMEN!$C$26),(1+SUP_VOLUMEN!$C$27)))*INDEX(SUP_C3_EXPANSION!$C$6:$F$6,MIN(4,COUNTIF(CAPA3_EXPANSION!$D$56:Y$56,"&gt;="&amp;20)))*CAPA3_EXPANSION!Y$36)</f>
        <v>0</v>
      </c>
      <c r="Z27" s="88">
        <f>IF(COUNTIF(CAPA3_EXPANSION!$D$56:Z$56,"&gt;="&amp;20)=0,0,SUP_CONTROL!$C$8*IF($B27="V",1,IF($B27="D",(1+SUP_VOLUMEN!$C$26),(1+SUP_VOLUMEN!$C$27)))*INDEX(SUP_C3_EXPANSION!$C$6:$F$6,MIN(4,COUNTIF(CAPA3_EXPANSION!$D$56:Z$56,"&gt;="&amp;20)))*CAPA3_EXPANSION!Z$36)</f>
        <v>0</v>
      </c>
      <c r="AA27" s="88">
        <f>IF(COUNTIF(CAPA3_EXPANSION!$D$56:AA$56,"&gt;="&amp;20)=0,0,SUP_CONTROL!$C$8*IF($B27="V",1,IF($B27="D",(1+SUP_VOLUMEN!$C$26),(1+SUP_VOLUMEN!$C$27)))*INDEX(SUP_C3_EXPANSION!$C$6:$F$6,MIN(4,COUNTIF(CAPA3_EXPANSION!$D$56:AA$56,"&gt;="&amp;20)))*CAPA3_EXPANSION!AA$36)</f>
        <v>0</v>
      </c>
      <c r="AB27" s="88">
        <f>IF(COUNTIF(CAPA3_EXPANSION!$D$56:AB$56,"&gt;="&amp;20)=0,0,SUP_CONTROL!$C$8*IF($B27="V",1,IF($B27="D",(1+SUP_VOLUMEN!$C$26),(1+SUP_VOLUMEN!$C$27)))*INDEX(SUP_C3_EXPANSION!$C$6:$F$6,MIN(4,COUNTIF(CAPA3_EXPANSION!$D$56:AB$56,"&gt;="&amp;20)))*CAPA3_EXPANSION!AB$36)</f>
        <v>0</v>
      </c>
      <c r="AC27" s="88">
        <f>IF(COUNTIF(CAPA3_EXPANSION!$D$56:AC$56,"&gt;="&amp;20)=0,0,SUP_CONTROL!$C$8*IF($B27="V",1,IF($B27="D",(1+SUP_VOLUMEN!$C$26),(1+SUP_VOLUMEN!$C$27)))*INDEX(SUP_C3_EXPANSION!$C$6:$F$6,MIN(4,COUNTIF(CAPA3_EXPANSION!$D$56:AC$56,"&gt;="&amp;20)))*CAPA3_EXPANSION!AC$36)</f>
        <v>0</v>
      </c>
      <c r="AD27" s="88">
        <f>IF(COUNTIF(CAPA3_EXPANSION!$D$56:AD$56,"&gt;="&amp;20)=0,0,SUP_CONTROL!$C$8*IF($B27="V",1,IF($B27="D",(1+SUP_VOLUMEN!$C$26),(1+SUP_VOLUMEN!$C$27)))*INDEX(SUP_C3_EXPANSION!$C$6:$F$6,MIN(4,COUNTIF(CAPA3_EXPANSION!$D$56:AD$56,"&gt;="&amp;20)))*CAPA3_EXPANSION!AD$36)</f>
        <v>0</v>
      </c>
      <c r="AE27" s="88">
        <f>IF(COUNTIF(CAPA3_EXPANSION!$D$56:AE$56,"&gt;="&amp;20)=0,0,SUP_CONTROL!$C$8*IF($B27="V",1,IF($B27="D",(1+SUP_VOLUMEN!$C$26),(1+SUP_VOLUMEN!$C$27)))*INDEX(SUP_C3_EXPANSION!$C$6:$F$6,MIN(4,COUNTIF(CAPA3_EXPANSION!$D$56:AE$56,"&gt;="&amp;20)))*CAPA3_EXPANSION!AE$36)</f>
        <v>0</v>
      </c>
      <c r="AF27" s="88">
        <f>IF(COUNTIF(CAPA3_EXPANSION!$D$56:AF$56,"&gt;="&amp;20)=0,0,SUP_CONTROL!$C$8*IF($B27="V",1,IF($B27="D",(1+SUP_VOLUMEN!$C$26),(1+SUP_VOLUMEN!$C$27)))*INDEX(SUP_C3_EXPANSION!$C$6:$F$6,MIN(4,COUNTIF(CAPA3_EXPANSION!$D$56:AF$56,"&gt;="&amp;20)))*CAPA3_EXPANSION!AF$36)</f>
        <v>0</v>
      </c>
      <c r="AG27" s="88">
        <f>IF(COUNTIF(CAPA3_EXPANSION!$D$56:AG$56,"&gt;="&amp;20)=0,0,SUP_CONTROL!$C$8*IF($B27="V",1,IF($B27="D",(1+SUP_VOLUMEN!$C$26),(1+SUP_VOLUMEN!$C$27)))*INDEX(SUP_C3_EXPANSION!$C$6:$F$6,MIN(4,COUNTIF(CAPA3_EXPANSION!$D$56:AG$56,"&gt;="&amp;20)))*CAPA3_EXPANSION!AG$36)</f>
        <v>0</v>
      </c>
      <c r="AH27" s="88">
        <f>IF(COUNTIF(CAPA3_EXPANSION!$D$56:AH$56,"&gt;="&amp;20)=0,0,SUP_CONTROL!$C$8*IF($B27="V",1,IF($B27="D",(1+SUP_VOLUMEN!$C$26),(1+SUP_VOLUMEN!$C$27)))*INDEX(SUP_C3_EXPANSION!$C$6:$F$6,MIN(4,COUNTIF(CAPA3_EXPANSION!$D$56:AH$56,"&gt;="&amp;20)))*CAPA3_EXPANSION!AH$36)</f>
        <v>0</v>
      </c>
      <c r="AI27" s="88">
        <f>IF(COUNTIF(CAPA3_EXPANSION!$D$56:AI$56,"&gt;="&amp;20)=0,0,SUP_CONTROL!$C$8*IF($B27="V",1,IF($B27="D",(1+SUP_VOLUMEN!$C$26),(1+SUP_VOLUMEN!$C$27)))*INDEX(SUP_C3_EXPANSION!$C$6:$F$6,MIN(4,COUNTIF(CAPA3_EXPANSION!$D$56:AI$56,"&gt;="&amp;20)))*CAPA3_EXPANSION!AI$36)</f>
        <v>0</v>
      </c>
      <c r="AJ27" s="88">
        <f>IF(COUNTIF(CAPA3_EXPANSION!$D$56:AJ$56,"&gt;="&amp;20)=0,0,SUP_CONTROL!$C$8*IF($B27="V",1,IF($B27="D",(1+SUP_VOLUMEN!$C$26),(1+SUP_VOLUMEN!$C$27)))*INDEX(SUP_C3_EXPANSION!$C$6:$F$6,MIN(4,COUNTIF(CAPA3_EXPANSION!$D$56:AJ$56,"&gt;="&amp;20)))*CAPA3_EXPANSION!AJ$36)</f>
        <v>0</v>
      </c>
      <c r="AK27" s="88">
        <f>IF(COUNTIF(CAPA3_EXPANSION!$D$56:AK$56,"&gt;="&amp;20)=0,0,SUP_CONTROL!$C$8*IF($B27="V",1,IF($B27="D",(1+SUP_VOLUMEN!$C$26),(1+SUP_VOLUMEN!$C$27)))*INDEX(SUP_C3_EXPANSION!$C$6:$F$6,MIN(4,COUNTIF(CAPA3_EXPANSION!$D$56:AK$56,"&gt;="&amp;20)))*CAPA3_EXPANSION!AK$36)</f>
        <v>0</v>
      </c>
      <c r="AL27" s="88">
        <f>IF(COUNTIF(CAPA3_EXPANSION!$D$56:AL$56,"&gt;="&amp;20)=0,0,SUP_CONTROL!$C$8*IF($B27="V",1,IF($B27="D",(1+SUP_VOLUMEN!$C$26),(1+SUP_VOLUMEN!$C$27)))*INDEX(SUP_C3_EXPANSION!$C$6:$F$6,MIN(4,COUNTIF(CAPA3_EXPANSION!$D$56:AL$56,"&gt;="&amp;20)))*CAPA3_EXPANSION!AL$36)</f>
        <v>0</v>
      </c>
      <c r="AM27" s="88">
        <f>IF(COUNTIF(CAPA3_EXPANSION!$D$56:AM$56,"&gt;="&amp;20)=0,0,SUP_CONTROL!$C$8*IF($B27="V",1,IF($B27="D",(1+SUP_VOLUMEN!$C$26),(1+SUP_VOLUMEN!$C$27)))*INDEX(SUP_C3_EXPANSION!$C$6:$F$6,MIN(4,COUNTIF(CAPA3_EXPANSION!$D$56:AM$56,"&gt;="&amp;20)))*CAPA3_EXPANSION!AM$36)</f>
        <v>0</v>
      </c>
      <c r="AN27" s="88">
        <f>IF(COUNTIF(CAPA3_EXPANSION!$D$56:AN$56,"&gt;="&amp;20)=0,0,SUP_CONTROL!$C$8*IF($B27="V",1,IF($B27="D",(1+SUP_VOLUMEN!$C$26),(1+SUP_VOLUMEN!$C$27)))*INDEX(SUP_C3_EXPANSION!$C$6:$F$6,MIN(4,COUNTIF(CAPA3_EXPANSION!$D$56:AN$56,"&gt;="&amp;20)))*CAPA3_EXPANSION!AN$36)</f>
        <v>0</v>
      </c>
      <c r="AO27" s="88">
        <f>IF(COUNTIF(CAPA3_EXPANSION!$D$56:AO$56,"&gt;="&amp;20)=0,0,SUP_CONTROL!$C$8*IF($B27="V",1,IF($B27="D",(1+SUP_VOLUMEN!$C$26),(1+SUP_VOLUMEN!$C$27)))*INDEX(SUP_C3_EXPANSION!$C$6:$F$6,MIN(4,COUNTIF(CAPA3_EXPANSION!$D$56:AO$56,"&gt;="&amp;20)))*CAPA3_EXPANSION!AO$36)</f>
        <v>0</v>
      </c>
      <c r="AP27" s="88">
        <f>IF(COUNTIF(CAPA3_EXPANSION!$D$56:AP$56,"&gt;="&amp;20)=0,0,SUP_CONTROL!$C$8*IF($B27="V",1,IF($B27="D",(1+SUP_VOLUMEN!$C$26),(1+SUP_VOLUMEN!$C$27)))*INDEX(SUP_C3_EXPANSION!$C$6:$F$6,MIN(4,COUNTIF(CAPA3_EXPANSION!$D$56:AP$56,"&gt;="&amp;20)))*CAPA3_EXPANSION!AP$36)</f>
        <v>0</v>
      </c>
      <c r="AQ27" s="88">
        <f>IF(COUNTIF(CAPA3_EXPANSION!$D$56:AQ$56,"&gt;="&amp;20)=0,0,SUP_CONTROL!$C$8*IF($B27="V",1,IF($B27="D",(1+SUP_VOLUMEN!$C$26),(1+SUP_VOLUMEN!$C$27)))*INDEX(SUP_C3_EXPANSION!$C$6:$F$6,MIN(4,COUNTIF(CAPA3_EXPANSION!$D$56:AQ$56,"&gt;="&amp;20)))*CAPA3_EXPANSION!AQ$36)</f>
        <v>0</v>
      </c>
      <c r="AR27" s="88">
        <f>IF(COUNTIF(CAPA3_EXPANSION!$D$56:AR$56,"&gt;="&amp;20)=0,0,SUP_CONTROL!$C$8*IF($B27="V",1,IF($B27="D",(1+SUP_VOLUMEN!$C$26),(1+SUP_VOLUMEN!$C$27)))*INDEX(SUP_C3_EXPANSION!$C$6:$F$6,MIN(4,COUNTIF(CAPA3_EXPANSION!$D$56:AR$56,"&gt;="&amp;20)))*CAPA3_EXPANSION!AR$36)</f>
        <v>0</v>
      </c>
      <c r="AS27" s="88">
        <f>IF(COUNTIF(CAPA3_EXPANSION!$D$56:AS$56,"&gt;="&amp;20)=0,0,SUP_CONTROL!$C$8*IF($B27="V",1,IF($B27="D",(1+SUP_VOLUMEN!$C$26),(1+SUP_VOLUMEN!$C$27)))*INDEX(SUP_C3_EXPANSION!$C$6:$F$6,MIN(4,COUNTIF(CAPA3_EXPANSION!$D$56:AS$56,"&gt;="&amp;20)))*CAPA3_EXPANSION!AS$36)</f>
        <v>0</v>
      </c>
      <c r="AT27" s="88">
        <f>IF(COUNTIF(CAPA3_EXPANSION!$D$56:AT$56,"&gt;="&amp;20)=0,0,SUP_CONTROL!$C$8*IF($B27="V",1,IF($B27="D",(1+SUP_VOLUMEN!$C$26),(1+SUP_VOLUMEN!$C$27)))*INDEX(SUP_C3_EXPANSION!$C$6:$F$6,MIN(4,COUNTIF(CAPA3_EXPANSION!$D$56:AT$56,"&gt;="&amp;20)))*CAPA3_EXPANSION!AT$36)</f>
        <v>0</v>
      </c>
      <c r="AU27" s="88">
        <f>IF(COUNTIF(CAPA3_EXPANSION!$D$56:AU$56,"&gt;="&amp;20)=0,0,SUP_CONTROL!$C$8*IF($B27="V",1,IF($B27="D",(1+SUP_VOLUMEN!$C$26),(1+SUP_VOLUMEN!$C$27)))*INDEX(SUP_C3_EXPANSION!$C$6:$F$6,MIN(4,COUNTIF(CAPA3_EXPANSION!$D$56:AU$56,"&gt;="&amp;20)))*CAPA3_EXPANSION!AU$36)</f>
        <v>0</v>
      </c>
      <c r="AV27" s="88">
        <f>IF(COUNTIF(CAPA3_EXPANSION!$D$56:AV$56,"&gt;="&amp;20)=0,0,SUP_CONTROL!$C$8*IF($B27="V",1,IF($B27="D",(1+SUP_VOLUMEN!$C$26),(1+SUP_VOLUMEN!$C$27)))*INDEX(SUP_C3_EXPANSION!$C$6:$F$6,MIN(4,COUNTIF(CAPA3_EXPANSION!$D$56:AV$56,"&gt;="&amp;20)))*CAPA3_EXPANSION!AV$36)</f>
        <v>0</v>
      </c>
      <c r="AW27" s="88">
        <f>IF(COUNTIF(CAPA3_EXPANSION!$D$56:AW$56,"&gt;="&amp;20)=0,0,SUP_CONTROL!$C$8*IF($B27="V",1,IF($B27="D",(1+SUP_VOLUMEN!$C$26),(1+SUP_VOLUMEN!$C$27)))*INDEX(SUP_C3_EXPANSION!$C$6:$F$6,MIN(4,COUNTIF(CAPA3_EXPANSION!$D$56:AW$56,"&gt;="&amp;20)))*CAPA3_EXPANSION!AW$36)</f>
        <v>0</v>
      </c>
      <c r="AX27" s="88">
        <f>IF(COUNTIF(CAPA3_EXPANSION!$D$56:AX$56,"&gt;="&amp;20)=0,0,SUP_CONTROL!$C$8*IF($B27="V",1,IF($B27="D",(1+SUP_VOLUMEN!$C$26),(1+SUP_VOLUMEN!$C$27)))*INDEX(SUP_C3_EXPANSION!$C$6:$F$6,MIN(4,COUNTIF(CAPA3_EXPANSION!$D$56:AX$56,"&gt;="&amp;20)))*CAPA3_EXPANSION!AX$36)</f>
        <v>0</v>
      </c>
      <c r="AY27" s="88">
        <f>IF(COUNTIF(CAPA3_EXPANSION!$D$56:AY$56,"&gt;="&amp;20)=0,0,SUP_CONTROL!$C$8*IF($B27="V",1,IF($B27="D",(1+SUP_VOLUMEN!$C$26),(1+SUP_VOLUMEN!$C$27)))*INDEX(SUP_C3_EXPANSION!$C$6:$F$6,MIN(4,COUNTIF(CAPA3_EXPANSION!$D$56:AY$56,"&gt;="&amp;20)))*CAPA3_EXPANSION!AY$36)</f>
        <v>0</v>
      </c>
      <c r="AZ27" s="88">
        <f>IF(COUNTIF(CAPA3_EXPANSION!$D$56:AZ$56,"&gt;="&amp;20)=0,0,SUP_CONTROL!$C$8*IF($B27="V",1,IF($B27="D",(1+SUP_VOLUMEN!$C$26),(1+SUP_VOLUMEN!$C$27)))*INDEX(SUP_C3_EXPANSION!$C$6:$F$6,MIN(4,COUNTIF(CAPA3_EXPANSION!$D$56:AZ$56,"&gt;="&amp;20)))*CAPA3_EXPANSION!AZ$36)</f>
        <v>0</v>
      </c>
      <c r="BA27" s="88">
        <f>IF(COUNTIF(CAPA3_EXPANSION!$D$56:BA$56,"&gt;="&amp;20)=0,0,SUP_CONTROL!$C$8*IF($B27="V",1,IF($B27="D",(1+SUP_VOLUMEN!$C$26),(1+SUP_VOLUMEN!$C$27)))*INDEX(SUP_C3_EXPANSION!$C$6:$F$6,MIN(4,COUNTIF(CAPA3_EXPANSION!$D$56:BA$56,"&gt;="&amp;20)))*CAPA3_EXPANSION!BA$36)</f>
        <v>0</v>
      </c>
      <c r="BB27" s="88">
        <f>IF(COUNTIF(CAPA3_EXPANSION!$D$56:BB$56,"&gt;="&amp;20)=0,0,SUP_CONTROL!$C$8*IF($B27="V",1,IF($B27="D",(1+SUP_VOLUMEN!$C$26),(1+SUP_VOLUMEN!$C$27)))*INDEX(SUP_C3_EXPANSION!$C$6:$F$6,MIN(4,COUNTIF(CAPA3_EXPANSION!$D$56:BB$56,"&gt;="&amp;20)))*CAPA3_EXPANSION!BB$36)</f>
        <v>0</v>
      </c>
      <c r="BC27" s="88">
        <f>IF(COUNTIF(CAPA3_EXPANSION!$D$56:BC$56,"&gt;="&amp;20)=0,0,SUP_CONTROL!$C$8*IF($B27="V",1,IF($B27="D",(1+SUP_VOLUMEN!$C$26),(1+SUP_VOLUMEN!$C$27)))*INDEX(SUP_C3_EXPANSION!$C$6:$F$6,MIN(4,COUNTIF(CAPA3_EXPANSION!$D$56:BC$56,"&gt;="&amp;20)))*CAPA3_EXPANSION!BC$36)</f>
        <v>0</v>
      </c>
      <c r="BD27" s="88">
        <f>IF(COUNTIF(CAPA3_EXPANSION!$D$56:BD$56,"&gt;="&amp;20)=0,0,SUP_CONTROL!$C$8*IF($B27="V",1,IF($B27="D",(1+SUP_VOLUMEN!$C$26),(1+SUP_VOLUMEN!$C$27)))*INDEX(SUP_C3_EXPANSION!$C$6:$F$6,MIN(4,COUNTIF(CAPA3_EXPANSION!$D$56:BD$56,"&gt;="&amp;20)))*CAPA3_EXPANSION!BD$36)</f>
        <v>0</v>
      </c>
      <c r="BE27" s="88">
        <f>IF(COUNTIF(CAPA3_EXPANSION!$D$56:BE$56,"&gt;="&amp;20)=0,0,SUP_CONTROL!$C$8*IF($B27="V",1,IF($B27="D",(1+SUP_VOLUMEN!$C$26),(1+SUP_VOLUMEN!$C$27)))*INDEX(SUP_C3_EXPANSION!$C$6:$F$6,MIN(4,COUNTIF(CAPA3_EXPANSION!$D$56:BE$56,"&gt;="&amp;20)))*CAPA3_EXPANSION!BE$36)</f>
        <v>0</v>
      </c>
      <c r="BF27" s="88">
        <f>IF(COUNTIF(CAPA3_EXPANSION!$D$56:BF$56,"&gt;="&amp;20)=0,0,SUP_CONTROL!$C$8*IF($B27="V",1,IF($B27="D",(1+SUP_VOLUMEN!$C$26),(1+SUP_VOLUMEN!$C$27)))*INDEX(SUP_C3_EXPANSION!$C$6:$F$6,MIN(4,COUNTIF(CAPA3_EXPANSION!$D$56:BF$56,"&gt;="&amp;20)))*CAPA3_EXPANSION!BF$36)</f>
        <v>0</v>
      </c>
      <c r="BG27" s="88">
        <f>IF(COUNTIF(CAPA3_EXPANSION!$D$56:BG$56,"&gt;="&amp;20)=0,0,SUP_CONTROL!$C$8*IF($B27="V",1,IF($B27="D",(1+SUP_VOLUMEN!$C$26),(1+SUP_VOLUMEN!$C$27)))*INDEX(SUP_C3_EXPANSION!$C$6:$F$6,MIN(4,COUNTIF(CAPA3_EXPANSION!$D$56:BG$56,"&gt;="&amp;20)))*CAPA3_EXPANSION!BG$36)</f>
        <v>0</v>
      </c>
      <c r="BH27" s="88">
        <f>IF(COUNTIF(CAPA3_EXPANSION!$D$56:BH$56,"&gt;="&amp;20)=0,0,SUP_CONTROL!$C$8*IF($B27="V",1,IF($B27="D",(1+SUP_VOLUMEN!$C$26),(1+SUP_VOLUMEN!$C$27)))*INDEX(SUP_C3_EXPANSION!$C$6:$F$6,MIN(4,COUNTIF(CAPA3_EXPANSION!$D$56:BH$56,"&gt;="&amp;20)))*CAPA3_EXPANSION!BH$36)</f>
        <v>0</v>
      </c>
      <c r="BI27" s="88">
        <f>IF(COUNTIF(CAPA3_EXPANSION!$D$56:BI$56,"&gt;="&amp;20)=0,0,SUP_CONTROL!$C$8*IF($B27="V",1,IF($B27="D",(1+SUP_VOLUMEN!$C$26),(1+SUP_VOLUMEN!$C$27)))*INDEX(SUP_C3_EXPANSION!$C$6:$F$6,MIN(4,COUNTIF(CAPA3_EXPANSION!$D$56:BI$56,"&gt;="&amp;20)))*CAPA3_EXPANSION!BI$36)</f>
        <v>1969.6950000000002</v>
      </c>
      <c r="BJ27" s="88">
        <f>IF(COUNTIF(CAPA3_EXPANSION!$D$56:BJ$56,"&gt;="&amp;20)=0,0,SUP_CONTROL!$C$8*IF($B27="V",1,IF($B27="D",(1+SUP_VOLUMEN!$C$26),(1+SUP_VOLUMEN!$C$27)))*INDEX(SUP_C3_EXPANSION!$C$6:$F$6,MIN(4,COUNTIF(CAPA3_EXPANSION!$D$56:BJ$56,"&gt;="&amp;20)))*CAPA3_EXPANSION!BJ$36)</f>
        <v>2424.2400000000002</v>
      </c>
      <c r="BK27" s="88">
        <f>IF(COUNTIF(CAPA3_EXPANSION!$D$56:BK$56,"&gt;="&amp;20)=0,0,SUP_CONTROL!$C$8*IF($B27="V",1,IF($B27="D",(1+SUP_VOLUMEN!$C$26),(1+SUP_VOLUMEN!$C$27)))*INDEX(SUP_C3_EXPANSION!$C$6:$F$6,MIN(4,COUNTIF(CAPA3_EXPANSION!$D$56:BK$56,"&gt;="&amp;20)))*CAPA3_EXPANSION!BK$36)</f>
        <v>2666.6640000000002</v>
      </c>
      <c r="BL27" s="88">
        <f>IF(COUNTIF(CAPA3_EXPANSION!$D$56:BL$56,"&gt;="&amp;20)=0,0,SUP_CONTROL!$C$8*IF($B27="V",1,IF($B27="D",(1+SUP_VOLUMEN!$C$26),(1+SUP_VOLUMEN!$C$27)))*INDEX(SUP_C3_EXPANSION!$C$6:$F$6,MIN(4,COUNTIF(CAPA3_EXPANSION!$D$56:BL$56,"&gt;="&amp;20)))*CAPA3_EXPANSION!BL$36)</f>
        <v>2962.96</v>
      </c>
      <c r="BM27" s="88">
        <f>IF(COUNTIF(CAPA3_EXPANSION!$D$56:BM$56,"&gt;="&amp;20)=0,0,SUP_CONTROL!$C$8*IF($B27="V",1,IF($B27="D",(1+SUP_VOLUMEN!$C$26),(1+SUP_VOLUMEN!$C$27)))*INDEX(SUP_C3_EXPANSION!$C$6:$F$6,MIN(4,COUNTIF(CAPA3_EXPANSION!$D$56:BM$56,"&gt;="&amp;20)))*CAPA3_EXPANSION!BM$36)</f>
        <v>2962.96</v>
      </c>
      <c r="BN27" s="88">
        <f>IF(COUNTIF(CAPA3_EXPANSION!$D$56:BN$56,"&gt;="&amp;20)=0,0,SUP_CONTROL!$C$8*IF($B27="V",1,IF($B27="D",(1+SUP_VOLUMEN!$C$26),(1+SUP_VOLUMEN!$C$27)))*INDEX(SUP_C3_EXPANSION!$C$6:$F$6,MIN(4,COUNTIF(CAPA3_EXPANSION!$D$56:BN$56,"&gt;="&amp;20)))*CAPA3_EXPANSION!BN$36)</f>
        <v>2962.96</v>
      </c>
      <c r="BO27" s="88">
        <f>IF(COUNTIF(CAPA3_EXPANSION!$D$56:BO$56,"&gt;="&amp;20)=0,0,SUP_CONTROL!$C$8*IF($B27="V",1,IF($B27="D",(1+SUP_VOLUMEN!$C$26),(1+SUP_VOLUMEN!$C$27)))*INDEX(SUP_C3_EXPANSION!$C$6:$F$6,MIN(4,COUNTIF(CAPA3_EXPANSION!$D$56:BO$56,"&gt;="&amp;20)))*CAPA3_EXPANSION!BO$36)</f>
        <v>2962.96</v>
      </c>
      <c r="BP27" s="88">
        <f>IF(COUNTIF(CAPA3_EXPANSION!$D$56:BP$56,"&gt;="&amp;20)=0,0,SUP_CONTROL!$C$8*IF($B27="V",1,IF($B27="D",(1+SUP_VOLUMEN!$C$26),(1+SUP_VOLUMEN!$C$27)))*INDEX(SUP_C3_EXPANSION!$C$6:$F$6,MIN(4,COUNTIF(CAPA3_EXPANSION!$D$56:BP$56,"&gt;="&amp;20)))*CAPA3_EXPANSION!BP$36)</f>
        <v>2912.4549999999999</v>
      </c>
      <c r="BQ27" s="88">
        <f>IF(COUNTIF(CAPA3_EXPANSION!$D$56:BQ$56,"&gt;="&amp;20)=0,0,SUP_CONTROL!$C$8*IF($B27="V",1,IF($B27="D",(1+SUP_VOLUMEN!$C$26),(1+SUP_VOLUMEN!$C$27)))*INDEX(SUP_C3_EXPANSION!$C$6:$F$6,MIN(4,COUNTIF(CAPA3_EXPANSION!$D$56:BQ$56,"&gt;="&amp;20)))*CAPA3_EXPANSION!BQ$36)</f>
        <v>2912.4549999999999</v>
      </c>
      <c r="BR27" s="88">
        <f>IF(COUNTIF(CAPA3_EXPANSION!$D$56:BR$56,"&gt;="&amp;20)=0,0,SUP_CONTROL!$C$8*IF($B27="V",1,IF($B27="D",(1+SUP_VOLUMEN!$C$26),(1+SUP_VOLUMEN!$C$27)))*INDEX(SUP_C3_EXPANSION!$C$6:$F$6,MIN(4,COUNTIF(CAPA3_EXPANSION!$D$56:BR$56,"&gt;="&amp;20)))*CAPA3_EXPANSION!BR$36)</f>
        <v>2912.4549999999999</v>
      </c>
      <c r="BS27" s="88">
        <f>IF(COUNTIF(CAPA3_EXPANSION!$D$56:BS$56,"&gt;="&amp;20)=0,0,SUP_CONTROL!$C$8*IF($B27="V",1,IF($B27="D",(1+SUP_VOLUMEN!$C$26),(1+SUP_VOLUMEN!$C$27)))*INDEX(SUP_C3_EXPANSION!$C$6:$F$6,MIN(4,COUNTIF(CAPA3_EXPANSION!$D$56:BS$56,"&gt;="&amp;20)))*CAPA3_EXPANSION!BS$36)</f>
        <v>2912.4549999999999</v>
      </c>
      <c r="BT27" s="88">
        <f>IF(COUNTIF(CAPA3_EXPANSION!$D$56:BT$56,"&gt;="&amp;20)=0,0,SUP_CONTROL!$C$8*IF($B27="V",1,IF($B27="D",(1+SUP_VOLUMEN!$C$26),(1+SUP_VOLUMEN!$C$27)))*INDEX(SUP_C3_EXPANSION!$C$6:$F$6,MIN(4,COUNTIF(CAPA3_EXPANSION!$D$56:BT$56,"&gt;="&amp;20)))*CAPA3_EXPANSION!BT$36)</f>
        <v>2912.4549999999999</v>
      </c>
      <c r="BU27" s="88">
        <f>IF(COUNTIF(CAPA3_EXPANSION!$D$56:BU$56,"&gt;="&amp;20)=0,0,SUP_CONTROL!$C$8*IF($B27="V",1,IF($B27="D",(1+SUP_VOLUMEN!$C$26),(1+SUP_VOLUMEN!$C$27)))*INDEX(SUP_C3_EXPANSION!$C$6:$F$6,MIN(4,COUNTIF(CAPA3_EXPANSION!$D$56:BU$56,"&gt;="&amp;20)))*CAPA3_EXPANSION!BU$36)</f>
        <v>2861.95</v>
      </c>
      <c r="BV27" s="88">
        <f>IF(COUNTIF(CAPA3_EXPANSION!$D$56:BV$56,"&gt;="&amp;20)=0,0,SUP_CONTROL!$C$8*IF($B27="V",1,IF($B27="D",(1+SUP_VOLUMEN!$C$26),(1+SUP_VOLUMEN!$C$27)))*INDEX(SUP_C3_EXPANSION!$C$6:$F$6,MIN(4,COUNTIF(CAPA3_EXPANSION!$D$56:BV$56,"&gt;="&amp;20)))*CAPA3_EXPANSION!BV$36)</f>
        <v>2861.95</v>
      </c>
      <c r="BW27" s="88">
        <f>IF(COUNTIF(CAPA3_EXPANSION!$D$56:BW$56,"&gt;="&amp;20)=0,0,SUP_CONTROL!$C$8*IF($B27="V",1,IF($B27="D",(1+SUP_VOLUMEN!$C$26),(1+SUP_VOLUMEN!$C$27)))*INDEX(SUP_C3_EXPANSION!$C$6:$F$6,MIN(4,COUNTIF(CAPA3_EXPANSION!$D$56:BW$56,"&gt;="&amp;20)))*CAPA3_EXPANSION!BW$36)</f>
        <v>2861.95</v>
      </c>
      <c r="BX27" s="88">
        <f>IF(COUNTIF(CAPA3_EXPANSION!$D$56:BX$56,"&gt;="&amp;20)=0,0,SUP_CONTROL!$C$8*IF($B27="V",1,IF($B27="D",(1+SUP_VOLUMEN!$C$26),(1+SUP_VOLUMEN!$C$27)))*INDEX(SUP_C3_EXPANSION!$C$6:$F$6,MIN(4,COUNTIF(CAPA3_EXPANSION!$D$56:BX$56,"&gt;="&amp;20)))*CAPA3_EXPANSION!BX$36)</f>
        <v>2861.95</v>
      </c>
      <c r="BY27" s="88">
        <f>IF(COUNTIF(CAPA3_EXPANSION!$D$56:BY$56,"&gt;="&amp;20)=0,0,SUP_CONTROL!$C$8*IF($B27="V",1,IF($B27="D",(1+SUP_VOLUMEN!$C$26),(1+SUP_VOLUMEN!$C$27)))*INDEX(SUP_C3_EXPANSION!$C$6:$F$6,MIN(4,COUNTIF(CAPA3_EXPANSION!$D$56:BY$56,"&gt;="&amp;20)))*CAPA3_EXPANSION!BY$36)</f>
        <v>2861.95</v>
      </c>
      <c r="BZ27" s="88">
        <f>IF(COUNTIF(CAPA3_EXPANSION!$D$56:BZ$56,"&gt;="&amp;20)=0,0,SUP_CONTROL!$C$8*IF($B27="V",1,IF($B27="D",(1+SUP_VOLUMEN!$C$26),(1+SUP_VOLUMEN!$C$27)))*INDEX(SUP_C3_EXPANSION!$C$6:$F$6,MIN(4,COUNTIF(CAPA3_EXPANSION!$D$56:BZ$56,"&gt;="&amp;20)))*CAPA3_EXPANSION!BZ$36)</f>
        <v>2828.2799999999997</v>
      </c>
      <c r="CA27" s="88">
        <f>IF(COUNTIF(CAPA3_EXPANSION!$D$56:CA$56,"&gt;="&amp;20)=0,0,SUP_CONTROL!$C$8*IF($B27="V",1,IF($B27="D",(1+SUP_VOLUMEN!$C$26),(1+SUP_VOLUMEN!$C$27)))*INDEX(SUP_C3_EXPANSION!$C$6:$F$6,MIN(4,COUNTIF(CAPA3_EXPANSION!$D$56:CA$56,"&gt;="&amp;20)))*CAPA3_EXPANSION!CA$36)</f>
        <v>2828.2799999999997</v>
      </c>
      <c r="CB27" s="88">
        <f>IF(COUNTIF(CAPA3_EXPANSION!$D$56:CB$56,"&gt;="&amp;20)=0,0,SUP_CONTROL!$C$8*IF($B27="V",1,IF($B27="D",(1+SUP_VOLUMEN!$C$26),(1+SUP_VOLUMEN!$C$27)))*INDEX(SUP_C3_EXPANSION!$C$6:$F$6,MIN(4,COUNTIF(CAPA3_EXPANSION!$D$56:CB$56,"&gt;="&amp;20)))*CAPA3_EXPANSION!CB$36)</f>
        <v>2828.2799999999997</v>
      </c>
      <c r="CC27" s="88">
        <f>IF(COUNTIF(CAPA3_EXPANSION!$D$56:CC$56,"&gt;="&amp;20)=0,0,SUP_CONTROL!$C$8*IF($B27="V",1,IF($B27="D",(1+SUP_VOLUMEN!$C$26),(1+SUP_VOLUMEN!$C$27)))*INDEX(SUP_C3_EXPANSION!$C$6:$F$6,MIN(4,COUNTIF(CAPA3_EXPANSION!$D$56:CC$56,"&gt;="&amp;20)))*CAPA3_EXPANSION!CC$36)</f>
        <v>2828.2799999999997</v>
      </c>
      <c r="CD27" s="88">
        <f>IF(COUNTIF(CAPA3_EXPANSION!$D$56:CD$56,"&gt;="&amp;20)=0,0,SUP_CONTROL!$C$8*IF($B27="V",1,IF($B27="D",(1+SUP_VOLUMEN!$C$26),(1+SUP_VOLUMEN!$C$27)))*INDEX(SUP_C3_EXPANSION!$C$6:$F$6,MIN(4,COUNTIF(CAPA3_EXPANSION!$D$56:CD$56,"&gt;="&amp;20)))*CAPA3_EXPANSION!CD$36)</f>
        <v>2828.2799999999997</v>
      </c>
      <c r="CE27" s="88">
        <f>IF(COUNTIF(CAPA3_EXPANSION!$D$56:CE$56,"&gt;="&amp;20)=0,0,SUP_CONTROL!$C$8*IF($B27="V",1,IF($B27="D",(1+SUP_VOLUMEN!$C$26),(1+SUP_VOLUMEN!$C$27)))*INDEX(SUP_C3_EXPANSION!$C$6:$F$6,MIN(4,COUNTIF(CAPA3_EXPANSION!$D$56:CE$56,"&gt;="&amp;20)))*CAPA3_EXPANSION!CE$36)</f>
        <v>2828.2799999999997</v>
      </c>
      <c r="CF27" s="88">
        <f>IF(COUNTIF(CAPA3_EXPANSION!$D$56:CF$56,"&gt;="&amp;20)=0,0,SUP_CONTROL!$C$8*IF($B27="V",1,IF($B27="D",(1+SUP_VOLUMEN!$C$26),(1+SUP_VOLUMEN!$C$27)))*INDEX(SUP_C3_EXPANSION!$C$6:$F$6,MIN(4,COUNTIF(CAPA3_EXPANSION!$D$56:CF$56,"&gt;="&amp;20)))*CAPA3_EXPANSION!CF$36)</f>
        <v>2828.2799999999997</v>
      </c>
      <c r="CG27" s="88">
        <f>IF(COUNTIF(CAPA3_EXPANSION!$D$56:CG$56,"&gt;="&amp;20)=0,0,SUP_CONTROL!$C$8*IF($B27="V",1,IF($B27="D",(1+SUP_VOLUMEN!$C$26),(1+SUP_VOLUMEN!$C$27)))*INDEX(SUP_C3_EXPANSION!$C$6:$F$6,MIN(4,COUNTIF(CAPA3_EXPANSION!$D$56:CG$56,"&gt;="&amp;20)))*CAPA3_EXPANSION!CG$36)</f>
        <v>2828.2799999999997</v>
      </c>
      <c r="CH27" s="88">
        <f>IF(COUNTIF(CAPA3_EXPANSION!$D$56:CH$56,"&gt;="&amp;20)=0,0,SUP_CONTROL!$C$8*IF($B27="V",1,IF($B27="D",(1+SUP_VOLUMEN!$C$26),(1+SUP_VOLUMEN!$C$27)))*INDEX(SUP_C3_EXPANSION!$C$6:$F$6,MIN(4,COUNTIF(CAPA3_EXPANSION!$D$56:CH$56,"&gt;="&amp;20)))*CAPA3_EXPANSION!CH$36)</f>
        <v>2828.2799999999997</v>
      </c>
      <c r="CI27" s="88">
        <f>IF(COUNTIF(CAPA3_EXPANSION!$D$56:CI$56,"&gt;="&amp;20)=0,0,SUP_CONTROL!$C$8*IF($B27="V",1,IF($B27="D",(1+SUP_VOLUMEN!$C$26),(1+SUP_VOLUMEN!$C$27)))*INDEX(SUP_C3_EXPANSION!$C$6:$F$6,MIN(4,COUNTIF(CAPA3_EXPANSION!$D$56:CI$56,"&gt;="&amp;20)))*CAPA3_EXPANSION!CI$36)</f>
        <v>2828.2799999999997</v>
      </c>
      <c r="CJ27" s="88">
        <f>IF(COUNTIF(CAPA3_EXPANSION!$D$56:CJ$56,"&gt;="&amp;20)=0,0,SUP_CONTROL!$C$8*IF($B27="V",1,IF($B27="D",(1+SUP_VOLUMEN!$C$26),(1+SUP_VOLUMEN!$C$27)))*INDEX(SUP_C3_EXPANSION!$C$6:$F$6,MIN(4,COUNTIF(CAPA3_EXPANSION!$D$56:CJ$56,"&gt;="&amp;20)))*CAPA3_EXPANSION!CJ$36)</f>
        <v>2828.2799999999997</v>
      </c>
      <c r="CK27" s="88">
        <f>IF(COUNTIF(CAPA3_EXPANSION!$D$56:CK$56,"&gt;="&amp;20)=0,0,SUP_CONTROL!$C$8*IF($B27="V",1,IF($B27="D",(1+SUP_VOLUMEN!$C$26),(1+SUP_VOLUMEN!$C$27)))*INDEX(SUP_C3_EXPANSION!$C$6:$F$6,MIN(4,COUNTIF(CAPA3_EXPANSION!$D$56:CK$56,"&gt;="&amp;20)))*CAPA3_EXPANSION!CK$36)</f>
        <v>2828.2799999999997</v>
      </c>
      <c r="CL27" s="88">
        <f>IF(COUNTIF(CAPA3_EXPANSION!$D$56:CL$56,"&gt;="&amp;20)=0,0,SUP_CONTROL!$C$8*IF($B27="V",1,IF($B27="D",(1+SUP_VOLUMEN!$C$26),(1+SUP_VOLUMEN!$C$27)))*INDEX(SUP_C3_EXPANSION!$C$6:$F$6,MIN(4,COUNTIF(CAPA3_EXPANSION!$D$56:CL$56,"&gt;="&amp;20)))*CAPA3_EXPANSION!CL$36)</f>
        <v>2828.2799999999997</v>
      </c>
      <c r="CM27" s="88">
        <f>IF(COUNTIF(CAPA3_EXPANSION!$D$56:CM$56,"&gt;="&amp;20)=0,0,SUP_CONTROL!$C$8*IF($B27="V",1,IF($B27="D",(1+SUP_VOLUMEN!$C$26),(1+SUP_VOLUMEN!$C$27)))*INDEX(SUP_C3_EXPANSION!$C$6:$F$6,MIN(4,COUNTIF(CAPA3_EXPANSION!$D$56:CM$56,"&gt;="&amp;20)))*CAPA3_EXPANSION!CM$36)</f>
        <v>2828.2799999999997</v>
      </c>
      <c r="CN27" s="88">
        <f>IF(COUNTIF(CAPA3_EXPANSION!$D$56:CN$56,"&gt;="&amp;20)=0,0,SUP_CONTROL!$C$8*IF($B27="V",1,IF($B27="D",(1+SUP_VOLUMEN!$C$26),(1+SUP_VOLUMEN!$C$27)))*INDEX(SUP_C3_EXPANSION!$C$6:$F$6,MIN(4,COUNTIF(CAPA3_EXPANSION!$D$56:CN$56,"&gt;="&amp;20)))*CAPA3_EXPANSION!CN$36)</f>
        <v>2828.2799999999997</v>
      </c>
      <c r="CO27" s="88">
        <f>IF(COUNTIF(CAPA3_EXPANSION!$D$56:CO$56,"&gt;="&amp;20)=0,0,SUP_CONTROL!$C$8*IF($B27="V",1,IF($B27="D",(1+SUP_VOLUMEN!$C$26),(1+SUP_VOLUMEN!$C$27)))*INDEX(SUP_C3_EXPANSION!$C$6:$F$6,MIN(4,COUNTIF(CAPA3_EXPANSION!$D$56:CO$56,"&gt;="&amp;20)))*CAPA3_EXPANSION!CO$36)</f>
        <v>2828.2799999999997</v>
      </c>
      <c r="CP27" s="88">
        <f>IF(COUNTIF(CAPA3_EXPANSION!$D$56:CP$56,"&gt;="&amp;20)=0,0,SUP_CONTROL!$C$8*IF($B27="V",1,IF($B27="D",(1+SUP_VOLUMEN!$C$26),(1+SUP_VOLUMEN!$C$27)))*INDEX(SUP_C3_EXPANSION!$C$6:$F$6,MIN(4,COUNTIF(CAPA3_EXPANSION!$D$56:CP$56,"&gt;="&amp;20)))*CAPA3_EXPANSION!CP$36)</f>
        <v>2828.2799999999997</v>
      </c>
      <c r="CQ27" s="88">
        <f>IF(COUNTIF(CAPA3_EXPANSION!$D$56:CQ$56,"&gt;="&amp;20)=0,0,SUP_CONTROL!$C$8*IF($B27="V",1,IF($B27="D",(1+SUP_VOLUMEN!$C$26),(1+SUP_VOLUMEN!$C$27)))*INDEX(SUP_C3_EXPANSION!$C$6:$F$6,MIN(4,COUNTIF(CAPA3_EXPANSION!$D$56:CQ$56,"&gt;="&amp;20)))*CAPA3_EXPANSION!CQ$36)</f>
        <v>2828.2799999999997</v>
      </c>
      <c r="CR27" s="88">
        <f>IF(COUNTIF(CAPA3_EXPANSION!$D$56:CR$56,"&gt;="&amp;20)=0,0,SUP_CONTROL!$C$8*IF($B27="V",1,IF($B27="D",(1+SUP_VOLUMEN!$C$26),(1+SUP_VOLUMEN!$C$27)))*INDEX(SUP_C3_EXPANSION!$C$6:$F$6,MIN(4,COUNTIF(CAPA3_EXPANSION!$D$56:CR$56,"&gt;="&amp;20)))*CAPA3_EXPANSION!CR$36)</f>
        <v>2828.2799999999997</v>
      </c>
      <c r="CS27" s="88">
        <f>IF(COUNTIF(CAPA3_EXPANSION!$D$56:CS$56,"&gt;="&amp;20)=0,0,SUP_CONTROL!$C$8*IF($B27="V",1,IF($B27="D",(1+SUP_VOLUMEN!$C$26),(1+SUP_VOLUMEN!$C$27)))*INDEX(SUP_C3_EXPANSION!$C$6:$F$6,MIN(4,COUNTIF(CAPA3_EXPANSION!$D$56:CS$56,"&gt;="&amp;20)))*CAPA3_EXPANSION!CS$36)</f>
        <v>2828.2799999999997</v>
      </c>
      <c r="CT27" s="88">
        <f>IF(COUNTIF(CAPA3_EXPANSION!$D$56:CT$56,"&gt;="&amp;20)=0,0,SUP_CONTROL!$C$8*IF($B27="V",1,IF($B27="D",(1+SUP_VOLUMEN!$C$26),(1+SUP_VOLUMEN!$C$27)))*INDEX(SUP_C3_EXPANSION!$C$6:$F$6,MIN(4,COUNTIF(CAPA3_EXPANSION!$D$56:CT$56,"&gt;="&amp;20)))*CAPA3_EXPANSION!CT$36)</f>
        <v>2828.2799999999997</v>
      </c>
      <c r="CU27" s="88">
        <f>IF(COUNTIF(CAPA3_EXPANSION!$D$56:CU$56,"&gt;="&amp;20)=0,0,SUP_CONTROL!$C$8*IF($B27="V",1,IF($B27="D",(1+SUP_VOLUMEN!$C$26),(1+SUP_VOLUMEN!$C$27)))*INDEX(SUP_C3_EXPANSION!$C$6:$F$6,MIN(4,COUNTIF(CAPA3_EXPANSION!$D$56:CU$56,"&gt;="&amp;20)))*CAPA3_EXPANSION!CU$36)</f>
        <v>2828.2799999999997</v>
      </c>
      <c r="CV27" s="88">
        <f>IF(COUNTIF(CAPA3_EXPANSION!$D$56:CV$56,"&gt;="&amp;20)=0,0,SUP_CONTROL!$C$8*IF($B27="V",1,IF($B27="D",(1+SUP_VOLUMEN!$C$26),(1+SUP_VOLUMEN!$C$27)))*INDEX(SUP_C3_EXPANSION!$C$6:$F$6,MIN(4,COUNTIF(CAPA3_EXPANSION!$D$56:CV$56,"&gt;="&amp;20)))*CAPA3_EXPANSION!CV$36)</f>
        <v>2828.2799999999997</v>
      </c>
      <c r="CW27" s="88">
        <f>IF(COUNTIF(CAPA3_EXPANSION!$D$56:CW$56,"&gt;="&amp;20)=0,0,SUP_CONTROL!$C$8*IF($B27="V",1,IF($B27="D",(1+SUP_VOLUMEN!$C$26),(1+SUP_VOLUMEN!$C$27)))*INDEX(SUP_C3_EXPANSION!$C$6:$F$6,MIN(4,COUNTIF(CAPA3_EXPANSION!$D$56:CW$56,"&gt;="&amp;20)))*CAPA3_EXPANSION!CW$36)</f>
        <v>2828.2799999999997</v>
      </c>
      <c r="CX27" s="88">
        <f>IF(COUNTIF(CAPA3_EXPANSION!$D$56:CX$56,"&gt;="&amp;20)=0,0,SUP_CONTROL!$C$8*IF($B27="V",1,IF($B27="D",(1+SUP_VOLUMEN!$C$26),(1+SUP_VOLUMEN!$C$27)))*INDEX(SUP_C3_EXPANSION!$C$6:$F$6,MIN(4,COUNTIF(CAPA3_EXPANSION!$D$56:CX$56,"&gt;="&amp;20)))*CAPA3_EXPANSION!CX$36)</f>
        <v>2828.2799999999997</v>
      </c>
      <c r="CY27" s="88">
        <f>IF(COUNTIF(CAPA3_EXPANSION!$D$56:CY$56,"&gt;="&amp;20)=0,0,SUP_CONTROL!$C$8*IF($B27="V",1,IF($B27="D",(1+SUP_VOLUMEN!$C$26),(1+SUP_VOLUMEN!$C$27)))*INDEX(SUP_C3_EXPANSION!$C$6:$F$6,MIN(4,COUNTIF(CAPA3_EXPANSION!$D$56:CY$56,"&gt;="&amp;20)))*CAPA3_EXPANSION!CY$36)</f>
        <v>2828.2799999999997</v>
      </c>
      <c r="CZ27" s="88">
        <f>IF(COUNTIF(CAPA3_EXPANSION!$D$56:CZ$56,"&gt;="&amp;20)=0,0,SUP_CONTROL!$C$8*IF($B27="V",1,IF($B27="D",(1+SUP_VOLUMEN!$C$26),(1+SUP_VOLUMEN!$C$27)))*INDEX(SUP_C3_EXPANSION!$C$6:$F$6,MIN(4,COUNTIF(CAPA3_EXPANSION!$D$56:CZ$56,"&gt;="&amp;20)))*CAPA3_EXPANSION!CZ$36)</f>
        <v>2828.2799999999997</v>
      </c>
      <c r="DA27" s="88">
        <f>IF(COUNTIF(CAPA3_EXPANSION!$D$56:DA$56,"&gt;="&amp;20)=0,0,SUP_CONTROL!$C$8*IF($B27="V",1,IF($B27="D",(1+SUP_VOLUMEN!$C$26),(1+SUP_VOLUMEN!$C$27)))*INDEX(SUP_C3_EXPANSION!$C$6:$F$6,MIN(4,COUNTIF(CAPA3_EXPANSION!$D$56:DA$56,"&gt;="&amp;20)))*CAPA3_EXPANSION!DA$36)</f>
        <v>2828.2799999999997</v>
      </c>
      <c r="DB27" s="88">
        <f>IF(COUNTIF(CAPA3_EXPANSION!$D$56:DB$56,"&gt;="&amp;20)=0,0,SUP_CONTROL!$C$8*IF($B27="V",1,IF($B27="D",(1+SUP_VOLUMEN!$C$26),(1+SUP_VOLUMEN!$C$27)))*INDEX(SUP_C3_EXPANSION!$C$6:$F$6,MIN(4,COUNTIF(CAPA3_EXPANSION!$D$56:DB$56,"&gt;="&amp;20)))*CAPA3_EXPANSION!DB$36)</f>
        <v>2828.2799999999997</v>
      </c>
      <c r="DC27" s="88">
        <f>IF(COUNTIF(CAPA3_EXPANSION!$D$56:DC$56,"&gt;="&amp;20)=0,0,SUP_CONTROL!$C$8*IF($B27="V",1,IF($B27="D",(1+SUP_VOLUMEN!$C$26),(1+SUP_VOLUMEN!$C$27)))*INDEX(SUP_C3_EXPANSION!$C$6:$F$6,MIN(4,COUNTIF(CAPA3_EXPANSION!$D$56:DC$56,"&gt;="&amp;20)))*CAPA3_EXPANSION!DC$36)</f>
        <v>2828.2799999999997</v>
      </c>
      <c r="DD27" s="88">
        <f>IF(COUNTIF(CAPA3_EXPANSION!$D$56:DD$56,"&gt;="&amp;20)=0,0,SUP_CONTROL!$C$8*IF($B27="V",1,IF($B27="D",(1+SUP_VOLUMEN!$C$26),(1+SUP_VOLUMEN!$C$27)))*INDEX(SUP_C3_EXPANSION!$C$6:$F$6,MIN(4,COUNTIF(CAPA3_EXPANSION!$D$56:DD$56,"&gt;="&amp;20)))*CAPA3_EXPANSION!DD$36)</f>
        <v>2828.2799999999997</v>
      </c>
      <c r="DE27" s="88">
        <f>IF(COUNTIF(CAPA3_EXPANSION!$D$56:DE$56,"&gt;="&amp;20)=0,0,SUP_CONTROL!$C$8*IF($B27="V",1,IF($B27="D",(1+SUP_VOLUMEN!$C$26),(1+SUP_VOLUMEN!$C$27)))*INDEX(SUP_C3_EXPANSION!$C$6:$F$6,MIN(4,COUNTIF(CAPA3_EXPANSION!$D$56:DE$56,"&gt;="&amp;20)))*CAPA3_EXPANSION!DE$36)</f>
        <v>2828.2799999999997</v>
      </c>
      <c r="DF27" s="88">
        <f>IF(COUNTIF(CAPA3_EXPANSION!$D$56:DF$56,"&gt;="&amp;20)=0,0,SUP_CONTROL!$C$8*IF($B27="V",1,IF($B27="D",(1+SUP_VOLUMEN!$C$26),(1+SUP_VOLUMEN!$C$27)))*INDEX(SUP_C3_EXPANSION!$C$6:$F$6,MIN(4,COUNTIF(CAPA3_EXPANSION!$D$56:DF$56,"&gt;="&amp;20)))*CAPA3_EXPANSION!DF$36)</f>
        <v>2828.2799999999997</v>
      </c>
      <c r="DG27" s="88">
        <f>IF(COUNTIF(CAPA3_EXPANSION!$D$56:DG$56,"&gt;="&amp;20)=0,0,SUP_CONTROL!$C$8*IF($B27="V",1,IF($B27="D",(1+SUP_VOLUMEN!$C$26),(1+SUP_VOLUMEN!$C$27)))*INDEX(SUP_C3_EXPANSION!$C$6:$F$6,MIN(4,COUNTIF(CAPA3_EXPANSION!$D$56:DG$56,"&gt;="&amp;20)))*CAPA3_EXPANSION!DG$36)</f>
        <v>2828.2799999999997</v>
      </c>
      <c r="DH27" s="88">
        <f>IF(COUNTIF(CAPA3_EXPANSION!$D$56:DH$56,"&gt;="&amp;20)=0,0,SUP_CONTROL!$C$8*IF($B27="V",1,IF($B27="D",(1+SUP_VOLUMEN!$C$26),(1+SUP_VOLUMEN!$C$27)))*INDEX(SUP_C3_EXPANSION!$C$6:$F$6,MIN(4,COUNTIF(CAPA3_EXPANSION!$D$56:DH$56,"&gt;="&amp;20)))*CAPA3_EXPANSION!DH$36)</f>
        <v>2828.2799999999997</v>
      </c>
      <c r="DI27" s="88">
        <f>IF(COUNTIF(CAPA3_EXPANSION!$D$56:DI$56,"&gt;="&amp;20)=0,0,SUP_CONTROL!$C$8*IF($B27="V",1,IF($B27="D",(1+SUP_VOLUMEN!$C$26),(1+SUP_VOLUMEN!$C$27)))*INDEX(SUP_C3_EXPANSION!$C$6:$F$6,MIN(4,COUNTIF(CAPA3_EXPANSION!$D$56:DI$56,"&gt;="&amp;20)))*CAPA3_EXPANSION!DI$36)</f>
        <v>2828.2799999999997</v>
      </c>
      <c r="DJ27" s="88">
        <f>IF(COUNTIF(CAPA3_EXPANSION!$D$56:DJ$56,"&gt;="&amp;20)=0,0,SUP_CONTROL!$C$8*IF($B27="V",1,IF($B27="D",(1+SUP_VOLUMEN!$C$26),(1+SUP_VOLUMEN!$C$27)))*INDEX(SUP_C3_EXPANSION!$C$6:$F$6,MIN(4,COUNTIF(CAPA3_EXPANSION!$D$56:DJ$56,"&gt;="&amp;20)))*CAPA3_EXPANSION!DJ$36)</f>
        <v>2828.2799999999997</v>
      </c>
      <c r="DK27" s="88">
        <f>IF(COUNTIF(CAPA3_EXPANSION!$D$56:DK$56,"&gt;="&amp;20)=0,0,SUP_CONTROL!$C$8*IF($B27="V",1,IF($B27="D",(1+SUP_VOLUMEN!$C$26),(1+SUP_VOLUMEN!$C$27)))*INDEX(SUP_C3_EXPANSION!$C$6:$F$6,MIN(4,COUNTIF(CAPA3_EXPANSION!$D$56:DK$56,"&gt;="&amp;20)))*CAPA3_EXPANSION!DK$36)</f>
        <v>2828.2799999999997</v>
      </c>
      <c r="DL27" s="88">
        <f>IF(COUNTIF(CAPA3_EXPANSION!$D$56:DL$56,"&gt;="&amp;20)=0,0,SUP_CONTROL!$C$8*IF($B27="V",1,IF($B27="D",(1+SUP_VOLUMEN!$C$26),(1+SUP_VOLUMEN!$C$27)))*INDEX(SUP_C3_EXPANSION!$C$6:$F$6,MIN(4,COUNTIF(CAPA3_EXPANSION!$D$56:DL$56,"&gt;="&amp;20)))*CAPA3_EXPANSION!DL$36)</f>
        <v>2828.2799999999997</v>
      </c>
      <c r="DM27" s="88">
        <f>IF(COUNTIF(CAPA3_EXPANSION!$D$56:DM$56,"&gt;="&amp;20)=0,0,SUP_CONTROL!$C$8*IF($B27="V",1,IF($B27="D",(1+SUP_VOLUMEN!$C$26),(1+SUP_VOLUMEN!$C$27)))*INDEX(SUP_C3_EXPANSION!$C$6:$F$6,MIN(4,COUNTIF(CAPA3_EXPANSION!$D$56:DM$56,"&gt;="&amp;20)))*CAPA3_EXPANSION!DM$36)</f>
        <v>2828.2799999999997</v>
      </c>
      <c r="DN27" s="88">
        <f>IF(COUNTIF(CAPA3_EXPANSION!$D$56:DN$56,"&gt;="&amp;20)=0,0,SUP_CONTROL!$C$8*IF($B27="V",1,IF($B27="D",(1+SUP_VOLUMEN!$C$26),(1+SUP_VOLUMEN!$C$27)))*INDEX(SUP_C3_EXPANSION!$C$6:$F$6,MIN(4,COUNTIF(CAPA3_EXPANSION!$D$56:DN$56,"&gt;="&amp;20)))*CAPA3_EXPANSION!DN$36)</f>
        <v>2828.2799999999997</v>
      </c>
      <c r="DO27" s="88">
        <f>IF(COUNTIF(CAPA3_EXPANSION!$D$56:DO$56,"&gt;="&amp;20)=0,0,SUP_CONTROL!$C$8*IF($B27="V",1,IF($B27="D",(1+SUP_VOLUMEN!$C$26),(1+SUP_VOLUMEN!$C$27)))*INDEX(SUP_C3_EXPANSION!$C$6:$F$6,MIN(4,COUNTIF(CAPA3_EXPANSION!$D$56:DO$56,"&gt;="&amp;20)))*CAPA3_EXPANSION!DO$36)</f>
        <v>2828.2799999999997</v>
      </c>
      <c r="DP27" s="88">
        <f>IF(COUNTIF(CAPA3_EXPANSION!$D$56:DP$56,"&gt;="&amp;20)=0,0,SUP_CONTROL!$C$8*IF($B27="V",1,IF($B27="D",(1+SUP_VOLUMEN!$C$26),(1+SUP_VOLUMEN!$C$27)))*INDEX(SUP_C3_EXPANSION!$C$6:$F$6,MIN(4,COUNTIF(CAPA3_EXPANSION!$D$56:DP$56,"&gt;="&amp;20)))*CAPA3_EXPANSION!DP$36)</f>
        <v>2828.2799999999997</v>
      </c>
      <c r="DQ27" s="88">
        <f>IF(COUNTIF(CAPA3_EXPANSION!$D$56:DQ$56,"&gt;="&amp;20)=0,0,SUP_CONTROL!$C$8*IF($B27="V",1,IF($B27="D",(1+SUP_VOLUMEN!$C$26),(1+SUP_VOLUMEN!$C$27)))*INDEX(SUP_C3_EXPANSION!$C$6:$F$6,MIN(4,COUNTIF(CAPA3_EXPANSION!$D$56:DQ$56,"&gt;="&amp;20)))*CAPA3_EXPANSION!DQ$36)</f>
        <v>2828.2799999999997</v>
      </c>
      <c r="DR27" s="88">
        <f>IF(COUNTIF(CAPA3_EXPANSION!$D$56:DR$56,"&gt;="&amp;20)=0,0,SUP_CONTROL!$C$8*IF($B27="V",1,IF($B27="D",(1+SUP_VOLUMEN!$C$26),(1+SUP_VOLUMEN!$C$27)))*INDEX(SUP_C3_EXPANSION!$C$6:$F$6,MIN(4,COUNTIF(CAPA3_EXPANSION!$D$56:DR$56,"&gt;="&amp;20)))*CAPA3_EXPANSION!DR$36)</f>
        <v>2828.2799999999997</v>
      </c>
      <c r="DS27" s="88">
        <f>IF(COUNTIF(CAPA3_EXPANSION!$D$56:DS$56,"&gt;="&amp;20)=0,0,SUP_CONTROL!$C$8*IF($B27="V",1,IF($B27="D",(1+SUP_VOLUMEN!$C$26),(1+SUP_VOLUMEN!$C$27)))*INDEX(SUP_C3_EXPANSION!$C$6:$F$6,MIN(4,COUNTIF(CAPA3_EXPANSION!$D$56:DS$56,"&gt;="&amp;20)))*CAPA3_EXPANSION!DS$36)</f>
        <v>2828.2799999999997</v>
      </c>
    </row>
    <row r="28" spans="1:123" ht="15" customHeight="1" x14ac:dyDescent="0.2">
      <c r="A28" s="88">
        <v>31</v>
      </c>
      <c r="B28" s="104" t="str">
        <f>SUP_C3_EXPANSION!B40</f>
        <v>D</v>
      </c>
      <c r="C28" s="73">
        <f>SUP_C3_EXPANSION!G40</f>
        <v>56</v>
      </c>
      <c r="D28" s="88">
        <f>IF(COUNTIF(CAPA3_EXPANSION!$D$56:D$56,"&gt;="&amp;21)=0,0,SUP_CONTROL!$C$8*IF($B28="V",1,IF($B28="D",(1+SUP_VOLUMEN!$C$26),(1+SUP_VOLUMEN!$C$27)))*INDEX(SUP_C3_EXPANSION!$C$6:$F$6,MIN(4,COUNTIF(CAPA3_EXPANSION!$D$56:D$56,"&gt;="&amp;21)))*CAPA3_EXPANSION!D$36)</f>
        <v>0</v>
      </c>
      <c r="E28" s="88">
        <f>IF(COUNTIF(CAPA3_EXPANSION!$D$56:E$56,"&gt;="&amp;21)=0,0,SUP_CONTROL!$C$8*IF($B28="V",1,IF($B28="D",(1+SUP_VOLUMEN!$C$26),(1+SUP_VOLUMEN!$C$27)))*INDEX(SUP_C3_EXPANSION!$C$6:$F$6,MIN(4,COUNTIF(CAPA3_EXPANSION!$D$56:E$56,"&gt;="&amp;21)))*CAPA3_EXPANSION!E$36)</f>
        <v>0</v>
      </c>
      <c r="F28" s="88">
        <f>IF(COUNTIF(CAPA3_EXPANSION!$D$56:F$56,"&gt;="&amp;21)=0,0,SUP_CONTROL!$C$8*IF($B28="V",1,IF($B28="D",(1+SUP_VOLUMEN!$C$26),(1+SUP_VOLUMEN!$C$27)))*INDEX(SUP_C3_EXPANSION!$C$6:$F$6,MIN(4,COUNTIF(CAPA3_EXPANSION!$D$56:F$56,"&gt;="&amp;21)))*CAPA3_EXPANSION!F$36)</f>
        <v>0</v>
      </c>
      <c r="G28" s="88">
        <f>IF(COUNTIF(CAPA3_EXPANSION!$D$56:G$56,"&gt;="&amp;21)=0,0,SUP_CONTROL!$C$8*IF($B28="V",1,IF($B28="D",(1+SUP_VOLUMEN!$C$26),(1+SUP_VOLUMEN!$C$27)))*INDEX(SUP_C3_EXPANSION!$C$6:$F$6,MIN(4,COUNTIF(CAPA3_EXPANSION!$D$56:G$56,"&gt;="&amp;21)))*CAPA3_EXPANSION!G$36)</f>
        <v>0</v>
      </c>
      <c r="H28" s="88">
        <f>IF(COUNTIF(CAPA3_EXPANSION!$D$56:H$56,"&gt;="&amp;21)=0,0,SUP_CONTROL!$C$8*IF($B28="V",1,IF($B28="D",(1+SUP_VOLUMEN!$C$26),(1+SUP_VOLUMEN!$C$27)))*INDEX(SUP_C3_EXPANSION!$C$6:$F$6,MIN(4,COUNTIF(CAPA3_EXPANSION!$D$56:H$56,"&gt;="&amp;21)))*CAPA3_EXPANSION!H$36)</f>
        <v>0</v>
      </c>
      <c r="I28" s="88">
        <f>IF(COUNTIF(CAPA3_EXPANSION!$D$56:I$56,"&gt;="&amp;21)=0,0,SUP_CONTROL!$C$8*IF($B28="V",1,IF($B28="D",(1+SUP_VOLUMEN!$C$26),(1+SUP_VOLUMEN!$C$27)))*INDEX(SUP_C3_EXPANSION!$C$6:$F$6,MIN(4,COUNTIF(CAPA3_EXPANSION!$D$56:I$56,"&gt;="&amp;21)))*CAPA3_EXPANSION!I$36)</f>
        <v>0</v>
      </c>
      <c r="J28" s="88">
        <f>IF(COUNTIF(CAPA3_EXPANSION!$D$56:J$56,"&gt;="&amp;21)=0,0,SUP_CONTROL!$C$8*IF($B28="V",1,IF($B28="D",(1+SUP_VOLUMEN!$C$26),(1+SUP_VOLUMEN!$C$27)))*INDEX(SUP_C3_EXPANSION!$C$6:$F$6,MIN(4,COUNTIF(CAPA3_EXPANSION!$D$56:J$56,"&gt;="&amp;21)))*CAPA3_EXPANSION!J$36)</f>
        <v>0</v>
      </c>
      <c r="K28" s="88">
        <f>IF(COUNTIF(CAPA3_EXPANSION!$D$56:K$56,"&gt;="&amp;21)=0,0,SUP_CONTROL!$C$8*IF($B28="V",1,IF($B28="D",(1+SUP_VOLUMEN!$C$26),(1+SUP_VOLUMEN!$C$27)))*INDEX(SUP_C3_EXPANSION!$C$6:$F$6,MIN(4,COUNTIF(CAPA3_EXPANSION!$D$56:K$56,"&gt;="&amp;21)))*CAPA3_EXPANSION!K$36)</f>
        <v>0</v>
      </c>
      <c r="L28" s="88">
        <f>IF(COUNTIF(CAPA3_EXPANSION!$D$56:L$56,"&gt;="&amp;21)=0,0,SUP_CONTROL!$C$8*IF($B28="V",1,IF($B28="D",(1+SUP_VOLUMEN!$C$26),(1+SUP_VOLUMEN!$C$27)))*INDEX(SUP_C3_EXPANSION!$C$6:$F$6,MIN(4,COUNTIF(CAPA3_EXPANSION!$D$56:L$56,"&gt;="&amp;21)))*CAPA3_EXPANSION!L$36)</f>
        <v>0</v>
      </c>
      <c r="M28" s="88">
        <f>IF(COUNTIF(CAPA3_EXPANSION!$D$56:M$56,"&gt;="&amp;21)=0,0,SUP_CONTROL!$C$8*IF($B28="V",1,IF($B28="D",(1+SUP_VOLUMEN!$C$26),(1+SUP_VOLUMEN!$C$27)))*INDEX(SUP_C3_EXPANSION!$C$6:$F$6,MIN(4,COUNTIF(CAPA3_EXPANSION!$D$56:M$56,"&gt;="&amp;21)))*CAPA3_EXPANSION!M$36)</f>
        <v>0</v>
      </c>
      <c r="N28" s="88">
        <f>IF(COUNTIF(CAPA3_EXPANSION!$D$56:N$56,"&gt;="&amp;21)=0,0,SUP_CONTROL!$C$8*IF($B28="V",1,IF($B28="D",(1+SUP_VOLUMEN!$C$26),(1+SUP_VOLUMEN!$C$27)))*INDEX(SUP_C3_EXPANSION!$C$6:$F$6,MIN(4,COUNTIF(CAPA3_EXPANSION!$D$56:N$56,"&gt;="&amp;21)))*CAPA3_EXPANSION!N$36)</f>
        <v>0</v>
      </c>
      <c r="O28" s="88">
        <f>IF(COUNTIF(CAPA3_EXPANSION!$D$56:O$56,"&gt;="&amp;21)=0,0,SUP_CONTROL!$C$8*IF($B28="V",1,IF($B28="D",(1+SUP_VOLUMEN!$C$26),(1+SUP_VOLUMEN!$C$27)))*INDEX(SUP_C3_EXPANSION!$C$6:$F$6,MIN(4,COUNTIF(CAPA3_EXPANSION!$D$56:O$56,"&gt;="&amp;21)))*CAPA3_EXPANSION!O$36)</f>
        <v>0</v>
      </c>
      <c r="P28" s="88">
        <f>IF(COUNTIF(CAPA3_EXPANSION!$D$56:P$56,"&gt;="&amp;21)=0,0,SUP_CONTROL!$C$8*IF($B28="V",1,IF($B28="D",(1+SUP_VOLUMEN!$C$26),(1+SUP_VOLUMEN!$C$27)))*INDEX(SUP_C3_EXPANSION!$C$6:$F$6,MIN(4,COUNTIF(CAPA3_EXPANSION!$D$56:P$56,"&gt;="&amp;21)))*CAPA3_EXPANSION!P$36)</f>
        <v>0</v>
      </c>
      <c r="Q28" s="88">
        <f>IF(COUNTIF(CAPA3_EXPANSION!$D$56:Q$56,"&gt;="&amp;21)=0,0,SUP_CONTROL!$C$8*IF($B28="V",1,IF($B28="D",(1+SUP_VOLUMEN!$C$26),(1+SUP_VOLUMEN!$C$27)))*INDEX(SUP_C3_EXPANSION!$C$6:$F$6,MIN(4,COUNTIF(CAPA3_EXPANSION!$D$56:Q$56,"&gt;="&amp;21)))*CAPA3_EXPANSION!Q$36)</f>
        <v>0</v>
      </c>
      <c r="R28" s="88">
        <f>IF(COUNTIF(CAPA3_EXPANSION!$D$56:R$56,"&gt;="&amp;21)=0,0,SUP_CONTROL!$C$8*IF($B28="V",1,IF($B28="D",(1+SUP_VOLUMEN!$C$26),(1+SUP_VOLUMEN!$C$27)))*INDEX(SUP_C3_EXPANSION!$C$6:$F$6,MIN(4,COUNTIF(CAPA3_EXPANSION!$D$56:R$56,"&gt;="&amp;21)))*CAPA3_EXPANSION!R$36)</f>
        <v>0</v>
      </c>
      <c r="S28" s="88">
        <f>IF(COUNTIF(CAPA3_EXPANSION!$D$56:S$56,"&gt;="&amp;21)=0,0,SUP_CONTROL!$C$8*IF($B28="V",1,IF($B28="D",(1+SUP_VOLUMEN!$C$26),(1+SUP_VOLUMEN!$C$27)))*INDEX(SUP_C3_EXPANSION!$C$6:$F$6,MIN(4,COUNTIF(CAPA3_EXPANSION!$D$56:S$56,"&gt;="&amp;21)))*CAPA3_EXPANSION!S$36)</f>
        <v>0</v>
      </c>
      <c r="T28" s="88">
        <f>IF(COUNTIF(CAPA3_EXPANSION!$D$56:T$56,"&gt;="&amp;21)=0,0,SUP_CONTROL!$C$8*IF($B28="V",1,IF($B28="D",(1+SUP_VOLUMEN!$C$26),(1+SUP_VOLUMEN!$C$27)))*INDEX(SUP_C3_EXPANSION!$C$6:$F$6,MIN(4,COUNTIF(CAPA3_EXPANSION!$D$56:T$56,"&gt;="&amp;21)))*CAPA3_EXPANSION!T$36)</f>
        <v>0</v>
      </c>
      <c r="U28" s="88">
        <f>IF(COUNTIF(CAPA3_EXPANSION!$D$56:U$56,"&gt;="&amp;21)=0,0,SUP_CONTROL!$C$8*IF($B28="V",1,IF($B28="D",(1+SUP_VOLUMEN!$C$26),(1+SUP_VOLUMEN!$C$27)))*INDEX(SUP_C3_EXPANSION!$C$6:$F$6,MIN(4,COUNTIF(CAPA3_EXPANSION!$D$56:U$56,"&gt;="&amp;21)))*CAPA3_EXPANSION!U$36)</f>
        <v>0</v>
      </c>
      <c r="V28" s="88">
        <f>IF(COUNTIF(CAPA3_EXPANSION!$D$56:V$56,"&gt;="&amp;21)=0,0,SUP_CONTROL!$C$8*IF($B28="V",1,IF($B28="D",(1+SUP_VOLUMEN!$C$26),(1+SUP_VOLUMEN!$C$27)))*INDEX(SUP_C3_EXPANSION!$C$6:$F$6,MIN(4,COUNTIF(CAPA3_EXPANSION!$D$56:V$56,"&gt;="&amp;21)))*CAPA3_EXPANSION!V$36)</f>
        <v>0</v>
      </c>
      <c r="W28" s="88">
        <f>IF(COUNTIF(CAPA3_EXPANSION!$D$56:W$56,"&gt;="&amp;21)=0,0,SUP_CONTROL!$C$8*IF($B28="V",1,IF($B28="D",(1+SUP_VOLUMEN!$C$26),(1+SUP_VOLUMEN!$C$27)))*INDEX(SUP_C3_EXPANSION!$C$6:$F$6,MIN(4,COUNTIF(CAPA3_EXPANSION!$D$56:W$56,"&gt;="&amp;21)))*CAPA3_EXPANSION!W$36)</f>
        <v>0</v>
      </c>
      <c r="X28" s="88">
        <f>IF(COUNTIF(CAPA3_EXPANSION!$D$56:X$56,"&gt;="&amp;21)=0,0,SUP_CONTROL!$C$8*IF($B28="V",1,IF($B28="D",(1+SUP_VOLUMEN!$C$26),(1+SUP_VOLUMEN!$C$27)))*INDEX(SUP_C3_EXPANSION!$C$6:$F$6,MIN(4,COUNTIF(CAPA3_EXPANSION!$D$56:X$56,"&gt;="&amp;21)))*CAPA3_EXPANSION!X$36)</f>
        <v>0</v>
      </c>
      <c r="Y28" s="88">
        <f>IF(COUNTIF(CAPA3_EXPANSION!$D$56:Y$56,"&gt;="&amp;21)=0,0,SUP_CONTROL!$C$8*IF($B28="V",1,IF($B28="D",(1+SUP_VOLUMEN!$C$26),(1+SUP_VOLUMEN!$C$27)))*INDEX(SUP_C3_EXPANSION!$C$6:$F$6,MIN(4,COUNTIF(CAPA3_EXPANSION!$D$56:Y$56,"&gt;="&amp;21)))*CAPA3_EXPANSION!Y$36)</f>
        <v>0</v>
      </c>
      <c r="Z28" s="88">
        <f>IF(COUNTIF(CAPA3_EXPANSION!$D$56:Z$56,"&gt;="&amp;21)=0,0,SUP_CONTROL!$C$8*IF($B28="V",1,IF($B28="D",(1+SUP_VOLUMEN!$C$26),(1+SUP_VOLUMEN!$C$27)))*INDEX(SUP_C3_EXPANSION!$C$6:$F$6,MIN(4,COUNTIF(CAPA3_EXPANSION!$D$56:Z$56,"&gt;="&amp;21)))*CAPA3_EXPANSION!Z$36)</f>
        <v>0</v>
      </c>
      <c r="AA28" s="88">
        <f>IF(COUNTIF(CAPA3_EXPANSION!$D$56:AA$56,"&gt;="&amp;21)=0,0,SUP_CONTROL!$C$8*IF($B28="V",1,IF($B28="D",(1+SUP_VOLUMEN!$C$26),(1+SUP_VOLUMEN!$C$27)))*INDEX(SUP_C3_EXPANSION!$C$6:$F$6,MIN(4,COUNTIF(CAPA3_EXPANSION!$D$56:AA$56,"&gt;="&amp;21)))*CAPA3_EXPANSION!AA$36)</f>
        <v>0</v>
      </c>
      <c r="AB28" s="88">
        <f>IF(COUNTIF(CAPA3_EXPANSION!$D$56:AB$56,"&gt;="&amp;21)=0,0,SUP_CONTROL!$C$8*IF($B28="V",1,IF($B28="D",(1+SUP_VOLUMEN!$C$26),(1+SUP_VOLUMEN!$C$27)))*INDEX(SUP_C3_EXPANSION!$C$6:$F$6,MIN(4,COUNTIF(CAPA3_EXPANSION!$D$56:AB$56,"&gt;="&amp;21)))*CAPA3_EXPANSION!AB$36)</f>
        <v>0</v>
      </c>
      <c r="AC28" s="88">
        <f>IF(COUNTIF(CAPA3_EXPANSION!$D$56:AC$56,"&gt;="&amp;21)=0,0,SUP_CONTROL!$C$8*IF($B28="V",1,IF($B28="D",(1+SUP_VOLUMEN!$C$26),(1+SUP_VOLUMEN!$C$27)))*INDEX(SUP_C3_EXPANSION!$C$6:$F$6,MIN(4,COUNTIF(CAPA3_EXPANSION!$D$56:AC$56,"&gt;="&amp;21)))*CAPA3_EXPANSION!AC$36)</f>
        <v>0</v>
      </c>
      <c r="AD28" s="88">
        <f>IF(COUNTIF(CAPA3_EXPANSION!$D$56:AD$56,"&gt;="&amp;21)=0,0,SUP_CONTROL!$C$8*IF($B28="V",1,IF($B28="D",(1+SUP_VOLUMEN!$C$26),(1+SUP_VOLUMEN!$C$27)))*INDEX(SUP_C3_EXPANSION!$C$6:$F$6,MIN(4,COUNTIF(CAPA3_EXPANSION!$D$56:AD$56,"&gt;="&amp;21)))*CAPA3_EXPANSION!AD$36)</f>
        <v>0</v>
      </c>
      <c r="AE28" s="88">
        <f>IF(COUNTIF(CAPA3_EXPANSION!$D$56:AE$56,"&gt;="&amp;21)=0,0,SUP_CONTROL!$C$8*IF($B28="V",1,IF($B28="D",(1+SUP_VOLUMEN!$C$26),(1+SUP_VOLUMEN!$C$27)))*INDEX(SUP_C3_EXPANSION!$C$6:$F$6,MIN(4,COUNTIF(CAPA3_EXPANSION!$D$56:AE$56,"&gt;="&amp;21)))*CAPA3_EXPANSION!AE$36)</f>
        <v>0</v>
      </c>
      <c r="AF28" s="88">
        <f>IF(COUNTIF(CAPA3_EXPANSION!$D$56:AF$56,"&gt;="&amp;21)=0,0,SUP_CONTROL!$C$8*IF($B28="V",1,IF($B28="D",(1+SUP_VOLUMEN!$C$26),(1+SUP_VOLUMEN!$C$27)))*INDEX(SUP_C3_EXPANSION!$C$6:$F$6,MIN(4,COUNTIF(CAPA3_EXPANSION!$D$56:AF$56,"&gt;="&amp;21)))*CAPA3_EXPANSION!AF$36)</f>
        <v>0</v>
      </c>
      <c r="AG28" s="88">
        <f>IF(COUNTIF(CAPA3_EXPANSION!$D$56:AG$56,"&gt;="&amp;21)=0,0,SUP_CONTROL!$C$8*IF($B28="V",1,IF($B28="D",(1+SUP_VOLUMEN!$C$26),(1+SUP_VOLUMEN!$C$27)))*INDEX(SUP_C3_EXPANSION!$C$6:$F$6,MIN(4,COUNTIF(CAPA3_EXPANSION!$D$56:AG$56,"&gt;="&amp;21)))*CAPA3_EXPANSION!AG$36)</f>
        <v>0</v>
      </c>
      <c r="AH28" s="88">
        <f>IF(COUNTIF(CAPA3_EXPANSION!$D$56:AH$56,"&gt;="&amp;21)=0,0,SUP_CONTROL!$C$8*IF($B28="V",1,IF($B28="D",(1+SUP_VOLUMEN!$C$26),(1+SUP_VOLUMEN!$C$27)))*INDEX(SUP_C3_EXPANSION!$C$6:$F$6,MIN(4,COUNTIF(CAPA3_EXPANSION!$D$56:AH$56,"&gt;="&amp;21)))*CAPA3_EXPANSION!AH$36)</f>
        <v>0</v>
      </c>
      <c r="AI28" s="88">
        <f>IF(COUNTIF(CAPA3_EXPANSION!$D$56:AI$56,"&gt;="&amp;21)=0,0,SUP_CONTROL!$C$8*IF($B28="V",1,IF($B28="D",(1+SUP_VOLUMEN!$C$26),(1+SUP_VOLUMEN!$C$27)))*INDEX(SUP_C3_EXPANSION!$C$6:$F$6,MIN(4,COUNTIF(CAPA3_EXPANSION!$D$56:AI$56,"&gt;="&amp;21)))*CAPA3_EXPANSION!AI$36)</f>
        <v>0</v>
      </c>
      <c r="AJ28" s="88">
        <f>IF(COUNTIF(CAPA3_EXPANSION!$D$56:AJ$56,"&gt;="&amp;21)=0,0,SUP_CONTROL!$C$8*IF($B28="V",1,IF($B28="D",(1+SUP_VOLUMEN!$C$26),(1+SUP_VOLUMEN!$C$27)))*INDEX(SUP_C3_EXPANSION!$C$6:$F$6,MIN(4,COUNTIF(CAPA3_EXPANSION!$D$56:AJ$56,"&gt;="&amp;21)))*CAPA3_EXPANSION!AJ$36)</f>
        <v>0</v>
      </c>
      <c r="AK28" s="88">
        <f>IF(COUNTIF(CAPA3_EXPANSION!$D$56:AK$56,"&gt;="&amp;21)=0,0,SUP_CONTROL!$C$8*IF($B28="V",1,IF($B28="D",(1+SUP_VOLUMEN!$C$26),(1+SUP_VOLUMEN!$C$27)))*INDEX(SUP_C3_EXPANSION!$C$6:$F$6,MIN(4,COUNTIF(CAPA3_EXPANSION!$D$56:AK$56,"&gt;="&amp;21)))*CAPA3_EXPANSION!AK$36)</f>
        <v>0</v>
      </c>
      <c r="AL28" s="88">
        <f>IF(COUNTIF(CAPA3_EXPANSION!$D$56:AL$56,"&gt;="&amp;21)=0,0,SUP_CONTROL!$C$8*IF($B28="V",1,IF($B28="D",(1+SUP_VOLUMEN!$C$26),(1+SUP_VOLUMEN!$C$27)))*INDEX(SUP_C3_EXPANSION!$C$6:$F$6,MIN(4,COUNTIF(CAPA3_EXPANSION!$D$56:AL$56,"&gt;="&amp;21)))*CAPA3_EXPANSION!AL$36)</f>
        <v>0</v>
      </c>
      <c r="AM28" s="88">
        <f>IF(COUNTIF(CAPA3_EXPANSION!$D$56:AM$56,"&gt;="&amp;21)=0,0,SUP_CONTROL!$C$8*IF($B28="V",1,IF($B28="D",(1+SUP_VOLUMEN!$C$26),(1+SUP_VOLUMEN!$C$27)))*INDEX(SUP_C3_EXPANSION!$C$6:$F$6,MIN(4,COUNTIF(CAPA3_EXPANSION!$D$56:AM$56,"&gt;="&amp;21)))*CAPA3_EXPANSION!AM$36)</f>
        <v>0</v>
      </c>
      <c r="AN28" s="88">
        <f>IF(COUNTIF(CAPA3_EXPANSION!$D$56:AN$56,"&gt;="&amp;21)=0,0,SUP_CONTROL!$C$8*IF($B28="V",1,IF($B28="D",(1+SUP_VOLUMEN!$C$26),(1+SUP_VOLUMEN!$C$27)))*INDEX(SUP_C3_EXPANSION!$C$6:$F$6,MIN(4,COUNTIF(CAPA3_EXPANSION!$D$56:AN$56,"&gt;="&amp;21)))*CAPA3_EXPANSION!AN$36)</f>
        <v>0</v>
      </c>
      <c r="AO28" s="88">
        <f>IF(COUNTIF(CAPA3_EXPANSION!$D$56:AO$56,"&gt;="&amp;21)=0,0,SUP_CONTROL!$C$8*IF($B28="V",1,IF($B28="D",(1+SUP_VOLUMEN!$C$26),(1+SUP_VOLUMEN!$C$27)))*INDEX(SUP_C3_EXPANSION!$C$6:$F$6,MIN(4,COUNTIF(CAPA3_EXPANSION!$D$56:AO$56,"&gt;="&amp;21)))*CAPA3_EXPANSION!AO$36)</f>
        <v>0</v>
      </c>
      <c r="AP28" s="88">
        <f>IF(COUNTIF(CAPA3_EXPANSION!$D$56:AP$56,"&gt;="&amp;21)=0,0,SUP_CONTROL!$C$8*IF($B28="V",1,IF($B28="D",(1+SUP_VOLUMEN!$C$26),(1+SUP_VOLUMEN!$C$27)))*INDEX(SUP_C3_EXPANSION!$C$6:$F$6,MIN(4,COUNTIF(CAPA3_EXPANSION!$D$56:AP$56,"&gt;="&amp;21)))*CAPA3_EXPANSION!AP$36)</f>
        <v>0</v>
      </c>
      <c r="AQ28" s="88">
        <f>IF(COUNTIF(CAPA3_EXPANSION!$D$56:AQ$56,"&gt;="&amp;21)=0,0,SUP_CONTROL!$C$8*IF($B28="V",1,IF($B28="D",(1+SUP_VOLUMEN!$C$26),(1+SUP_VOLUMEN!$C$27)))*INDEX(SUP_C3_EXPANSION!$C$6:$F$6,MIN(4,COUNTIF(CAPA3_EXPANSION!$D$56:AQ$56,"&gt;="&amp;21)))*CAPA3_EXPANSION!AQ$36)</f>
        <v>0</v>
      </c>
      <c r="AR28" s="88">
        <f>IF(COUNTIF(CAPA3_EXPANSION!$D$56:AR$56,"&gt;="&amp;21)=0,0,SUP_CONTROL!$C$8*IF($B28="V",1,IF($B28="D",(1+SUP_VOLUMEN!$C$26),(1+SUP_VOLUMEN!$C$27)))*INDEX(SUP_C3_EXPANSION!$C$6:$F$6,MIN(4,COUNTIF(CAPA3_EXPANSION!$D$56:AR$56,"&gt;="&amp;21)))*CAPA3_EXPANSION!AR$36)</f>
        <v>0</v>
      </c>
      <c r="AS28" s="88">
        <f>IF(COUNTIF(CAPA3_EXPANSION!$D$56:AS$56,"&gt;="&amp;21)=0,0,SUP_CONTROL!$C$8*IF($B28="V",1,IF($B28="D",(1+SUP_VOLUMEN!$C$26),(1+SUP_VOLUMEN!$C$27)))*INDEX(SUP_C3_EXPANSION!$C$6:$F$6,MIN(4,COUNTIF(CAPA3_EXPANSION!$D$56:AS$56,"&gt;="&amp;21)))*CAPA3_EXPANSION!AS$36)</f>
        <v>0</v>
      </c>
      <c r="AT28" s="88">
        <f>IF(COUNTIF(CAPA3_EXPANSION!$D$56:AT$56,"&gt;="&amp;21)=0,0,SUP_CONTROL!$C$8*IF($B28="V",1,IF($B28="D",(1+SUP_VOLUMEN!$C$26),(1+SUP_VOLUMEN!$C$27)))*INDEX(SUP_C3_EXPANSION!$C$6:$F$6,MIN(4,COUNTIF(CAPA3_EXPANSION!$D$56:AT$56,"&gt;="&amp;21)))*CAPA3_EXPANSION!AT$36)</f>
        <v>0</v>
      </c>
      <c r="AU28" s="88">
        <f>IF(COUNTIF(CAPA3_EXPANSION!$D$56:AU$56,"&gt;="&amp;21)=0,0,SUP_CONTROL!$C$8*IF($B28="V",1,IF($B28="D",(1+SUP_VOLUMEN!$C$26),(1+SUP_VOLUMEN!$C$27)))*INDEX(SUP_C3_EXPANSION!$C$6:$F$6,MIN(4,COUNTIF(CAPA3_EXPANSION!$D$56:AU$56,"&gt;="&amp;21)))*CAPA3_EXPANSION!AU$36)</f>
        <v>0</v>
      </c>
      <c r="AV28" s="88">
        <f>IF(COUNTIF(CAPA3_EXPANSION!$D$56:AV$56,"&gt;="&amp;21)=0,0,SUP_CONTROL!$C$8*IF($B28="V",1,IF($B28="D",(1+SUP_VOLUMEN!$C$26),(1+SUP_VOLUMEN!$C$27)))*INDEX(SUP_C3_EXPANSION!$C$6:$F$6,MIN(4,COUNTIF(CAPA3_EXPANSION!$D$56:AV$56,"&gt;="&amp;21)))*CAPA3_EXPANSION!AV$36)</f>
        <v>0</v>
      </c>
      <c r="AW28" s="88">
        <f>IF(COUNTIF(CAPA3_EXPANSION!$D$56:AW$56,"&gt;="&amp;21)=0,0,SUP_CONTROL!$C$8*IF($B28="V",1,IF($B28="D",(1+SUP_VOLUMEN!$C$26),(1+SUP_VOLUMEN!$C$27)))*INDEX(SUP_C3_EXPANSION!$C$6:$F$6,MIN(4,COUNTIF(CAPA3_EXPANSION!$D$56:AW$56,"&gt;="&amp;21)))*CAPA3_EXPANSION!AW$36)</f>
        <v>0</v>
      </c>
      <c r="AX28" s="88">
        <f>IF(COUNTIF(CAPA3_EXPANSION!$D$56:AX$56,"&gt;="&amp;21)=0,0,SUP_CONTROL!$C$8*IF($B28="V",1,IF($B28="D",(1+SUP_VOLUMEN!$C$26),(1+SUP_VOLUMEN!$C$27)))*INDEX(SUP_C3_EXPANSION!$C$6:$F$6,MIN(4,COUNTIF(CAPA3_EXPANSION!$D$56:AX$56,"&gt;="&amp;21)))*CAPA3_EXPANSION!AX$36)</f>
        <v>0</v>
      </c>
      <c r="AY28" s="88">
        <f>IF(COUNTIF(CAPA3_EXPANSION!$D$56:AY$56,"&gt;="&amp;21)=0,0,SUP_CONTROL!$C$8*IF($B28="V",1,IF($B28="D",(1+SUP_VOLUMEN!$C$26),(1+SUP_VOLUMEN!$C$27)))*INDEX(SUP_C3_EXPANSION!$C$6:$F$6,MIN(4,COUNTIF(CAPA3_EXPANSION!$D$56:AY$56,"&gt;="&amp;21)))*CAPA3_EXPANSION!AY$36)</f>
        <v>0</v>
      </c>
      <c r="AZ28" s="88">
        <f>IF(COUNTIF(CAPA3_EXPANSION!$D$56:AZ$56,"&gt;="&amp;21)=0,0,SUP_CONTROL!$C$8*IF($B28="V",1,IF($B28="D",(1+SUP_VOLUMEN!$C$26),(1+SUP_VOLUMEN!$C$27)))*INDEX(SUP_C3_EXPANSION!$C$6:$F$6,MIN(4,COUNTIF(CAPA3_EXPANSION!$D$56:AZ$56,"&gt;="&amp;21)))*CAPA3_EXPANSION!AZ$36)</f>
        <v>0</v>
      </c>
      <c r="BA28" s="88">
        <f>IF(COUNTIF(CAPA3_EXPANSION!$D$56:BA$56,"&gt;="&amp;21)=0,0,SUP_CONTROL!$C$8*IF($B28="V",1,IF($B28="D",(1+SUP_VOLUMEN!$C$26),(1+SUP_VOLUMEN!$C$27)))*INDEX(SUP_C3_EXPANSION!$C$6:$F$6,MIN(4,COUNTIF(CAPA3_EXPANSION!$D$56:BA$56,"&gt;="&amp;21)))*CAPA3_EXPANSION!BA$36)</f>
        <v>0</v>
      </c>
      <c r="BB28" s="88">
        <f>IF(COUNTIF(CAPA3_EXPANSION!$D$56:BB$56,"&gt;="&amp;21)=0,0,SUP_CONTROL!$C$8*IF($B28="V",1,IF($B28="D",(1+SUP_VOLUMEN!$C$26),(1+SUP_VOLUMEN!$C$27)))*INDEX(SUP_C3_EXPANSION!$C$6:$F$6,MIN(4,COUNTIF(CAPA3_EXPANSION!$D$56:BB$56,"&gt;="&amp;21)))*CAPA3_EXPANSION!BB$36)</f>
        <v>0</v>
      </c>
      <c r="BC28" s="88">
        <f>IF(COUNTIF(CAPA3_EXPANSION!$D$56:BC$56,"&gt;="&amp;21)=0,0,SUP_CONTROL!$C$8*IF($B28="V",1,IF($B28="D",(1+SUP_VOLUMEN!$C$26),(1+SUP_VOLUMEN!$C$27)))*INDEX(SUP_C3_EXPANSION!$C$6:$F$6,MIN(4,COUNTIF(CAPA3_EXPANSION!$D$56:BC$56,"&gt;="&amp;21)))*CAPA3_EXPANSION!BC$36)</f>
        <v>0</v>
      </c>
      <c r="BD28" s="88">
        <f>IF(COUNTIF(CAPA3_EXPANSION!$D$56:BD$56,"&gt;="&amp;21)=0,0,SUP_CONTROL!$C$8*IF($B28="V",1,IF($B28="D",(1+SUP_VOLUMEN!$C$26),(1+SUP_VOLUMEN!$C$27)))*INDEX(SUP_C3_EXPANSION!$C$6:$F$6,MIN(4,COUNTIF(CAPA3_EXPANSION!$D$56:BD$56,"&gt;="&amp;21)))*CAPA3_EXPANSION!BD$36)</f>
        <v>0</v>
      </c>
      <c r="BE28" s="88">
        <f>IF(COUNTIF(CAPA3_EXPANSION!$D$56:BE$56,"&gt;="&amp;21)=0,0,SUP_CONTROL!$C$8*IF($B28="V",1,IF($B28="D",(1+SUP_VOLUMEN!$C$26),(1+SUP_VOLUMEN!$C$27)))*INDEX(SUP_C3_EXPANSION!$C$6:$F$6,MIN(4,COUNTIF(CAPA3_EXPANSION!$D$56:BE$56,"&gt;="&amp;21)))*CAPA3_EXPANSION!BE$36)</f>
        <v>0</v>
      </c>
      <c r="BF28" s="88">
        <f>IF(COUNTIF(CAPA3_EXPANSION!$D$56:BF$56,"&gt;="&amp;21)=0,0,SUP_CONTROL!$C$8*IF($B28="V",1,IF($B28="D",(1+SUP_VOLUMEN!$C$26),(1+SUP_VOLUMEN!$C$27)))*INDEX(SUP_C3_EXPANSION!$C$6:$F$6,MIN(4,COUNTIF(CAPA3_EXPANSION!$D$56:BF$56,"&gt;="&amp;21)))*CAPA3_EXPANSION!BF$36)</f>
        <v>0</v>
      </c>
      <c r="BG28" s="88">
        <f>IF(COUNTIF(CAPA3_EXPANSION!$D$56:BG$56,"&gt;="&amp;21)=0,0,SUP_CONTROL!$C$8*IF($B28="V",1,IF($B28="D",(1+SUP_VOLUMEN!$C$26),(1+SUP_VOLUMEN!$C$27)))*INDEX(SUP_C3_EXPANSION!$C$6:$F$6,MIN(4,COUNTIF(CAPA3_EXPANSION!$D$56:BG$56,"&gt;="&amp;21)))*CAPA3_EXPANSION!BG$36)</f>
        <v>0</v>
      </c>
      <c r="BH28" s="88">
        <f>IF(COUNTIF(CAPA3_EXPANSION!$D$56:BH$56,"&gt;="&amp;21)=0,0,SUP_CONTROL!$C$8*IF($B28="V",1,IF($B28="D",(1+SUP_VOLUMEN!$C$26),(1+SUP_VOLUMEN!$C$27)))*INDEX(SUP_C3_EXPANSION!$C$6:$F$6,MIN(4,COUNTIF(CAPA3_EXPANSION!$D$56:BH$56,"&gt;="&amp;21)))*CAPA3_EXPANSION!BH$36)</f>
        <v>0</v>
      </c>
      <c r="BI28" s="88">
        <f>IF(COUNTIF(CAPA3_EXPANSION!$D$56:BI$56,"&gt;="&amp;21)=0,0,SUP_CONTROL!$C$8*IF($B28="V",1,IF($B28="D",(1+SUP_VOLUMEN!$C$26),(1+SUP_VOLUMEN!$C$27)))*INDEX(SUP_C3_EXPANSION!$C$6:$F$6,MIN(4,COUNTIF(CAPA3_EXPANSION!$D$56:BI$56,"&gt;="&amp;21)))*CAPA3_EXPANSION!BI$36)</f>
        <v>0</v>
      </c>
      <c r="BJ28" s="88">
        <f>IF(COUNTIF(CAPA3_EXPANSION!$D$56:BJ$56,"&gt;="&amp;21)=0,0,SUP_CONTROL!$C$8*IF($B28="V",1,IF($B28="D",(1+SUP_VOLUMEN!$C$26),(1+SUP_VOLUMEN!$C$27)))*INDEX(SUP_C3_EXPANSION!$C$6:$F$6,MIN(4,COUNTIF(CAPA3_EXPANSION!$D$56:BJ$56,"&gt;="&amp;21)))*CAPA3_EXPANSION!BJ$36)</f>
        <v>2560.6035000000002</v>
      </c>
      <c r="BK28" s="88">
        <f>IF(COUNTIF(CAPA3_EXPANSION!$D$56:BK$56,"&gt;="&amp;21)=0,0,SUP_CONTROL!$C$8*IF($B28="V",1,IF($B28="D",(1+SUP_VOLUMEN!$C$26),(1+SUP_VOLUMEN!$C$27)))*INDEX(SUP_C3_EXPANSION!$C$6:$F$6,MIN(4,COUNTIF(CAPA3_EXPANSION!$D$56:BK$56,"&gt;="&amp;21)))*CAPA3_EXPANSION!BK$36)</f>
        <v>3081.4784000000004</v>
      </c>
      <c r="BL28" s="88">
        <f>IF(COUNTIF(CAPA3_EXPANSION!$D$56:BL$56,"&gt;="&amp;21)=0,0,SUP_CONTROL!$C$8*IF($B28="V",1,IF($B28="D",(1+SUP_VOLUMEN!$C$26),(1+SUP_VOLUMEN!$C$27)))*INDEX(SUP_C3_EXPANSION!$C$6:$F$6,MIN(4,COUNTIF(CAPA3_EXPANSION!$D$56:BL$56,"&gt;="&amp;21)))*CAPA3_EXPANSION!BL$36)</f>
        <v>3466.6632000000004</v>
      </c>
      <c r="BM28" s="88">
        <f>IF(COUNTIF(CAPA3_EXPANSION!$D$56:BM$56,"&gt;="&amp;21)=0,0,SUP_CONTROL!$C$8*IF($B28="V",1,IF($B28="D",(1+SUP_VOLUMEN!$C$26),(1+SUP_VOLUMEN!$C$27)))*INDEX(SUP_C3_EXPANSION!$C$6:$F$6,MIN(4,COUNTIF(CAPA3_EXPANSION!$D$56:BM$56,"&gt;="&amp;21)))*CAPA3_EXPANSION!BM$36)</f>
        <v>3851.8480000000004</v>
      </c>
      <c r="BN28" s="88">
        <f>IF(COUNTIF(CAPA3_EXPANSION!$D$56:BN$56,"&gt;="&amp;21)=0,0,SUP_CONTROL!$C$8*IF($B28="V",1,IF($B28="D",(1+SUP_VOLUMEN!$C$26),(1+SUP_VOLUMEN!$C$27)))*INDEX(SUP_C3_EXPANSION!$C$6:$F$6,MIN(4,COUNTIF(CAPA3_EXPANSION!$D$56:BN$56,"&gt;="&amp;21)))*CAPA3_EXPANSION!BN$36)</f>
        <v>3851.8480000000004</v>
      </c>
      <c r="BO28" s="88">
        <f>IF(COUNTIF(CAPA3_EXPANSION!$D$56:BO$56,"&gt;="&amp;21)=0,0,SUP_CONTROL!$C$8*IF($B28="V",1,IF($B28="D",(1+SUP_VOLUMEN!$C$26),(1+SUP_VOLUMEN!$C$27)))*INDEX(SUP_C3_EXPANSION!$C$6:$F$6,MIN(4,COUNTIF(CAPA3_EXPANSION!$D$56:BO$56,"&gt;="&amp;21)))*CAPA3_EXPANSION!BO$36)</f>
        <v>3851.8480000000004</v>
      </c>
      <c r="BP28" s="88">
        <f>IF(COUNTIF(CAPA3_EXPANSION!$D$56:BP$56,"&gt;="&amp;21)=0,0,SUP_CONTROL!$C$8*IF($B28="V",1,IF($B28="D",(1+SUP_VOLUMEN!$C$26),(1+SUP_VOLUMEN!$C$27)))*INDEX(SUP_C3_EXPANSION!$C$6:$F$6,MIN(4,COUNTIF(CAPA3_EXPANSION!$D$56:BP$56,"&gt;="&amp;21)))*CAPA3_EXPANSION!BP$36)</f>
        <v>3786.1915000000004</v>
      </c>
      <c r="BQ28" s="88">
        <f>IF(COUNTIF(CAPA3_EXPANSION!$D$56:BQ$56,"&gt;="&amp;21)=0,0,SUP_CONTROL!$C$8*IF($B28="V",1,IF($B28="D",(1+SUP_VOLUMEN!$C$26),(1+SUP_VOLUMEN!$C$27)))*INDEX(SUP_C3_EXPANSION!$C$6:$F$6,MIN(4,COUNTIF(CAPA3_EXPANSION!$D$56:BQ$56,"&gt;="&amp;21)))*CAPA3_EXPANSION!BQ$36)</f>
        <v>3786.1915000000004</v>
      </c>
      <c r="BR28" s="88">
        <f>IF(COUNTIF(CAPA3_EXPANSION!$D$56:BR$56,"&gt;="&amp;21)=0,0,SUP_CONTROL!$C$8*IF($B28="V",1,IF($B28="D",(1+SUP_VOLUMEN!$C$26),(1+SUP_VOLUMEN!$C$27)))*INDEX(SUP_C3_EXPANSION!$C$6:$F$6,MIN(4,COUNTIF(CAPA3_EXPANSION!$D$56:BR$56,"&gt;="&amp;21)))*CAPA3_EXPANSION!BR$36)</f>
        <v>3786.1915000000004</v>
      </c>
      <c r="BS28" s="88">
        <f>IF(COUNTIF(CAPA3_EXPANSION!$D$56:BS$56,"&gt;="&amp;21)=0,0,SUP_CONTROL!$C$8*IF($B28="V",1,IF($B28="D",(1+SUP_VOLUMEN!$C$26),(1+SUP_VOLUMEN!$C$27)))*INDEX(SUP_C3_EXPANSION!$C$6:$F$6,MIN(4,COUNTIF(CAPA3_EXPANSION!$D$56:BS$56,"&gt;="&amp;21)))*CAPA3_EXPANSION!BS$36)</f>
        <v>3786.1915000000004</v>
      </c>
      <c r="BT28" s="88">
        <f>IF(COUNTIF(CAPA3_EXPANSION!$D$56:BT$56,"&gt;="&amp;21)=0,0,SUP_CONTROL!$C$8*IF($B28="V",1,IF($B28="D",(1+SUP_VOLUMEN!$C$26),(1+SUP_VOLUMEN!$C$27)))*INDEX(SUP_C3_EXPANSION!$C$6:$F$6,MIN(4,COUNTIF(CAPA3_EXPANSION!$D$56:BT$56,"&gt;="&amp;21)))*CAPA3_EXPANSION!BT$36)</f>
        <v>3786.1915000000004</v>
      </c>
      <c r="BU28" s="88">
        <f>IF(COUNTIF(CAPA3_EXPANSION!$D$56:BU$56,"&gt;="&amp;21)=0,0,SUP_CONTROL!$C$8*IF($B28="V",1,IF($B28="D",(1+SUP_VOLUMEN!$C$26),(1+SUP_VOLUMEN!$C$27)))*INDEX(SUP_C3_EXPANSION!$C$6:$F$6,MIN(4,COUNTIF(CAPA3_EXPANSION!$D$56:BU$56,"&gt;="&amp;21)))*CAPA3_EXPANSION!BU$36)</f>
        <v>3720.5350000000003</v>
      </c>
      <c r="BV28" s="88">
        <f>IF(COUNTIF(CAPA3_EXPANSION!$D$56:BV$56,"&gt;="&amp;21)=0,0,SUP_CONTROL!$C$8*IF($B28="V",1,IF($B28="D",(1+SUP_VOLUMEN!$C$26),(1+SUP_VOLUMEN!$C$27)))*INDEX(SUP_C3_EXPANSION!$C$6:$F$6,MIN(4,COUNTIF(CAPA3_EXPANSION!$D$56:BV$56,"&gt;="&amp;21)))*CAPA3_EXPANSION!BV$36)</f>
        <v>3720.5350000000003</v>
      </c>
      <c r="BW28" s="88">
        <f>IF(COUNTIF(CAPA3_EXPANSION!$D$56:BW$56,"&gt;="&amp;21)=0,0,SUP_CONTROL!$C$8*IF($B28="V",1,IF($B28="D",(1+SUP_VOLUMEN!$C$26),(1+SUP_VOLUMEN!$C$27)))*INDEX(SUP_C3_EXPANSION!$C$6:$F$6,MIN(4,COUNTIF(CAPA3_EXPANSION!$D$56:BW$56,"&gt;="&amp;21)))*CAPA3_EXPANSION!BW$36)</f>
        <v>3720.5350000000003</v>
      </c>
      <c r="BX28" s="88">
        <f>IF(COUNTIF(CAPA3_EXPANSION!$D$56:BX$56,"&gt;="&amp;21)=0,0,SUP_CONTROL!$C$8*IF($B28="V",1,IF($B28="D",(1+SUP_VOLUMEN!$C$26),(1+SUP_VOLUMEN!$C$27)))*INDEX(SUP_C3_EXPANSION!$C$6:$F$6,MIN(4,COUNTIF(CAPA3_EXPANSION!$D$56:BX$56,"&gt;="&amp;21)))*CAPA3_EXPANSION!BX$36)</f>
        <v>3720.5350000000003</v>
      </c>
      <c r="BY28" s="88">
        <f>IF(COUNTIF(CAPA3_EXPANSION!$D$56:BY$56,"&gt;="&amp;21)=0,0,SUP_CONTROL!$C$8*IF($B28="V",1,IF($B28="D",(1+SUP_VOLUMEN!$C$26),(1+SUP_VOLUMEN!$C$27)))*INDEX(SUP_C3_EXPANSION!$C$6:$F$6,MIN(4,COUNTIF(CAPA3_EXPANSION!$D$56:BY$56,"&gt;="&amp;21)))*CAPA3_EXPANSION!BY$36)</f>
        <v>3720.5350000000003</v>
      </c>
      <c r="BZ28" s="88">
        <f>IF(COUNTIF(CAPA3_EXPANSION!$D$56:BZ$56,"&gt;="&amp;21)=0,0,SUP_CONTROL!$C$8*IF($B28="V",1,IF($B28="D",(1+SUP_VOLUMEN!$C$26),(1+SUP_VOLUMEN!$C$27)))*INDEX(SUP_C3_EXPANSION!$C$6:$F$6,MIN(4,COUNTIF(CAPA3_EXPANSION!$D$56:BZ$56,"&gt;="&amp;21)))*CAPA3_EXPANSION!BZ$36)</f>
        <v>3676.7640000000001</v>
      </c>
      <c r="CA28" s="88">
        <f>IF(COUNTIF(CAPA3_EXPANSION!$D$56:CA$56,"&gt;="&amp;21)=0,0,SUP_CONTROL!$C$8*IF($B28="V",1,IF($B28="D",(1+SUP_VOLUMEN!$C$26),(1+SUP_VOLUMEN!$C$27)))*INDEX(SUP_C3_EXPANSION!$C$6:$F$6,MIN(4,COUNTIF(CAPA3_EXPANSION!$D$56:CA$56,"&gt;="&amp;21)))*CAPA3_EXPANSION!CA$36)</f>
        <v>3676.7640000000001</v>
      </c>
      <c r="CB28" s="88">
        <f>IF(COUNTIF(CAPA3_EXPANSION!$D$56:CB$56,"&gt;="&amp;21)=0,0,SUP_CONTROL!$C$8*IF($B28="V",1,IF($B28="D",(1+SUP_VOLUMEN!$C$26),(1+SUP_VOLUMEN!$C$27)))*INDEX(SUP_C3_EXPANSION!$C$6:$F$6,MIN(4,COUNTIF(CAPA3_EXPANSION!$D$56:CB$56,"&gt;="&amp;21)))*CAPA3_EXPANSION!CB$36)</f>
        <v>3676.7640000000001</v>
      </c>
      <c r="CC28" s="88">
        <f>IF(COUNTIF(CAPA3_EXPANSION!$D$56:CC$56,"&gt;="&amp;21)=0,0,SUP_CONTROL!$C$8*IF($B28="V",1,IF($B28="D",(1+SUP_VOLUMEN!$C$26),(1+SUP_VOLUMEN!$C$27)))*INDEX(SUP_C3_EXPANSION!$C$6:$F$6,MIN(4,COUNTIF(CAPA3_EXPANSION!$D$56:CC$56,"&gt;="&amp;21)))*CAPA3_EXPANSION!CC$36)</f>
        <v>3676.7640000000001</v>
      </c>
      <c r="CD28" s="88">
        <f>IF(COUNTIF(CAPA3_EXPANSION!$D$56:CD$56,"&gt;="&amp;21)=0,0,SUP_CONTROL!$C$8*IF($B28="V",1,IF($B28="D",(1+SUP_VOLUMEN!$C$26),(1+SUP_VOLUMEN!$C$27)))*INDEX(SUP_C3_EXPANSION!$C$6:$F$6,MIN(4,COUNTIF(CAPA3_EXPANSION!$D$56:CD$56,"&gt;="&amp;21)))*CAPA3_EXPANSION!CD$36)</f>
        <v>3676.7640000000001</v>
      </c>
      <c r="CE28" s="88">
        <f>IF(COUNTIF(CAPA3_EXPANSION!$D$56:CE$56,"&gt;="&amp;21)=0,0,SUP_CONTROL!$C$8*IF($B28="V",1,IF($B28="D",(1+SUP_VOLUMEN!$C$26),(1+SUP_VOLUMEN!$C$27)))*INDEX(SUP_C3_EXPANSION!$C$6:$F$6,MIN(4,COUNTIF(CAPA3_EXPANSION!$D$56:CE$56,"&gt;="&amp;21)))*CAPA3_EXPANSION!CE$36)</f>
        <v>3676.7640000000001</v>
      </c>
      <c r="CF28" s="88">
        <f>IF(COUNTIF(CAPA3_EXPANSION!$D$56:CF$56,"&gt;="&amp;21)=0,0,SUP_CONTROL!$C$8*IF($B28="V",1,IF($B28="D",(1+SUP_VOLUMEN!$C$26),(1+SUP_VOLUMEN!$C$27)))*INDEX(SUP_C3_EXPANSION!$C$6:$F$6,MIN(4,COUNTIF(CAPA3_EXPANSION!$D$56:CF$56,"&gt;="&amp;21)))*CAPA3_EXPANSION!CF$36)</f>
        <v>3676.7640000000001</v>
      </c>
      <c r="CG28" s="88">
        <f>IF(COUNTIF(CAPA3_EXPANSION!$D$56:CG$56,"&gt;="&amp;21)=0,0,SUP_CONTROL!$C$8*IF($B28="V",1,IF($B28="D",(1+SUP_VOLUMEN!$C$26),(1+SUP_VOLUMEN!$C$27)))*INDEX(SUP_C3_EXPANSION!$C$6:$F$6,MIN(4,COUNTIF(CAPA3_EXPANSION!$D$56:CG$56,"&gt;="&amp;21)))*CAPA3_EXPANSION!CG$36)</f>
        <v>3676.7640000000001</v>
      </c>
      <c r="CH28" s="88">
        <f>IF(COUNTIF(CAPA3_EXPANSION!$D$56:CH$56,"&gt;="&amp;21)=0,0,SUP_CONTROL!$C$8*IF($B28="V",1,IF($B28="D",(1+SUP_VOLUMEN!$C$26),(1+SUP_VOLUMEN!$C$27)))*INDEX(SUP_C3_EXPANSION!$C$6:$F$6,MIN(4,COUNTIF(CAPA3_EXPANSION!$D$56:CH$56,"&gt;="&amp;21)))*CAPA3_EXPANSION!CH$36)</f>
        <v>3676.7640000000001</v>
      </c>
      <c r="CI28" s="88">
        <f>IF(COUNTIF(CAPA3_EXPANSION!$D$56:CI$56,"&gt;="&amp;21)=0,0,SUP_CONTROL!$C$8*IF($B28="V",1,IF($B28="D",(1+SUP_VOLUMEN!$C$26),(1+SUP_VOLUMEN!$C$27)))*INDEX(SUP_C3_EXPANSION!$C$6:$F$6,MIN(4,COUNTIF(CAPA3_EXPANSION!$D$56:CI$56,"&gt;="&amp;21)))*CAPA3_EXPANSION!CI$36)</f>
        <v>3676.7640000000001</v>
      </c>
      <c r="CJ28" s="88">
        <f>IF(COUNTIF(CAPA3_EXPANSION!$D$56:CJ$56,"&gt;="&amp;21)=0,0,SUP_CONTROL!$C$8*IF($B28="V",1,IF($B28="D",(1+SUP_VOLUMEN!$C$26),(1+SUP_VOLUMEN!$C$27)))*INDEX(SUP_C3_EXPANSION!$C$6:$F$6,MIN(4,COUNTIF(CAPA3_EXPANSION!$D$56:CJ$56,"&gt;="&amp;21)))*CAPA3_EXPANSION!CJ$36)</f>
        <v>3676.7640000000001</v>
      </c>
      <c r="CK28" s="88">
        <f>IF(COUNTIF(CAPA3_EXPANSION!$D$56:CK$56,"&gt;="&amp;21)=0,0,SUP_CONTROL!$C$8*IF($B28="V",1,IF($B28="D",(1+SUP_VOLUMEN!$C$26),(1+SUP_VOLUMEN!$C$27)))*INDEX(SUP_C3_EXPANSION!$C$6:$F$6,MIN(4,COUNTIF(CAPA3_EXPANSION!$D$56:CK$56,"&gt;="&amp;21)))*CAPA3_EXPANSION!CK$36)</f>
        <v>3676.7640000000001</v>
      </c>
      <c r="CL28" s="88">
        <f>IF(COUNTIF(CAPA3_EXPANSION!$D$56:CL$56,"&gt;="&amp;21)=0,0,SUP_CONTROL!$C$8*IF($B28="V",1,IF($B28="D",(1+SUP_VOLUMEN!$C$26),(1+SUP_VOLUMEN!$C$27)))*INDEX(SUP_C3_EXPANSION!$C$6:$F$6,MIN(4,COUNTIF(CAPA3_EXPANSION!$D$56:CL$56,"&gt;="&amp;21)))*CAPA3_EXPANSION!CL$36)</f>
        <v>3676.7640000000001</v>
      </c>
      <c r="CM28" s="88">
        <f>IF(COUNTIF(CAPA3_EXPANSION!$D$56:CM$56,"&gt;="&amp;21)=0,0,SUP_CONTROL!$C$8*IF($B28="V",1,IF($B28="D",(1+SUP_VOLUMEN!$C$26),(1+SUP_VOLUMEN!$C$27)))*INDEX(SUP_C3_EXPANSION!$C$6:$F$6,MIN(4,COUNTIF(CAPA3_EXPANSION!$D$56:CM$56,"&gt;="&amp;21)))*CAPA3_EXPANSION!CM$36)</f>
        <v>3676.7640000000001</v>
      </c>
      <c r="CN28" s="88">
        <f>IF(COUNTIF(CAPA3_EXPANSION!$D$56:CN$56,"&gt;="&amp;21)=0,0,SUP_CONTROL!$C$8*IF($B28="V",1,IF($B28="D",(1+SUP_VOLUMEN!$C$26),(1+SUP_VOLUMEN!$C$27)))*INDEX(SUP_C3_EXPANSION!$C$6:$F$6,MIN(4,COUNTIF(CAPA3_EXPANSION!$D$56:CN$56,"&gt;="&amp;21)))*CAPA3_EXPANSION!CN$36)</f>
        <v>3676.7640000000001</v>
      </c>
      <c r="CO28" s="88">
        <f>IF(COUNTIF(CAPA3_EXPANSION!$D$56:CO$56,"&gt;="&amp;21)=0,0,SUP_CONTROL!$C$8*IF($B28="V",1,IF($B28="D",(1+SUP_VOLUMEN!$C$26),(1+SUP_VOLUMEN!$C$27)))*INDEX(SUP_C3_EXPANSION!$C$6:$F$6,MIN(4,COUNTIF(CAPA3_EXPANSION!$D$56:CO$56,"&gt;="&amp;21)))*CAPA3_EXPANSION!CO$36)</f>
        <v>3676.7640000000001</v>
      </c>
      <c r="CP28" s="88">
        <f>IF(COUNTIF(CAPA3_EXPANSION!$D$56:CP$56,"&gt;="&amp;21)=0,0,SUP_CONTROL!$C$8*IF($B28="V",1,IF($B28="D",(1+SUP_VOLUMEN!$C$26),(1+SUP_VOLUMEN!$C$27)))*INDEX(SUP_C3_EXPANSION!$C$6:$F$6,MIN(4,COUNTIF(CAPA3_EXPANSION!$D$56:CP$56,"&gt;="&amp;21)))*CAPA3_EXPANSION!CP$36)</f>
        <v>3676.7640000000001</v>
      </c>
      <c r="CQ28" s="88">
        <f>IF(COUNTIF(CAPA3_EXPANSION!$D$56:CQ$56,"&gt;="&amp;21)=0,0,SUP_CONTROL!$C$8*IF($B28="V",1,IF($B28="D",(1+SUP_VOLUMEN!$C$26),(1+SUP_VOLUMEN!$C$27)))*INDEX(SUP_C3_EXPANSION!$C$6:$F$6,MIN(4,COUNTIF(CAPA3_EXPANSION!$D$56:CQ$56,"&gt;="&amp;21)))*CAPA3_EXPANSION!CQ$36)</f>
        <v>3676.7640000000001</v>
      </c>
      <c r="CR28" s="88">
        <f>IF(COUNTIF(CAPA3_EXPANSION!$D$56:CR$56,"&gt;="&amp;21)=0,0,SUP_CONTROL!$C$8*IF($B28="V",1,IF($B28="D",(1+SUP_VOLUMEN!$C$26),(1+SUP_VOLUMEN!$C$27)))*INDEX(SUP_C3_EXPANSION!$C$6:$F$6,MIN(4,COUNTIF(CAPA3_EXPANSION!$D$56:CR$56,"&gt;="&amp;21)))*CAPA3_EXPANSION!CR$36)</f>
        <v>3676.7640000000001</v>
      </c>
      <c r="CS28" s="88">
        <f>IF(COUNTIF(CAPA3_EXPANSION!$D$56:CS$56,"&gt;="&amp;21)=0,0,SUP_CONTROL!$C$8*IF($B28="V",1,IF($B28="D",(1+SUP_VOLUMEN!$C$26),(1+SUP_VOLUMEN!$C$27)))*INDEX(SUP_C3_EXPANSION!$C$6:$F$6,MIN(4,COUNTIF(CAPA3_EXPANSION!$D$56:CS$56,"&gt;="&amp;21)))*CAPA3_EXPANSION!CS$36)</f>
        <v>3676.7640000000001</v>
      </c>
      <c r="CT28" s="88">
        <f>IF(COUNTIF(CAPA3_EXPANSION!$D$56:CT$56,"&gt;="&amp;21)=0,0,SUP_CONTROL!$C$8*IF($B28="V",1,IF($B28="D",(1+SUP_VOLUMEN!$C$26),(1+SUP_VOLUMEN!$C$27)))*INDEX(SUP_C3_EXPANSION!$C$6:$F$6,MIN(4,COUNTIF(CAPA3_EXPANSION!$D$56:CT$56,"&gt;="&amp;21)))*CAPA3_EXPANSION!CT$36)</f>
        <v>3676.7640000000001</v>
      </c>
      <c r="CU28" s="88">
        <f>IF(COUNTIF(CAPA3_EXPANSION!$D$56:CU$56,"&gt;="&amp;21)=0,0,SUP_CONTROL!$C$8*IF($B28="V",1,IF($B28="D",(1+SUP_VOLUMEN!$C$26),(1+SUP_VOLUMEN!$C$27)))*INDEX(SUP_C3_EXPANSION!$C$6:$F$6,MIN(4,COUNTIF(CAPA3_EXPANSION!$D$56:CU$56,"&gt;="&amp;21)))*CAPA3_EXPANSION!CU$36)</f>
        <v>3676.7640000000001</v>
      </c>
      <c r="CV28" s="88">
        <f>IF(COUNTIF(CAPA3_EXPANSION!$D$56:CV$56,"&gt;="&amp;21)=0,0,SUP_CONTROL!$C$8*IF($B28="V",1,IF($B28="D",(1+SUP_VOLUMEN!$C$26),(1+SUP_VOLUMEN!$C$27)))*INDEX(SUP_C3_EXPANSION!$C$6:$F$6,MIN(4,COUNTIF(CAPA3_EXPANSION!$D$56:CV$56,"&gt;="&amp;21)))*CAPA3_EXPANSION!CV$36)</f>
        <v>3676.7640000000001</v>
      </c>
      <c r="CW28" s="88">
        <f>IF(COUNTIF(CAPA3_EXPANSION!$D$56:CW$56,"&gt;="&amp;21)=0,0,SUP_CONTROL!$C$8*IF($B28="V",1,IF($B28="D",(1+SUP_VOLUMEN!$C$26),(1+SUP_VOLUMEN!$C$27)))*INDEX(SUP_C3_EXPANSION!$C$6:$F$6,MIN(4,COUNTIF(CAPA3_EXPANSION!$D$56:CW$56,"&gt;="&amp;21)))*CAPA3_EXPANSION!CW$36)</f>
        <v>3676.7640000000001</v>
      </c>
      <c r="CX28" s="88">
        <f>IF(COUNTIF(CAPA3_EXPANSION!$D$56:CX$56,"&gt;="&amp;21)=0,0,SUP_CONTROL!$C$8*IF($B28="V",1,IF($B28="D",(1+SUP_VOLUMEN!$C$26),(1+SUP_VOLUMEN!$C$27)))*INDEX(SUP_C3_EXPANSION!$C$6:$F$6,MIN(4,COUNTIF(CAPA3_EXPANSION!$D$56:CX$56,"&gt;="&amp;21)))*CAPA3_EXPANSION!CX$36)</f>
        <v>3676.7640000000001</v>
      </c>
      <c r="CY28" s="88">
        <f>IF(COUNTIF(CAPA3_EXPANSION!$D$56:CY$56,"&gt;="&amp;21)=0,0,SUP_CONTROL!$C$8*IF($B28="V",1,IF($B28="D",(1+SUP_VOLUMEN!$C$26),(1+SUP_VOLUMEN!$C$27)))*INDEX(SUP_C3_EXPANSION!$C$6:$F$6,MIN(4,COUNTIF(CAPA3_EXPANSION!$D$56:CY$56,"&gt;="&amp;21)))*CAPA3_EXPANSION!CY$36)</f>
        <v>3676.7640000000001</v>
      </c>
      <c r="CZ28" s="88">
        <f>IF(COUNTIF(CAPA3_EXPANSION!$D$56:CZ$56,"&gt;="&amp;21)=0,0,SUP_CONTROL!$C$8*IF($B28="V",1,IF($B28="D",(1+SUP_VOLUMEN!$C$26),(1+SUP_VOLUMEN!$C$27)))*INDEX(SUP_C3_EXPANSION!$C$6:$F$6,MIN(4,COUNTIF(CAPA3_EXPANSION!$D$56:CZ$56,"&gt;="&amp;21)))*CAPA3_EXPANSION!CZ$36)</f>
        <v>3676.7640000000001</v>
      </c>
      <c r="DA28" s="88">
        <f>IF(COUNTIF(CAPA3_EXPANSION!$D$56:DA$56,"&gt;="&amp;21)=0,0,SUP_CONTROL!$C$8*IF($B28="V",1,IF($B28="D",(1+SUP_VOLUMEN!$C$26),(1+SUP_VOLUMEN!$C$27)))*INDEX(SUP_C3_EXPANSION!$C$6:$F$6,MIN(4,COUNTIF(CAPA3_EXPANSION!$D$56:DA$56,"&gt;="&amp;21)))*CAPA3_EXPANSION!DA$36)</f>
        <v>3676.7640000000001</v>
      </c>
      <c r="DB28" s="88">
        <f>IF(COUNTIF(CAPA3_EXPANSION!$D$56:DB$56,"&gt;="&amp;21)=0,0,SUP_CONTROL!$C$8*IF($B28="V",1,IF($B28="D",(1+SUP_VOLUMEN!$C$26),(1+SUP_VOLUMEN!$C$27)))*INDEX(SUP_C3_EXPANSION!$C$6:$F$6,MIN(4,COUNTIF(CAPA3_EXPANSION!$D$56:DB$56,"&gt;="&amp;21)))*CAPA3_EXPANSION!DB$36)</f>
        <v>3676.7640000000001</v>
      </c>
      <c r="DC28" s="88">
        <f>IF(COUNTIF(CAPA3_EXPANSION!$D$56:DC$56,"&gt;="&amp;21)=0,0,SUP_CONTROL!$C$8*IF($B28="V",1,IF($B28="D",(1+SUP_VOLUMEN!$C$26),(1+SUP_VOLUMEN!$C$27)))*INDEX(SUP_C3_EXPANSION!$C$6:$F$6,MIN(4,COUNTIF(CAPA3_EXPANSION!$D$56:DC$56,"&gt;="&amp;21)))*CAPA3_EXPANSION!DC$36)</f>
        <v>3676.7640000000001</v>
      </c>
      <c r="DD28" s="88">
        <f>IF(COUNTIF(CAPA3_EXPANSION!$D$56:DD$56,"&gt;="&amp;21)=0,0,SUP_CONTROL!$C$8*IF($B28="V",1,IF($B28="D",(1+SUP_VOLUMEN!$C$26),(1+SUP_VOLUMEN!$C$27)))*INDEX(SUP_C3_EXPANSION!$C$6:$F$6,MIN(4,COUNTIF(CAPA3_EXPANSION!$D$56:DD$56,"&gt;="&amp;21)))*CAPA3_EXPANSION!DD$36)</f>
        <v>3676.7640000000001</v>
      </c>
      <c r="DE28" s="88">
        <f>IF(COUNTIF(CAPA3_EXPANSION!$D$56:DE$56,"&gt;="&amp;21)=0,0,SUP_CONTROL!$C$8*IF($B28="V",1,IF($B28="D",(1+SUP_VOLUMEN!$C$26),(1+SUP_VOLUMEN!$C$27)))*INDEX(SUP_C3_EXPANSION!$C$6:$F$6,MIN(4,COUNTIF(CAPA3_EXPANSION!$D$56:DE$56,"&gt;="&amp;21)))*CAPA3_EXPANSION!DE$36)</f>
        <v>3676.7640000000001</v>
      </c>
      <c r="DF28" s="88">
        <f>IF(COUNTIF(CAPA3_EXPANSION!$D$56:DF$56,"&gt;="&amp;21)=0,0,SUP_CONTROL!$C$8*IF($B28="V",1,IF($B28="D",(1+SUP_VOLUMEN!$C$26),(1+SUP_VOLUMEN!$C$27)))*INDEX(SUP_C3_EXPANSION!$C$6:$F$6,MIN(4,COUNTIF(CAPA3_EXPANSION!$D$56:DF$56,"&gt;="&amp;21)))*CAPA3_EXPANSION!DF$36)</f>
        <v>3676.7640000000001</v>
      </c>
      <c r="DG28" s="88">
        <f>IF(COUNTIF(CAPA3_EXPANSION!$D$56:DG$56,"&gt;="&amp;21)=0,0,SUP_CONTROL!$C$8*IF($B28="V",1,IF($B28="D",(1+SUP_VOLUMEN!$C$26),(1+SUP_VOLUMEN!$C$27)))*INDEX(SUP_C3_EXPANSION!$C$6:$F$6,MIN(4,COUNTIF(CAPA3_EXPANSION!$D$56:DG$56,"&gt;="&amp;21)))*CAPA3_EXPANSION!DG$36)</f>
        <v>3676.7640000000001</v>
      </c>
      <c r="DH28" s="88">
        <f>IF(COUNTIF(CAPA3_EXPANSION!$D$56:DH$56,"&gt;="&amp;21)=0,0,SUP_CONTROL!$C$8*IF($B28="V",1,IF($B28="D",(1+SUP_VOLUMEN!$C$26),(1+SUP_VOLUMEN!$C$27)))*INDEX(SUP_C3_EXPANSION!$C$6:$F$6,MIN(4,COUNTIF(CAPA3_EXPANSION!$D$56:DH$56,"&gt;="&amp;21)))*CAPA3_EXPANSION!DH$36)</f>
        <v>3676.7640000000001</v>
      </c>
      <c r="DI28" s="88">
        <f>IF(COUNTIF(CAPA3_EXPANSION!$D$56:DI$56,"&gt;="&amp;21)=0,0,SUP_CONTROL!$C$8*IF($B28="V",1,IF($B28="D",(1+SUP_VOLUMEN!$C$26),(1+SUP_VOLUMEN!$C$27)))*INDEX(SUP_C3_EXPANSION!$C$6:$F$6,MIN(4,COUNTIF(CAPA3_EXPANSION!$D$56:DI$56,"&gt;="&amp;21)))*CAPA3_EXPANSION!DI$36)</f>
        <v>3676.7640000000001</v>
      </c>
      <c r="DJ28" s="88">
        <f>IF(COUNTIF(CAPA3_EXPANSION!$D$56:DJ$56,"&gt;="&amp;21)=0,0,SUP_CONTROL!$C$8*IF($B28="V",1,IF($B28="D",(1+SUP_VOLUMEN!$C$26),(1+SUP_VOLUMEN!$C$27)))*INDEX(SUP_C3_EXPANSION!$C$6:$F$6,MIN(4,COUNTIF(CAPA3_EXPANSION!$D$56:DJ$56,"&gt;="&amp;21)))*CAPA3_EXPANSION!DJ$36)</f>
        <v>3676.7640000000001</v>
      </c>
      <c r="DK28" s="88">
        <f>IF(COUNTIF(CAPA3_EXPANSION!$D$56:DK$56,"&gt;="&amp;21)=0,0,SUP_CONTROL!$C$8*IF($B28="V",1,IF($B28="D",(1+SUP_VOLUMEN!$C$26),(1+SUP_VOLUMEN!$C$27)))*INDEX(SUP_C3_EXPANSION!$C$6:$F$6,MIN(4,COUNTIF(CAPA3_EXPANSION!$D$56:DK$56,"&gt;="&amp;21)))*CAPA3_EXPANSION!DK$36)</f>
        <v>3676.7640000000001</v>
      </c>
      <c r="DL28" s="88">
        <f>IF(COUNTIF(CAPA3_EXPANSION!$D$56:DL$56,"&gt;="&amp;21)=0,0,SUP_CONTROL!$C$8*IF($B28="V",1,IF($B28="D",(1+SUP_VOLUMEN!$C$26),(1+SUP_VOLUMEN!$C$27)))*INDEX(SUP_C3_EXPANSION!$C$6:$F$6,MIN(4,COUNTIF(CAPA3_EXPANSION!$D$56:DL$56,"&gt;="&amp;21)))*CAPA3_EXPANSION!DL$36)</f>
        <v>3676.7640000000001</v>
      </c>
      <c r="DM28" s="88">
        <f>IF(COUNTIF(CAPA3_EXPANSION!$D$56:DM$56,"&gt;="&amp;21)=0,0,SUP_CONTROL!$C$8*IF($B28="V",1,IF($B28="D",(1+SUP_VOLUMEN!$C$26),(1+SUP_VOLUMEN!$C$27)))*INDEX(SUP_C3_EXPANSION!$C$6:$F$6,MIN(4,COUNTIF(CAPA3_EXPANSION!$D$56:DM$56,"&gt;="&amp;21)))*CAPA3_EXPANSION!DM$36)</f>
        <v>3676.7640000000001</v>
      </c>
      <c r="DN28" s="88">
        <f>IF(COUNTIF(CAPA3_EXPANSION!$D$56:DN$56,"&gt;="&amp;21)=0,0,SUP_CONTROL!$C$8*IF($B28="V",1,IF($B28="D",(1+SUP_VOLUMEN!$C$26),(1+SUP_VOLUMEN!$C$27)))*INDEX(SUP_C3_EXPANSION!$C$6:$F$6,MIN(4,COUNTIF(CAPA3_EXPANSION!$D$56:DN$56,"&gt;="&amp;21)))*CAPA3_EXPANSION!DN$36)</f>
        <v>3676.7640000000001</v>
      </c>
      <c r="DO28" s="88">
        <f>IF(COUNTIF(CAPA3_EXPANSION!$D$56:DO$56,"&gt;="&amp;21)=0,0,SUP_CONTROL!$C$8*IF($B28="V",1,IF($B28="D",(1+SUP_VOLUMEN!$C$26),(1+SUP_VOLUMEN!$C$27)))*INDEX(SUP_C3_EXPANSION!$C$6:$F$6,MIN(4,COUNTIF(CAPA3_EXPANSION!$D$56:DO$56,"&gt;="&amp;21)))*CAPA3_EXPANSION!DO$36)</f>
        <v>3676.7640000000001</v>
      </c>
      <c r="DP28" s="88">
        <f>IF(COUNTIF(CAPA3_EXPANSION!$D$56:DP$56,"&gt;="&amp;21)=0,0,SUP_CONTROL!$C$8*IF($B28="V",1,IF($B28="D",(1+SUP_VOLUMEN!$C$26),(1+SUP_VOLUMEN!$C$27)))*INDEX(SUP_C3_EXPANSION!$C$6:$F$6,MIN(4,COUNTIF(CAPA3_EXPANSION!$D$56:DP$56,"&gt;="&amp;21)))*CAPA3_EXPANSION!DP$36)</f>
        <v>3676.7640000000001</v>
      </c>
      <c r="DQ28" s="88">
        <f>IF(COUNTIF(CAPA3_EXPANSION!$D$56:DQ$56,"&gt;="&amp;21)=0,0,SUP_CONTROL!$C$8*IF($B28="V",1,IF($B28="D",(1+SUP_VOLUMEN!$C$26),(1+SUP_VOLUMEN!$C$27)))*INDEX(SUP_C3_EXPANSION!$C$6:$F$6,MIN(4,COUNTIF(CAPA3_EXPANSION!$D$56:DQ$56,"&gt;="&amp;21)))*CAPA3_EXPANSION!DQ$36)</f>
        <v>3676.7640000000001</v>
      </c>
      <c r="DR28" s="88">
        <f>IF(COUNTIF(CAPA3_EXPANSION!$D$56:DR$56,"&gt;="&amp;21)=0,0,SUP_CONTROL!$C$8*IF($B28="V",1,IF($B28="D",(1+SUP_VOLUMEN!$C$26),(1+SUP_VOLUMEN!$C$27)))*INDEX(SUP_C3_EXPANSION!$C$6:$F$6,MIN(4,COUNTIF(CAPA3_EXPANSION!$D$56:DR$56,"&gt;="&amp;21)))*CAPA3_EXPANSION!DR$36)</f>
        <v>3676.7640000000001</v>
      </c>
      <c r="DS28" s="88">
        <f>IF(COUNTIF(CAPA3_EXPANSION!$D$56:DS$56,"&gt;="&amp;21)=0,0,SUP_CONTROL!$C$8*IF($B28="V",1,IF($B28="D",(1+SUP_VOLUMEN!$C$26),(1+SUP_VOLUMEN!$C$27)))*INDEX(SUP_C3_EXPANSION!$C$6:$F$6,MIN(4,COUNTIF(CAPA3_EXPANSION!$D$56:DS$56,"&gt;="&amp;21)))*CAPA3_EXPANSION!DS$36)</f>
        <v>3676.7640000000001</v>
      </c>
    </row>
    <row r="29" spans="1:123" ht="15" customHeight="1" x14ac:dyDescent="0.2">
      <c r="A29" s="88">
        <v>32</v>
      </c>
      <c r="B29" s="104" t="str">
        <f>SUP_C3_EXPANSION!B41</f>
        <v>V</v>
      </c>
      <c r="C29" s="73">
        <f>SUP_C3_EXPANSION!G41</f>
        <v>57</v>
      </c>
      <c r="D29" s="88">
        <f>IF(COUNTIF(CAPA3_EXPANSION!$D$56:D$56,"&gt;="&amp;22)=0,0,SUP_CONTROL!$C$8*IF($B29="V",1,IF($B29="D",(1+SUP_VOLUMEN!$C$26),(1+SUP_VOLUMEN!$C$27)))*INDEX(SUP_C3_EXPANSION!$C$6:$F$6,MIN(4,COUNTIF(CAPA3_EXPANSION!$D$56:D$56,"&gt;="&amp;22)))*CAPA3_EXPANSION!D$36)</f>
        <v>0</v>
      </c>
      <c r="E29" s="88">
        <f>IF(COUNTIF(CAPA3_EXPANSION!$D$56:E$56,"&gt;="&amp;22)=0,0,SUP_CONTROL!$C$8*IF($B29="V",1,IF($B29="D",(1+SUP_VOLUMEN!$C$26),(1+SUP_VOLUMEN!$C$27)))*INDEX(SUP_C3_EXPANSION!$C$6:$F$6,MIN(4,COUNTIF(CAPA3_EXPANSION!$D$56:E$56,"&gt;="&amp;22)))*CAPA3_EXPANSION!E$36)</f>
        <v>0</v>
      </c>
      <c r="F29" s="88">
        <f>IF(COUNTIF(CAPA3_EXPANSION!$D$56:F$56,"&gt;="&amp;22)=0,0,SUP_CONTROL!$C$8*IF($B29="V",1,IF($B29="D",(1+SUP_VOLUMEN!$C$26),(1+SUP_VOLUMEN!$C$27)))*INDEX(SUP_C3_EXPANSION!$C$6:$F$6,MIN(4,COUNTIF(CAPA3_EXPANSION!$D$56:F$56,"&gt;="&amp;22)))*CAPA3_EXPANSION!F$36)</f>
        <v>0</v>
      </c>
      <c r="G29" s="88">
        <f>IF(COUNTIF(CAPA3_EXPANSION!$D$56:G$56,"&gt;="&amp;22)=0,0,SUP_CONTROL!$C$8*IF($B29="V",1,IF($B29="D",(1+SUP_VOLUMEN!$C$26),(1+SUP_VOLUMEN!$C$27)))*INDEX(SUP_C3_EXPANSION!$C$6:$F$6,MIN(4,COUNTIF(CAPA3_EXPANSION!$D$56:G$56,"&gt;="&amp;22)))*CAPA3_EXPANSION!G$36)</f>
        <v>0</v>
      </c>
      <c r="H29" s="88">
        <f>IF(COUNTIF(CAPA3_EXPANSION!$D$56:H$56,"&gt;="&amp;22)=0,0,SUP_CONTROL!$C$8*IF($B29="V",1,IF($B29="D",(1+SUP_VOLUMEN!$C$26),(1+SUP_VOLUMEN!$C$27)))*INDEX(SUP_C3_EXPANSION!$C$6:$F$6,MIN(4,COUNTIF(CAPA3_EXPANSION!$D$56:H$56,"&gt;="&amp;22)))*CAPA3_EXPANSION!H$36)</f>
        <v>0</v>
      </c>
      <c r="I29" s="88">
        <f>IF(COUNTIF(CAPA3_EXPANSION!$D$56:I$56,"&gt;="&amp;22)=0,0,SUP_CONTROL!$C$8*IF($B29="V",1,IF($B29="D",(1+SUP_VOLUMEN!$C$26),(1+SUP_VOLUMEN!$C$27)))*INDEX(SUP_C3_EXPANSION!$C$6:$F$6,MIN(4,COUNTIF(CAPA3_EXPANSION!$D$56:I$56,"&gt;="&amp;22)))*CAPA3_EXPANSION!I$36)</f>
        <v>0</v>
      </c>
      <c r="J29" s="88">
        <f>IF(COUNTIF(CAPA3_EXPANSION!$D$56:J$56,"&gt;="&amp;22)=0,0,SUP_CONTROL!$C$8*IF($B29="V",1,IF($B29="D",(1+SUP_VOLUMEN!$C$26),(1+SUP_VOLUMEN!$C$27)))*INDEX(SUP_C3_EXPANSION!$C$6:$F$6,MIN(4,COUNTIF(CAPA3_EXPANSION!$D$56:J$56,"&gt;="&amp;22)))*CAPA3_EXPANSION!J$36)</f>
        <v>0</v>
      </c>
      <c r="K29" s="88">
        <f>IF(COUNTIF(CAPA3_EXPANSION!$D$56:K$56,"&gt;="&amp;22)=0,0,SUP_CONTROL!$C$8*IF($B29="V",1,IF($B29="D",(1+SUP_VOLUMEN!$C$26),(1+SUP_VOLUMEN!$C$27)))*INDEX(SUP_C3_EXPANSION!$C$6:$F$6,MIN(4,COUNTIF(CAPA3_EXPANSION!$D$56:K$56,"&gt;="&amp;22)))*CAPA3_EXPANSION!K$36)</f>
        <v>0</v>
      </c>
      <c r="L29" s="88">
        <f>IF(COUNTIF(CAPA3_EXPANSION!$D$56:L$56,"&gt;="&amp;22)=0,0,SUP_CONTROL!$C$8*IF($B29="V",1,IF($B29="D",(1+SUP_VOLUMEN!$C$26),(1+SUP_VOLUMEN!$C$27)))*INDEX(SUP_C3_EXPANSION!$C$6:$F$6,MIN(4,COUNTIF(CAPA3_EXPANSION!$D$56:L$56,"&gt;="&amp;22)))*CAPA3_EXPANSION!L$36)</f>
        <v>0</v>
      </c>
      <c r="M29" s="88">
        <f>IF(COUNTIF(CAPA3_EXPANSION!$D$56:M$56,"&gt;="&amp;22)=0,0,SUP_CONTROL!$C$8*IF($B29="V",1,IF($B29="D",(1+SUP_VOLUMEN!$C$26),(1+SUP_VOLUMEN!$C$27)))*INDEX(SUP_C3_EXPANSION!$C$6:$F$6,MIN(4,COUNTIF(CAPA3_EXPANSION!$D$56:M$56,"&gt;="&amp;22)))*CAPA3_EXPANSION!M$36)</f>
        <v>0</v>
      </c>
      <c r="N29" s="88">
        <f>IF(COUNTIF(CAPA3_EXPANSION!$D$56:N$56,"&gt;="&amp;22)=0,0,SUP_CONTROL!$C$8*IF($B29="V",1,IF($B29="D",(1+SUP_VOLUMEN!$C$26),(1+SUP_VOLUMEN!$C$27)))*INDEX(SUP_C3_EXPANSION!$C$6:$F$6,MIN(4,COUNTIF(CAPA3_EXPANSION!$D$56:N$56,"&gt;="&amp;22)))*CAPA3_EXPANSION!N$36)</f>
        <v>0</v>
      </c>
      <c r="O29" s="88">
        <f>IF(COUNTIF(CAPA3_EXPANSION!$D$56:O$56,"&gt;="&amp;22)=0,0,SUP_CONTROL!$C$8*IF($B29="V",1,IF($B29="D",(1+SUP_VOLUMEN!$C$26),(1+SUP_VOLUMEN!$C$27)))*INDEX(SUP_C3_EXPANSION!$C$6:$F$6,MIN(4,COUNTIF(CAPA3_EXPANSION!$D$56:O$56,"&gt;="&amp;22)))*CAPA3_EXPANSION!O$36)</f>
        <v>0</v>
      </c>
      <c r="P29" s="88">
        <f>IF(COUNTIF(CAPA3_EXPANSION!$D$56:P$56,"&gt;="&amp;22)=0,0,SUP_CONTROL!$C$8*IF($B29="V",1,IF($B29="D",(1+SUP_VOLUMEN!$C$26),(1+SUP_VOLUMEN!$C$27)))*INDEX(SUP_C3_EXPANSION!$C$6:$F$6,MIN(4,COUNTIF(CAPA3_EXPANSION!$D$56:P$56,"&gt;="&amp;22)))*CAPA3_EXPANSION!P$36)</f>
        <v>0</v>
      </c>
      <c r="Q29" s="88">
        <f>IF(COUNTIF(CAPA3_EXPANSION!$D$56:Q$56,"&gt;="&amp;22)=0,0,SUP_CONTROL!$C$8*IF($B29="V",1,IF($B29="D",(1+SUP_VOLUMEN!$C$26),(1+SUP_VOLUMEN!$C$27)))*INDEX(SUP_C3_EXPANSION!$C$6:$F$6,MIN(4,COUNTIF(CAPA3_EXPANSION!$D$56:Q$56,"&gt;="&amp;22)))*CAPA3_EXPANSION!Q$36)</f>
        <v>0</v>
      </c>
      <c r="R29" s="88">
        <f>IF(COUNTIF(CAPA3_EXPANSION!$D$56:R$56,"&gt;="&amp;22)=0,0,SUP_CONTROL!$C$8*IF($B29="V",1,IF($B29="D",(1+SUP_VOLUMEN!$C$26),(1+SUP_VOLUMEN!$C$27)))*INDEX(SUP_C3_EXPANSION!$C$6:$F$6,MIN(4,COUNTIF(CAPA3_EXPANSION!$D$56:R$56,"&gt;="&amp;22)))*CAPA3_EXPANSION!R$36)</f>
        <v>0</v>
      </c>
      <c r="S29" s="88">
        <f>IF(COUNTIF(CAPA3_EXPANSION!$D$56:S$56,"&gt;="&amp;22)=0,0,SUP_CONTROL!$C$8*IF($B29="V",1,IF($B29="D",(1+SUP_VOLUMEN!$C$26),(1+SUP_VOLUMEN!$C$27)))*INDEX(SUP_C3_EXPANSION!$C$6:$F$6,MIN(4,COUNTIF(CAPA3_EXPANSION!$D$56:S$56,"&gt;="&amp;22)))*CAPA3_EXPANSION!S$36)</f>
        <v>0</v>
      </c>
      <c r="T29" s="88">
        <f>IF(COUNTIF(CAPA3_EXPANSION!$D$56:T$56,"&gt;="&amp;22)=0,0,SUP_CONTROL!$C$8*IF($B29="V",1,IF($B29="D",(1+SUP_VOLUMEN!$C$26),(1+SUP_VOLUMEN!$C$27)))*INDEX(SUP_C3_EXPANSION!$C$6:$F$6,MIN(4,COUNTIF(CAPA3_EXPANSION!$D$56:T$56,"&gt;="&amp;22)))*CAPA3_EXPANSION!T$36)</f>
        <v>0</v>
      </c>
      <c r="U29" s="88">
        <f>IF(COUNTIF(CAPA3_EXPANSION!$D$56:U$56,"&gt;="&amp;22)=0,0,SUP_CONTROL!$C$8*IF($B29="V",1,IF($B29="D",(1+SUP_VOLUMEN!$C$26),(1+SUP_VOLUMEN!$C$27)))*INDEX(SUP_C3_EXPANSION!$C$6:$F$6,MIN(4,COUNTIF(CAPA3_EXPANSION!$D$56:U$56,"&gt;="&amp;22)))*CAPA3_EXPANSION!U$36)</f>
        <v>0</v>
      </c>
      <c r="V29" s="88">
        <f>IF(COUNTIF(CAPA3_EXPANSION!$D$56:V$56,"&gt;="&amp;22)=0,0,SUP_CONTROL!$C$8*IF($B29="V",1,IF($B29="D",(1+SUP_VOLUMEN!$C$26),(1+SUP_VOLUMEN!$C$27)))*INDEX(SUP_C3_EXPANSION!$C$6:$F$6,MIN(4,COUNTIF(CAPA3_EXPANSION!$D$56:V$56,"&gt;="&amp;22)))*CAPA3_EXPANSION!V$36)</f>
        <v>0</v>
      </c>
      <c r="W29" s="88">
        <f>IF(COUNTIF(CAPA3_EXPANSION!$D$56:W$56,"&gt;="&amp;22)=0,0,SUP_CONTROL!$C$8*IF($B29="V",1,IF($B29="D",(1+SUP_VOLUMEN!$C$26),(1+SUP_VOLUMEN!$C$27)))*INDEX(SUP_C3_EXPANSION!$C$6:$F$6,MIN(4,COUNTIF(CAPA3_EXPANSION!$D$56:W$56,"&gt;="&amp;22)))*CAPA3_EXPANSION!W$36)</f>
        <v>0</v>
      </c>
      <c r="X29" s="88">
        <f>IF(COUNTIF(CAPA3_EXPANSION!$D$56:X$56,"&gt;="&amp;22)=0,0,SUP_CONTROL!$C$8*IF($B29="V",1,IF($B29="D",(1+SUP_VOLUMEN!$C$26),(1+SUP_VOLUMEN!$C$27)))*INDEX(SUP_C3_EXPANSION!$C$6:$F$6,MIN(4,COUNTIF(CAPA3_EXPANSION!$D$56:X$56,"&gt;="&amp;22)))*CAPA3_EXPANSION!X$36)</f>
        <v>0</v>
      </c>
      <c r="Y29" s="88">
        <f>IF(COUNTIF(CAPA3_EXPANSION!$D$56:Y$56,"&gt;="&amp;22)=0,0,SUP_CONTROL!$C$8*IF($B29="V",1,IF($B29="D",(1+SUP_VOLUMEN!$C$26),(1+SUP_VOLUMEN!$C$27)))*INDEX(SUP_C3_EXPANSION!$C$6:$F$6,MIN(4,COUNTIF(CAPA3_EXPANSION!$D$56:Y$56,"&gt;="&amp;22)))*CAPA3_EXPANSION!Y$36)</f>
        <v>0</v>
      </c>
      <c r="Z29" s="88">
        <f>IF(COUNTIF(CAPA3_EXPANSION!$D$56:Z$56,"&gt;="&amp;22)=0,0,SUP_CONTROL!$C$8*IF($B29="V",1,IF($B29="D",(1+SUP_VOLUMEN!$C$26),(1+SUP_VOLUMEN!$C$27)))*INDEX(SUP_C3_EXPANSION!$C$6:$F$6,MIN(4,COUNTIF(CAPA3_EXPANSION!$D$56:Z$56,"&gt;="&amp;22)))*CAPA3_EXPANSION!Z$36)</f>
        <v>0</v>
      </c>
      <c r="AA29" s="88">
        <f>IF(COUNTIF(CAPA3_EXPANSION!$D$56:AA$56,"&gt;="&amp;22)=0,0,SUP_CONTROL!$C$8*IF($B29="V",1,IF($B29="D",(1+SUP_VOLUMEN!$C$26),(1+SUP_VOLUMEN!$C$27)))*INDEX(SUP_C3_EXPANSION!$C$6:$F$6,MIN(4,COUNTIF(CAPA3_EXPANSION!$D$56:AA$56,"&gt;="&amp;22)))*CAPA3_EXPANSION!AA$36)</f>
        <v>0</v>
      </c>
      <c r="AB29" s="88">
        <f>IF(COUNTIF(CAPA3_EXPANSION!$D$56:AB$56,"&gt;="&amp;22)=0,0,SUP_CONTROL!$C$8*IF($B29="V",1,IF($B29="D",(1+SUP_VOLUMEN!$C$26),(1+SUP_VOLUMEN!$C$27)))*INDEX(SUP_C3_EXPANSION!$C$6:$F$6,MIN(4,COUNTIF(CAPA3_EXPANSION!$D$56:AB$56,"&gt;="&amp;22)))*CAPA3_EXPANSION!AB$36)</f>
        <v>0</v>
      </c>
      <c r="AC29" s="88">
        <f>IF(COUNTIF(CAPA3_EXPANSION!$D$56:AC$56,"&gt;="&amp;22)=0,0,SUP_CONTROL!$C$8*IF($B29="V",1,IF($B29="D",(1+SUP_VOLUMEN!$C$26),(1+SUP_VOLUMEN!$C$27)))*INDEX(SUP_C3_EXPANSION!$C$6:$F$6,MIN(4,COUNTIF(CAPA3_EXPANSION!$D$56:AC$56,"&gt;="&amp;22)))*CAPA3_EXPANSION!AC$36)</f>
        <v>0</v>
      </c>
      <c r="AD29" s="88">
        <f>IF(COUNTIF(CAPA3_EXPANSION!$D$56:AD$56,"&gt;="&amp;22)=0,0,SUP_CONTROL!$C$8*IF($B29="V",1,IF($B29="D",(1+SUP_VOLUMEN!$C$26),(1+SUP_VOLUMEN!$C$27)))*INDEX(SUP_C3_EXPANSION!$C$6:$F$6,MIN(4,COUNTIF(CAPA3_EXPANSION!$D$56:AD$56,"&gt;="&amp;22)))*CAPA3_EXPANSION!AD$36)</f>
        <v>0</v>
      </c>
      <c r="AE29" s="88">
        <f>IF(COUNTIF(CAPA3_EXPANSION!$D$56:AE$56,"&gt;="&amp;22)=0,0,SUP_CONTROL!$C$8*IF($B29="V",1,IF($B29="D",(1+SUP_VOLUMEN!$C$26),(1+SUP_VOLUMEN!$C$27)))*INDEX(SUP_C3_EXPANSION!$C$6:$F$6,MIN(4,COUNTIF(CAPA3_EXPANSION!$D$56:AE$56,"&gt;="&amp;22)))*CAPA3_EXPANSION!AE$36)</f>
        <v>0</v>
      </c>
      <c r="AF29" s="88">
        <f>IF(COUNTIF(CAPA3_EXPANSION!$D$56:AF$56,"&gt;="&amp;22)=0,0,SUP_CONTROL!$C$8*IF($B29="V",1,IF($B29="D",(1+SUP_VOLUMEN!$C$26),(1+SUP_VOLUMEN!$C$27)))*INDEX(SUP_C3_EXPANSION!$C$6:$F$6,MIN(4,COUNTIF(CAPA3_EXPANSION!$D$56:AF$56,"&gt;="&amp;22)))*CAPA3_EXPANSION!AF$36)</f>
        <v>0</v>
      </c>
      <c r="AG29" s="88">
        <f>IF(COUNTIF(CAPA3_EXPANSION!$D$56:AG$56,"&gt;="&amp;22)=0,0,SUP_CONTROL!$C$8*IF($B29="V",1,IF($B29="D",(1+SUP_VOLUMEN!$C$26),(1+SUP_VOLUMEN!$C$27)))*INDEX(SUP_C3_EXPANSION!$C$6:$F$6,MIN(4,COUNTIF(CAPA3_EXPANSION!$D$56:AG$56,"&gt;="&amp;22)))*CAPA3_EXPANSION!AG$36)</f>
        <v>0</v>
      </c>
      <c r="AH29" s="88">
        <f>IF(COUNTIF(CAPA3_EXPANSION!$D$56:AH$56,"&gt;="&amp;22)=0,0,SUP_CONTROL!$C$8*IF($B29="V",1,IF($B29="D",(1+SUP_VOLUMEN!$C$26),(1+SUP_VOLUMEN!$C$27)))*INDEX(SUP_C3_EXPANSION!$C$6:$F$6,MIN(4,COUNTIF(CAPA3_EXPANSION!$D$56:AH$56,"&gt;="&amp;22)))*CAPA3_EXPANSION!AH$36)</f>
        <v>0</v>
      </c>
      <c r="AI29" s="88">
        <f>IF(COUNTIF(CAPA3_EXPANSION!$D$56:AI$56,"&gt;="&amp;22)=0,0,SUP_CONTROL!$C$8*IF($B29="V",1,IF($B29="D",(1+SUP_VOLUMEN!$C$26),(1+SUP_VOLUMEN!$C$27)))*INDEX(SUP_C3_EXPANSION!$C$6:$F$6,MIN(4,COUNTIF(CAPA3_EXPANSION!$D$56:AI$56,"&gt;="&amp;22)))*CAPA3_EXPANSION!AI$36)</f>
        <v>0</v>
      </c>
      <c r="AJ29" s="88">
        <f>IF(COUNTIF(CAPA3_EXPANSION!$D$56:AJ$56,"&gt;="&amp;22)=0,0,SUP_CONTROL!$C$8*IF($B29="V",1,IF($B29="D",(1+SUP_VOLUMEN!$C$26),(1+SUP_VOLUMEN!$C$27)))*INDEX(SUP_C3_EXPANSION!$C$6:$F$6,MIN(4,COUNTIF(CAPA3_EXPANSION!$D$56:AJ$56,"&gt;="&amp;22)))*CAPA3_EXPANSION!AJ$36)</f>
        <v>0</v>
      </c>
      <c r="AK29" s="88">
        <f>IF(COUNTIF(CAPA3_EXPANSION!$D$56:AK$56,"&gt;="&amp;22)=0,0,SUP_CONTROL!$C$8*IF($B29="V",1,IF($B29="D",(1+SUP_VOLUMEN!$C$26),(1+SUP_VOLUMEN!$C$27)))*INDEX(SUP_C3_EXPANSION!$C$6:$F$6,MIN(4,COUNTIF(CAPA3_EXPANSION!$D$56:AK$56,"&gt;="&amp;22)))*CAPA3_EXPANSION!AK$36)</f>
        <v>0</v>
      </c>
      <c r="AL29" s="88">
        <f>IF(COUNTIF(CAPA3_EXPANSION!$D$56:AL$56,"&gt;="&amp;22)=0,0,SUP_CONTROL!$C$8*IF($B29="V",1,IF($B29="D",(1+SUP_VOLUMEN!$C$26),(1+SUP_VOLUMEN!$C$27)))*INDEX(SUP_C3_EXPANSION!$C$6:$F$6,MIN(4,COUNTIF(CAPA3_EXPANSION!$D$56:AL$56,"&gt;="&amp;22)))*CAPA3_EXPANSION!AL$36)</f>
        <v>0</v>
      </c>
      <c r="AM29" s="88">
        <f>IF(COUNTIF(CAPA3_EXPANSION!$D$56:AM$56,"&gt;="&amp;22)=0,0,SUP_CONTROL!$C$8*IF($B29="V",1,IF($B29="D",(1+SUP_VOLUMEN!$C$26),(1+SUP_VOLUMEN!$C$27)))*INDEX(SUP_C3_EXPANSION!$C$6:$F$6,MIN(4,COUNTIF(CAPA3_EXPANSION!$D$56:AM$56,"&gt;="&amp;22)))*CAPA3_EXPANSION!AM$36)</f>
        <v>0</v>
      </c>
      <c r="AN29" s="88">
        <f>IF(COUNTIF(CAPA3_EXPANSION!$D$56:AN$56,"&gt;="&amp;22)=0,0,SUP_CONTROL!$C$8*IF($B29="V",1,IF($B29="D",(1+SUP_VOLUMEN!$C$26),(1+SUP_VOLUMEN!$C$27)))*INDEX(SUP_C3_EXPANSION!$C$6:$F$6,MIN(4,COUNTIF(CAPA3_EXPANSION!$D$56:AN$56,"&gt;="&amp;22)))*CAPA3_EXPANSION!AN$36)</f>
        <v>0</v>
      </c>
      <c r="AO29" s="88">
        <f>IF(COUNTIF(CAPA3_EXPANSION!$D$56:AO$56,"&gt;="&amp;22)=0,0,SUP_CONTROL!$C$8*IF($B29="V",1,IF($B29="D",(1+SUP_VOLUMEN!$C$26),(1+SUP_VOLUMEN!$C$27)))*INDEX(SUP_C3_EXPANSION!$C$6:$F$6,MIN(4,COUNTIF(CAPA3_EXPANSION!$D$56:AO$56,"&gt;="&amp;22)))*CAPA3_EXPANSION!AO$36)</f>
        <v>0</v>
      </c>
      <c r="AP29" s="88">
        <f>IF(COUNTIF(CAPA3_EXPANSION!$D$56:AP$56,"&gt;="&amp;22)=0,0,SUP_CONTROL!$C$8*IF($B29="V",1,IF($B29="D",(1+SUP_VOLUMEN!$C$26),(1+SUP_VOLUMEN!$C$27)))*INDEX(SUP_C3_EXPANSION!$C$6:$F$6,MIN(4,COUNTIF(CAPA3_EXPANSION!$D$56:AP$56,"&gt;="&amp;22)))*CAPA3_EXPANSION!AP$36)</f>
        <v>0</v>
      </c>
      <c r="AQ29" s="88">
        <f>IF(COUNTIF(CAPA3_EXPANSION!$D$56:AQ$56,"&gt;="&amp;22)=0,0,SUP_CONTROL!$C$8*IF($B29="V",1,IF($B29="D",(1+SUP_VOLUMEN!$C$26),(1+SUP_VOLUMEN!$C$27)))*INDEX(SUP_C3_EXPANSION!$C$6:$F$6,MIN(4,COUNTIF(CAPA3_EXPANSION!$D$56:AQ$56,"&gt;="&amp;22)))*CAPA3_EXPANSION!AQ$36)</f>
        <v>0</v>
      </c>
      <c r="AR29" s="88">
        <f>IF(COUNTIF(CAPA3_EXPANSION!$D$56:AR$56,"&gt;="&amp;22)=0,0,SUP_CONTROL!$C$8*IF($B29="V",1,IF($B29="D",(1+SUP_VOLUMEN!$C$26),(1+SUP_VOLUMEN!$C$27)))*INDEX(SUP_C3_EXPANSION!$C$6:$F$6,MIN(4,COUNTIF(CAPA3_EXPANSION!$D$56:AR$56,"&gt;="&amp;22)))*CAPA3_EXPANSION!AR$36)</f>
        <v>0</v>
      </c>
      <c r="AS29" s="88">
        <f>IF(COUNTIF(CAPA3_EXPANSION!$D$56:AS$56,"&gt;="&amp;22)=0,0,SUP_CONTROL!$C$8*IF($B29="V",1,IF($B29="D",(1+SUP_VOLUMEN!$C$26),(1+SUP_VOLUMEN!$C$27)))*INDEX(SUP_C3_EXPANSION!$C$6:$F$6,MIN(4,COUNTIF(CAPA3_EXPANSION!$D$56:AS$56,"&gt;="&amp;22)))*CAPA3_EXPANSION!AS$36)</f>
        <v>0</v>
      </c>
      <c r="AT29" s="88">
        <f>IF(COUNTIF(CAPA3_EXPANSION!$D$56:AT$56,"&gt;="&amp;22)=0,0,SUP_CONTROL!$C$8*IF($B29="V",1,IF($B29="D",(1+SUP_VOLUMEN!$C$26),(1+SUP_VOLUMEN!$C$27)))*INDEX(SUP_C3_EXPANSION!$C$6:$F$6,MIN(4,COUNTIF(CAPA3_EXPANSION!$D$56:AT$56,"&gt;="&amp;22)))*CAPA3_EXPANSION!AT$36)</f>
        <v>0</v>
      </c>
      <c r="AU29" s="88">
        <f>IF(COUNTIF(CAPA3_EXPANSION!$D$56:AU$56,"&gt;="&amp;22)=0,0,SUP_CONTROL!$C$8*IF($B29="V",1,IF($B29="D",(1+SUP_VOLUMEN!$C$26),(1+SUP_VOLUMEN!$C$27)))*INDEX(SUP_C3_EXPANSION!$C$6:$F$6,MIN(4,COUNTIF(CAPA3_EXPANSION!$D$56:AU$56,"&gt;="&amp;22)))*CAPA3_EXPANSION!AU$36)</f>
        <v>0</v>
      </c>
      <c r="AV29" s="88">
        <f>IF(COUNTIF(CAPA3_EXPANSION!$D$56:AV$56,"&gt;="&amp;22)=0,0,SUP_CONTROL!$C$8*IF($B29="V",1,IF($B29="D",(1+SUP_VOLUMEN!$C$26),(1+SUP_VOLUMEN!$C$27)))*INDEX(SUP_C3_EXPANSION!$C$6:$F$6,MIN(4,COUNTIF(CAPA3_EXPANSION!$D$56:AV$56,"&gt;="&amp;22)))*CAPA3_EXPANSION!AV$36)</f>
        <v>0</v>
      </c>
      <c r="AW29" s="88">
        <f>IF(COUNTIF(CAPA3_EXPANSION!$D$56:AW$56,"&gt;="&amp;22)=0,0,SUP_CONTROL!$C$8*IF($B29="V",1,IF($B29="D",(1+SUP_VOLUMEN!$C$26),(1+SUP_VOLUMEN!$C$27)))*INDEX(SUP_C3_EXPANSION!$C$6:$F$6,MIN(4,COUNTIF(CAPA3_EXPANSION!$D$56:AW$56,"&gt;="&amp;22)))*CAPA3_EXPANSION!AW$36)</f>
        <v>0</v>
      </c>
      <c r="AX29" s="88">
        <f>IF(COUNTIF(CAPA3_EXPANSION!$D$56:AX$56,"&gt;="&amp;22)=0,0,SUP_CONTROL!$C$8*IF($B29="V",1,IF($B29="D",(1+SUP_VOLUMEN!$C$26),(1+SUP_VOLUMEN!$C$27)))*INDEX(SUP_C3_EXPANSION!$C$6:$F$6,MIN(4,COUNTIF(CAPA3_EXPANSION!$D$56:AX$56,"&gt;="&amp;22)))*CAPA3_EXPANSION!AX$36)</f>
        <v>0</v>
      </c>
      <c r="AY29" s="88">
        <f>IF(COUNTIF(CAPA3_EXPANSION!$D$56:AY$56,"&gt;="&amp;22)=0,0,SUP_CONTROL!$C$8*IF($B29="V",1,IF($B29="D",(1+SUP_VOLUMEN!$C$26),(1+SUP_VOLUMEN!$C$27)))*INDEX(SUP_C3_EXPANSION!$C$6:$F$6,MIN(4,COUNTIF(CAPA3_EXPANSION!$D$56:AY$56,"&gt;="&amp;22)))*CAPA3_EXPANSION!AY$36)</f>
        <v>0</v>
      </c>
      <c r="AZ29" s="88">
        <f>IF(COUNTIF(CAPA3_EXPANSION!$D$56:AZ$56,"&gt;="&amp;22)=0,0,SUP_CONTROL!$C$8*IF($B29="V",1,IF($B29="D",(1+SUP_VOLUMEN!$C$26),(1+SUP_VOLUMEN!$C$27)))*INDEX(SUP_C3_EXPANSION!$C$6:$F$6,MIN(4,COUNTIF(CAPA3_EXPANSION!$D$56:AZ$56,"&gt;="&amp;22)))*CAPA3_EXPANSION!AZ$36)</f>
        <v>0</v>
      </c>
      <c r="BA29" s="88">
        <f>IF(COUNTIF(CAPA3_EXPANSION!$D$56:BA$56,"&gt;="&amp;22)=0,0,SUP_CONTROL!$C$8*IF($B29="V",1,IF($B29="D",(1+SUP_VOLUMEN!$C$26),(1+SUP_VOLUMEN!$C$27)))*INDEX(SUP_C3_EXPANSION!$C$6:$F$6,MIN(4,COUNTIF(CAPA3_EXPANSION!$D$56:BA$56,"&gt;="&amp;22)))*CAPA3_EXPANSION!BA$36)</f>
        <v>0</v>
      </c>
      <c r="BB29" s="88">
        <f>IF(COUNTIF(CAPA3_EXPANSION!$D$56:BB$56,"&gt;="&amp;22)=0,0,SUP_CONTROL!$C$8*IF($B29="V",1,IF($B29="D",(1+SUP_VOLUMEN!$C$26),(1+SUP_VOLUMEN!$C$27)))*INDEX(SUP_C3_EXPANSION!$C$6:$F$6,MIN(4,COUNTIF(CAPA3_EXPANSION!$D$56:BB$56,"&gt;="&amp;22)))*CAPA3_EXPANSION!BB$36)</f>
        <v>0</v>
      </c>
      <c r="BC29" s="88">
        <f>IF(COUNTIF(CAPA3_EXPANSION!$D$56:BC$56,"&gt;="&amp;22)=0,0,SUP_CONTROL!$C$8*IF($B29="V",1,IF($B29="D",(1+SUP_VOLUMEN!$C$26),(1+SUP_VOLUMEN!$C$27)))*INDEX(SUP_C3_EXPANSION!$C$6:$F$6,MIN(4,COUNTIF(CAPA3_EXPANSION!$D$56:BC$56,"&gt;="&amp;22)))*CAPA3_EXPANSION!BC$36)</f>
        <v>0</v>
      </c>
      <c r="BD29" s="88">
        <f>IF(COUNTIF(CAPA3_EXPANSION!$D$56:BD$56,"&gt;="&amp;22)=0,0,SUP_CONTROL!$C$8*IF($B29="V",1,IF($B29="D",(1+SUP_VOLUMEN!$C$26),(1+SUP_VOLUMEN!$C$27)))*INDEX(SUP_C3_EXPANSION!$C$6:$F$6,MIN(4,COUNTIF(CAPA3_EXPANSION!$D$56:BD$56,"&gt;="&amp;22)))*CAPA3_EXPANSION!BD$36)</f>
        <v>0</v>
      </c>
      <c r="BE29" s="88">
        <f>IF(COUNTIF(CAPA3_EXPANSION!$D$56:BE$56,"&gt;="&amp;22)=0,0,SUP_CONTROL!$C$8*IF($B29="V",1,IF($B29="D",(1+SUP_VOLUMEN!$C$26),(1+SUP_VOLUMEN!$C$27)))*INDEX(SUP_C3_EXPANSION!$C$6:$F$6,MIN(4,COUNTIF(CAPA3_EXPANSION!$D$56:BE$56,"&gt;="&amp;22)))*CAPA3_EXPANSION!BE$36)</f>
        <v>0</v>
      </c>
      <c r="BF29" s="88">
        <f>IF(COUNTIF(CAPA3_EXPANSION!$D$56:BF$56,"&gt;="&amp;22)=0,0,SUP_CONTROL!$C$8*IF($B29="V",1,IF($B29="D",(1+SUP_VOLUMEN!$C$26),(1+SUP_VOLUMEN!$C$27)))*INDEX(SUP_C3_EXPANSION!$C$6:$F$6,MIN(4,COUNTIF(CAPA3_EXPANSION!$D$56:BF$56,"&gt;="&amp;22)))*CAPA3_EXPANSION!BF$36)</f>
        <v>0</v>
      </c>
      <c r="BG29" s="88">
        <f>IF(COUNTIF(CAPA3_EXPANSION!$D$56:BG$56,"&gt;="&amp;22)=0,0,SUP_CONTROL!$C$8*IF($B29="V",1,IF($B29="D",(1+SUP_VOLUMEN!$C$26),(1+SUP_VOLUMEN!$C$27)))*INDEX(SUP_C3_EXPANSION!$C$6:$F$6,MIN(4,COUNTIF(CAPA3_EXPANSION!$D$56:BG$56,"&gt;="&amp;22)))*CAPA3_EXPANSION!BG$36)</f>
        <v>0</v>
      </c>
      <c r="BH29" s="88">
        <f>IF(COUNTIF(CAPA3_EXPANSION!$D$56:BH$56,"&gt;="&amp;22)=0,0,SUP_CONTROL!$C$8*IF($B29="V",1,IF($B29="D",(1+SUP_VOLUMEN!$C$26),(1+SUP_VOLUMEN!$C$27)))*INDEX(SUP_C3_EXPANSION!$C$6:$F$6,MIN(4,COUNTIF(CAPA3_EXPANSION!$D$56:BH$56,"&gt;="&amp;22)))*CAPA3_EXPANSION!BH$36)</f>
        <v>0</v>
      </c>
      <c r="BI29" s="88">
        <f>IF(COUNTIF(CAPA3_EXPANSION!$D$56:BI$56,"&gt;="&amp;22)=0,0,SUP_CONTROL!$C$8*IF($B29="V",1,IF($B29="D",(1+SUP_VOLUMEN!$C$26),(1+SUP_VOLUMEN!$C$27)))*INDEX(SUP_C3_EXPANSION!$C$6:$F$6,MIN(4,COUNTIF(CAPA3_EXPANSION!$D$56:BI$56,"&gt;="&amp;22)))*CAPA3_EXPANSION!BI$36)</f>
        <v>0</v>
      </c>
      <c r="BJ29" s="88">
        <f>IF(COUNTIF(CAPA3_EXPANSION!$D$56:BJ$56,"&gt;="&amp;22)=0,0,SUP_CONTROL!$C$8*IF($B29="V",1,IF($B29="D",(1+SUP_VOLUMEN!$C$26),(1+SUP_VOLUMEN!$C$27)))*INDEX(SUP_C3_EXPANSION!$C$6:$F$6,MIN(4,COUNTIF(CAPA3_EXPANSION!$D$56:BJ$56,"&gt;="&amp;22)))*CAPA3_EXPANSION!BJ$36)</f>
        <v>0</v>
      </c>
      <c r="BK29" s="88">
        <f>IF(COUNTIF(CAPA3_EXPANSION!$D$56:BK$56,"&gt;="&amp;22)=0,0,SUP_CONTROL!$C$8*IF($B29="V",1,IF($B29="D",(1+SUP_VOLUMEN!$C$26),(1+SUP_VOLUMEN!$C$27)))*INDEX(SUP_C3_EXPANSION!$C$6:$F$6,MIN(4,COUNTIF(CAPA3_EXPANSION!$D$56:BK$56,"&gt;="&amp;22)))*CAPA3_EXPANSION!BK$36)</f>
        <v>1925.9240000000002</v>
      </c>
      <c r="BL29" s="88">
        <f>IF(COUNTIF(CAPA3_EXPANSION!$D$56:BL$56,"&gt;="&amp;22)=0,0,SUP_CONTROL!$C$8*IF($B29="V",1,IF($B29="D",(1+SUP_VOLUMEN!$C$26),(1+SUP_VOLUMEN!$C$27)))*INDEX(SUP_C3_EXPANSION!$C$6:$F$6,MIN(4,COUNTIF(CAPA3_EXPANSION!$D$56:BL$56,"&gt;="&amp;22)))*CAPA3_EXPANSION!BL$36)</f>
        <v>2370.3680000000004</v>
      </c>
      <c r="BM29" s="88">
        <f>IF(COUNTIF(CAPA3_EXPANSION!$D$56:BM$56,"&gt;="&amp;22)=0,0,SUP_CONTROL!$C$8*IF($B29="V",1,IF($B29="D",(1+SUP_VOLUMEN!$C$26),(1+SUP_VOLUMEN!$C$27)))*INDEX(SUP_C3_EXPANSION!$C$6:$F$6,MIN(4,COUNTIF(CAPA3_EXPANSION!$D$56:BM$56,"&gt;="&amp;22)))*CAPA3_EXPANSION!BM$36)</f>
        <v>2666.6640000000002</v>
      </c>
      <c r="BN29" s="88">
        <f>IF(COUNTIF(CAPA3_EXPANSION!$D$56:BN$56,"&gt;="&amp;22)=0,0,SUP_CONTROL!$C$8*IF($B29="V",1,IF($B29="D",(1+SUP_VOLUMEN!$C$26),(1+SUP_VOLUMEN!$C$27)))*INDEX(SUP_C3_EXPANSION!$C$6:$F$6,MIN(4,COUNTIF(CAPA3_EXPANSION!$D$56:BN$56,"&gt;="&amp;22)))*CAPA3_EXPANSION!BN$36)</f>
        <v>2962.96</v>
      </c>
      <c r="BO29" s="88">
        <f>IF(COUNTIF(CAPA3_EXPANSION!$D$56:BO$56,"&gt;="&amp;22)=0,0,SUP_CONTROL!$C$8*IF($B29="V",1,IF($B29="D",(1+SUP_VOLUMEN!$C$26),(1+SUP_VOLUMEN!$C$27)))*INDEX(SUP_C3_EXPANSION!$C$6:$F$6,MIN(4,COUNTIF(CAPA3_EXPANSION!$D$56:BO$56,"&gt;="&amp;22)))*CAPA3_EXPANSION!BO$36)</f>
        <v>2962.96</v>
      </c>
      <c r="BP29" s="88">
        <f>IF(COUNTIF(CAPA3_EXPANSION!$D$56:BP$56,"&gt;="&amp;22)=0,0,SUP_CONTROL!$C$8*IF($B29="V",1,IF($B29="D",(1+SUP_VOLUMEN!$C$26),(1+SUP_VOLUMEN!$C$27)))*INDEX(SUP_C3_EXPANSION!$C$6:$F$6,MIN(4,COUNTIF(CAPA3_EXPANSION!$D$56:BP$56,"&gt;="&amp;22)))*CAPA3_EXPANSION!BP$36)</f>
        <v>2912.4549999999999</v>
      </c>
      <c r="BQ29" s="88">
        <f>IF(COUNTIF(CAPA3_EXPANSION!$D$56:BQ$56,"&gt;="&amp;22)=0,0,SUP_CONTROL!$C$8*IF($B29="V",1,IF($B29="D",(1+SUP_VOLUMEN!$C$26),(1+SUP_VOLUMEN!$C$27)))*INDEX(SUP_C3_EXPANSION!$C$6:$F$6,MIN(4,COUNTIF(CAPA3_EXPANSION!$D$56:BQ$56,"&gt;="&amp;22)))*CAPA3_EXPANSION!BQ$36)</f>
        <v>2912.4549999999999</v>
      </c>
      <c r="BR29" s="88">
        <f>IF(COUNTIF(CAPA3_EXPANSION!$D$56:BR$56,"&gt;="&amp;22)=0,0,SUP_CONTROL!$C$8*IF($B29="V",1,IF($B29="D",(1+SUP_VOLUMEN!$C$26),(1+SUP_VOLUMEN!$C$27)))*INDEX(SUP_C3_EXPANSION!$C$6:$F$6,MIN(4,COUNTIF(CAPA3_EXPANSION!$D$56:BR$56,"&gt;="&amp;22)))*CAPA3_EXPANSION!BR$36)</f>
        <v>2912.4549999999999</v>
      </c>
      <c r="BS29" s="88">
        <f>IF(COUNTIF(CAPA3_EXPANSION!$D$56:BS$56,"&gt;="&amp;22)=0,0,SUP_CONTROL!$C$8*IF($B29="V",1,IF($B29="D",(1+SUP_VOLUMEN!$C$26),(1+SUP_VOLUMEN!$C$27)))*INDEX(SUP_C3_EXPANSION!$C$6:$F$6,MIN(4,COUNTIF(CAPA3_EXPANSION!$D$56:BS$56,"&gt;="&amp;22)))*CAPA3_EXPANSION!BS$36)</f>
        <v>2912.4549999999999</v>
      </c>
      <c r="BT29" s="88">
        <f>IF(COUNTIF(CAPA3_EXPANSION!$D$56:BT$56,"&gt;="&amp;22)=0,0,SUP_CONTROL!$C$8*IF($B29="V",1,IF($B29="D",(1+SUP_VOLUMEN!$C$26),(1+SUP_VOLUMEN!$C$27)))*INDEX(SUP_C3_EXPANSION!$C$6:$F$6,MIN(4,COUNTIF(CAPA3_EXPANSION!$D$56:BT$56,"&gt;="&amp;22)))*CAPA3_EXPANSION!BT$36)</f>
        <v>2912.4549999999999</v>
      </c>
      <c r="BU29" s="88">
        <f>IF(COUNTIF(CAPA3_EXPANSION!$D$56:BU$56,"&gt;="&amp;22)=0,0,SUP_CONTROL!$C$8*IF($B29="V",1,IF($B29="D",(1+SUP_VOLUMEN!$C$26),(1+SUP_VOLUMEN!$C$27)))*INDEX(SUP_C3_EXPANSION!$C$6:$F$6,MIN(4,COUNTIF(CAPA3_EXPANSION!$D$56:BU$56,"&gt;="&amp;22)))*CAPA3_EXPANSION!BU$36)</f>
        <v>2861.95</v>
      </c>
      <c r="BV29" s="88">
        <f>IF(COUNTIF(CAPA3_EXPANSION!$D$56:BV$56,"&gt;="&amp;22)=0,0,SUP_CONTROL!$C$8*IF($B29="V",1,IF($B29="D",(1+SUP_VOLUMEN!$C$26),(1+SUP_VOLUMEN!$C$27)))*INDEX(SUP_C3_EXPANSION!$C$6:$F$6,MIN(4,COUNTIF(CAPA3_EXPANSION!$D$56:BV$56,"&gt;="&amp;22)))*CAPA3_EXPANSION!BV$36)</f>
        <v>2861.95</v>
      </c>
      <c r="BW29" s="88">
        <f>IF(COUNTIF(CAPA3_EXPANSION!$D$56:BW$56,"&gt;="&amp;22)=0,0,SUP_CONTROL!$C$8*IF($B29="V",1,IF($B29="D",(1+SUP_VOLUMEN!$C$26),(1+SUP_VOLUMEN!$C$27)))*INDEX(SUP_C3_EXPANSION!$C$6:$F$6,MIN(4,COUNTIF(CAPA3_EXPANSION!$D$56:BW$56,"&gt;="&amp;22)))*CAPA3_EXPANSION!BW$36)</f>
        <v>2861.95</v>
      </c>
      <c r="BX29" s="88">
        <f>IF(COUNTIF(CAPA3_EXPANSION!$D$56:BX$56,"&gt;="&amp;22)=0,0,SUP_CONTROL!$C$8*IF($B29="V",1,IF($B29="D",(1+SUP_VOLUMEN!$C$26),(1+SUP_VOLUMEN!$C$27)))*INDEX(SUP_C3_EXPANSION!$C$6:$F$6,MIN(4,COUNTIF(CAPA3_EXPANSION!$D$56:BX$56,"&gt;="&amp;22)))*CAPA3_EXPANSION!BX$36)</f>
        <v>2861.95</v>
      </c>
      <c r="BY29" s="88">
        <f>IF(COUNTIF(CAPA3_EXPANSION!$D$56:BY$56,"&gt;="&amp;22)=0,0,SUP_CONTROL!$C$8*IF($B29="V",1,IF($B29="D",(1+SUP_VOLUMEN!$C$26),(1+SUP_VOLUMEN!$C$27)))*INDEX(SUP_C3_EXPANSION!$C$6:$F$6,MIN(4,COUNTIF(CAPA3_EXPANSION!$D$56:BY$56,"&gt;="&amp;22)))*CAPA3_EXPANSION!BY$36)</f>
        <v>2861.95</v>
      </c>
      <c r="BZ29" s="88">
        <f>IF(COUNTIF(CAPA3_EXPANSION!$D$56:BZ$56,"&gt;="&amp;22)=0,0,SUP_CONTROL!$C$8*IF($B29="V",1,IF($B29="D",(1+SUP_VOLUMEN!$C$26),(1+SUP_VOLUMEN!$C$27)))*INDEX(SUP_C3_EXPANSION!$C$6:$F$6,MIN(4,COUNTIF(CAPA3_EXPANSION!$D$56:BZ$56,"&gt;="&amp;22)))*CAPA3_EXPANSION!BZ$36)</f>
        <v>2828.2799999999997</v>
      </c>
      <c r="CA29" s="88">
        <f>IF(COUNTIF(CAPA3_EXPANSION!$D$56:CA$56,"&gt;="&amp;22)=0,0,SUP_CONTROL!$C$8*IF($B29="V",1,IF($B29="D",(1+SUP_VOLUMEN!$C$26),(1+SUP_VOLUMEN!$C$27)))*INDEX(SUP_C3_EXPANSION!$C$6:$F$6,MIN(4,COUNTIF(CAPA3_EXPANSION!$D$56:CA$56,"&gt;="&amp;22)))*CAPA3_EXPANSION!CA$36)</f>
        <v>2828.2799999999997</v>
      </c>
      <c r="CB29" s="88">
        <f>IF(COUNTIF(CAPA3_EXPANSION!$D$56:CB$56,"&gt;="&amp;22)=0,0,SUP_CONTROL!$C$8*IF($B29="V",1,IF($B29="D",(1+SUP_VOLUMEN!$C$26),(1+SUP_VOLUMEN!$C$27)))*INDEX(SUP_C3_EXPANSION!$C$6:$F$6,MIN(4,COUNTIF(CAPA3_EXPANSION!$D$56:CB$56,"&gt;="&amp;22)))*CAPA3_EXPANSION!CB$36)</f>
        <v>2828.2799999999997</v>
      </c>
      <c r="CC29" s="88">
        <f>IF(COUNTIF(CAPA3_EXPANSION!$D$56:CC$56,"&gt;="&amp;22)=0,0,SUP_CONTROL!$C$8*IF($B29="V",1,IF($B29="D",(1+SUP_VOLUMEN!$C$26),(1+SUP_VOLUMEN!$C$27)))*INDEX(SUP_C3_EXPANSION!$C$6:$F$6,MIN(4,COUNTIF(CAPA3_EXPANSION!$D$56:CC$56,"&gt;="&amp;22)))*CAPA3_EXPANSION!CC$36)</f>
        <v>2828.2799999999997</v>
      </c>
      <c r="CD29" s="88">
        <f>IF(COUNTIF(CAPA3_EXPANSION!$D$56:CD$56,"&gt;="&amp;22)=0,0,SUP_CONTROL!$C$8*IF($B29="V",1,IF($B29="D",(1+SUP_VOLUMEN!$C$26),(1+SUP_VOLUMEN!$C$27)))*INDEX(SUP_C3_EXPANSION!$C$6:$F$6,MIN(4,COUNTIF(CAPA3_EXPANSION!$D$56:CD$56,"&gt;="&amp;22)))*CAPA3_EXPANSION!CD$36)</f>
        <v>2828.2799999999997</v>
      </c>
      <c r="CE29" s="88">
        <f>IF(COUNTIF(CAPA3_EXPANSION!$D$56:CE$56,"&gt;="&amp;22)=0,0,SUP_CONTROL!$C$8*IF($B29="V",1,IF($B29="D",(1+SUP_VOLUMEN!$C$26),(1+SUP_VOLUMEN!$C$27)))*INDEX(SUP_C3_EXPANSION!$C$6:$F$6,MIN(4,COUNTIF(CAPA3_EXPANSION!$D$56:CE$56,"&gt;="&amp;22)))*CAPA3_EXPANSION!CE$36)</f>
        <v>2828.2799999999997</v>
      </c>
      <c r="CF29" s="88">
        <f>IF(COUNTIF(CAPA3_EXPANSION!$D$56:CF$56,"&gt;="&amp;22)=0,0,SUP_CONTROL!$C$8*IF($B29="V",1,IF($B29="D",(1+SUP_VOLUMEN!$C$26),(1+SUP_VOLUMEN!$C$27)))*INDEX(SUP_C3_EXPANSION!$C$6:$F$6,MIN(4,COUNTIF(CAPA3_EXPANSION!$D$56:CF$56,"&gt;="&amp;22)))*CAPA3_EXPANSION!CF$36)</f>
        <v>2828.2799999999997</v>
      </c>
      <c r="CG29" s="88">
        <f>IF(COUNTIF(CAPA3_EXPANSION!$D$56:CG$56,"&gt;="&amp;22)=0,0,SUP_CONTROL!$C$8*IF($B29="V",1,IF($B29="D",(1+SUP_VOLUMEN!$C$26),(1+SUP_VOLUMEN!$C$27)))*INDEX(SUP_C3_EXPANSION!$C$6:$F$6,MIN(4,COUNTIF(CAPA3_EXPANSION!$D$56:CG$56,"&gt;="&amp;22)))*CAPA3_EXPANSION!CG$36)</f>
        <v>2828.2799999999997</v>
      </c>
      <c r="CH29" s="88">
        <f>IF(COUNTIF(CAPA3_EXPANSION!$D$56:CH$56,"&gt;="&amp;22)=0,0,SUP_CONTROL!$C$8*IF($B29="V",1,IF($B29="D",(1+SUP_VOLUMEN!$C$26),(1+SUP_VOLUMEN!$C$27)))*INDEX(SUP_C3_EXPANSION!$C$6:$F$6,MIN(4,COUNTIF(CAPA3_EXPANSION!$D$56:CH$56,"&gt;="&amp;22)))*CAPA3_EXPANSION!CH$36)</f>
        <v>2828.2799999999997</v>
      </c>
      <c r="CI29" s="88">
        <f>IF(COUNTIF(CAPA3_EXPANSION!$D$56:CI$56,"&gt;="&amp;22)=0,0,SUP_CONTROL!$C$8*IF($B29="V",1,IF($B29="D",(1+SUP_VOLUMEN!$C$26),(1+SUP_VOLUMEN!$C$27)))*INDEX(SUP_C3_EXPANSION!$C$6:$F$6,MIN(4,COUNTIF(CAPA3_EXPANSION!$D$56:CI$56,"&gt;="&amp;22)))*CAPA3_EXPANSION!CI$36)</f>
        <v>2828.2799999999997</v>
      </c>
      <c r="CJ29" s="88">
        <f>IF(COUNTIF(CAPA3_EXPANSION!$D$56:CJ$56,"&gt;="&amp;22)=0,0,SUP_CONTROL!$C$8*IF($B29="V",1,IF($B29="D",(1+SUP_VOLUMEN!$C$26),(1+SUP_VOLUMEN!$C$27)))*INDEX(SUP_C3_EXPANSION!$C$6:$F$6,MIN(4,COUNTIF(CAPA3_EXPANSION!$D$56:CJ$56,"&gt;="&amp;22)))*CAPA3_EXPANSION!CJ$36)</f>
        <v>2828.2799999999997</v>
      </c>
      <c r="CK29" s="88">
        <f>IF(COUNTIF(CAPA3_EXPANSION!$D$56:CK$56,"&gt;="&amp;22)=0,0,SUP_CONTROL!$C$8*IF($B29="V",1,IF($B29="D",(1+SUP_VOLUMEN!$C$26),(1+SUP_VOLUMEN!$C$27)))*INDEX(SUP_C3_EXPANSION!$C$6:$F$6,MIN(4,COUNTIF(CAPA3_EXPANSION!$D$56:CK$56,"&gt;="&amp;22)))*CAPA3_EXPANSION!CK$36)</f>
        <v>2828.2799999999997</v>
      </c>
      <c r="CL29" s="88">
        <f>IF(COUNTIF(CAPA3_EXPANSION!$D$56:CL$56,"&gt;="&amp;22)=0,0,SUP_CONTROL!$C$8*IF($B29="V",1,IF($B29="D",(1+SUP_VOLUMEN!$C$26),(1+SUP_VOLUMEN!$C$27)))*INDEX(SUP_C3_EXPANSION!$C$6:$F$6,MIN(4,COUNTIF(CAPA3_EXPANSION!$D$56:CL$56,"&gt;="&amp;22)))*CAPA3_EXPANSION!CL$36)</f>
        <v>2828.2799999999997</v>
      </c>
      <c r="CM29" s="88">
        <f>IF(COUNTIF(CAPA3_EXPANSION!$D$56:CM$56,"&gt;="&amp;22)=0,0,SUP_CONTROL!$C$8*IF($B29="V",1,IF($B29="D",(1+SUP_VOLUMEN!$C$26),(1+SUP_VOLUMEN!$C$27)))*INDEX(SUP_C3_EXPANSION!$C$6:$F$6,MIN(4,COUNTIF(CAPA3_EXPANSION!$D$56:CM$56,"&gt;="&amp;22)))*CAPA3_EXPANSION!CM$36)</f>
        <v>2828.2799999999997</v>
      </c>
      <c r="CN29" s="88">
        <f>IF(COUNTIF(CAPA3_EXPANSION!$D$56:CN$56,"&gt;="&amp;22)=0,0,SUP_CONTROL!$C$8*IF($B29="V",1,IF($B29="D",(1+SUP_VOLUMEN!$C$26),(1+SUP_VOLUMEN!$C$27)))*INDEX(SUP_C3_EXPANSION!$C$6:$F$6,MIN(4,COUNTIF(CAPA3_EXPANSION!$D$56:CN$56,"&gt;="&amp;22)))*CAPA3_EXPANSION!CN$36)</f>
        <v>2828.2799999999997</v>
      </c>
      <c r="CO29" s="88">
        <f>IF(COUNTIF(CAPA3_EXPANSION!$D$56:CO$56,"&gt;="&amp;22)=0,0,SUP_CONTROL!$C$8*IF($B29="V",1,IF($B29="D",(1+SUP_VOLUMEN!$C$26),(1+SUP_VOLUMEN!$C$27)))*INDEX(SUP_C3_EXPANSION!$C$6:$F$6,MIN(4,COUNTIF(CAPA3_EXPANSION!$D$56:CO$56,"&gt;="&amp;22)))*CAPA3_EXPANSION!CO$36)</f>
        <v>2828.2799999999997</v>
      </c>
      <c r="CP29" s="88">
        <f>IF(COUNTIF(CAPA3_EXPANSION!$D$56:CP$56,"&gt;="&amp;22)=0,0,SUP_CONTROL!$C$8*IF($B29="V",1,IF($B29="D",(1+SUP_VOLUMEN!$C$26),(1+SUP_VOLUMEN!$C$27)))*INDEX(SUP_C3_EXPANSION!$C$6:$F$6,MIN(4,COUNTIF(CAPA3_EXPANSION!$D$56:CP$56,"&gt;="&amp;22)))*CAPA3_EXPANSION!CP$36)</f>
        <v>2828.2799999999997</v>
      </c>
      <c r="CQ29" s="88">
        <f>IF(COUNTIF(CAPA3_EXPANSION!$D$56:CQ$56,"&gt;="&amp;22)=0,0,SUP_CONTROL!$C$8*IF($B29="V",1,IF($B29="D",(1+SUP_VOLUMEN!$C$26),(1+SUP_VOLUMEN!$C$27)))*INDEX(SUP_C3_EXPANSION!$C$6:$F$6,MIN(4,COUNTIF(CAPA3_EXPANSION!$D$56:CQ$56,"&gt;="&amp;22)))*CAPA3_EXPANSION!CQ$36)</f>
        <v>2828.2799999999997</v>
      </c>
      <c r="CR29" s="88">
        <f>IF(COUNTIF(CAPA3_EXPANSION!$D$56:CR$56,"&gt;="&amp;22)=0,0,SUP_CONTROL!$C$8*IF($B29="V",1,IF($B29="D",(1+SUP_VOLUMEN!$C$26),(1+SUP_VOLUMEN!$C$27)))*INDEX(SUP_C3_EXPANSION!$C$6:$F$6,MIN(4,COUNTIF(CAPA3_EXPANSION!$D$56:CR$56,"&gt;="&amp;22)))*CAPA3_EXPANSION!CR$36)</f>
        <v>2828.2799999999997</v>
      </c>
      <c r="CS29" s="88">
        <f>IF(COUNTIF(CAPA3_EXPANSION!$D$56:CS$56,"&gt;="&amp;22)=0,0,SUP_CONTROL!$C$8*IF($B29="V",1,IF($B29="D",(1+SUP_VOLUMEN!$C$26),(1+SUP_VOLUMEN!$C$27)))*INDEX(SUP_C3_EXPANSION!$C$6:$F$6,MIN(4,COUNTIF(CAPA3_EXPANSION!$D$56:CS$56,"&gt;="&amp;22)))*CAPA3_EXPANSION!CS$36)</f>
        <v>2828.2799999999997</v>
      </c>
      <c r="CT29" s="88">
        <f>IF(COUNTIF(CAPA3_EXPANSION!$D$56:CT$56,"&gt;="&amp;22)=0,0,SUP_CONTROL!$C$8*IF($B29="V",1,IF($B29="D",(1+SUP_VOLUMEN!$C$26),(1+SUP_VOLUMEN!$C$27)))*INDEX(SUP_C3_EXPANSION!$C$6:$F$6,MIN(4,COUNTIF(CAPA3_EXPANSION!$D$56:CT$56,"&gt;="&amp;22)))*CAPA3_EXPANSION!CT$36)</f>
        <v>2828.2799999999997</v>
      </c>
      <c r="CU29" s="88">
        <f>IF(COUNTIF(CAPA3_EXPANSION!$D$56:CU$56,"&gt;="&amp;22)=0,0,SUP_CONTROL!$C$8*IF($B29="V",1,IF($B29="D",(1+SUP_VOLUMEN!$C$26),(1+SUP_VOLUMEN!$C$27)))*INDEX(SUP_C3_EXPANSION!$C$6:$F$6,MIN(4,COUNTIF(CAPA3_EXPANSION!$D$56:CU$56,"&gt;="&amp;22)))*CAPA3_EXPANSION!CU$36)</f>
        <v>2828.2799999999997</v>
      </c>
      <c r="CV29" s="88">
        <f>IF(COUNTIF(CAPA3_EXPANSION!$D$56:CV$56,"&gt;="&amp;22)=0,0,SUP_CONTROL!$C$8*IF($B29="V",1,IF($B29="D",(1+SUP_VOLUMEN!$C$26),(1+SUP_VOLUMEN!$C$27)))*INDEX(SUP_C3_EXPANSION!$C$6:$F$6,MIN(4,COUNTIF(CAPA3_EXPANSION!$D$56:CV$56,"&gt;="&amp;22)))*CAPA3_EXPANSION!CV$36)</f>
        <v>2828.2799999999997</v>
      </c>
      <c r="CW29" s="88">
        <f>IF(COUNTIF(CAPA3_EXPANSION!$D$56:CW$56,"&gt;="&amp;22)=0,0,SUP_CONTROL!$C$8*IF($B29="V",1,IF($B29="D",(1+SUP_VOLUMEN!$C$26),(1+SUP_VOLUMEN!$C$27)))*INDEX(SUP_C3_EXPANSION!$C$6:$F$6,MIN(4,COUNTIF(CAPA3_EXPANSION!$D$56:CW$56,"&gt;="&amp;22)))*CAPA3_EXPANSION!CW$36)</f>
        <v>2828.2799999999997</v>
      </c>
      <c r="CX29" s="88">
        <f>IF(COUNTIF(CAPA3_EXPANSION!$D$56:CX$56,"&gt;="&amp;22)=0,0,SUP_CONTROL!$C$8*IF($B29="V",1,IF($B29="D",(1+SUP_VOLUMEN!$C$26),(1+SUP_VOLUMEN!$C$27)))*INDEX(SUP_C3_EXPANSION!$C$6:$F$6,MIN(4,COUNTIF(CAPA3_EXPANSION!$D$56:CX$56,"&gt;="&amp;22)))*CAPA3_EXPANSION!CX$36)</f>
        <v>2828.2799999999997</v>
      </c>
      <c r="CY29" s="88">
        <f>IF(COUNTIF(CAPA3_EXPANSION!$D$56:CY$56,"&gt;="&amp;22)=0,0,SUP_CONTROL!$C$8*IF($B29="V",1,IF($B29="D",(1+SUP_VOLUMEN!$C$26),(1+SUP_VOLUMEN!$C$27)))*INDEX(SUP_C3_EXPANSION!$C$6:$F$6,MIN(4,COUNTIF(CAPA3_EXPANSION!$D$56:CY$56,"&gt;="&amp;22)))*CAPA3_EXPANSION!CY$36)</f>
        <v>2828.2799999999997</v>
      </c>
      <c r="CZ29" s="88">
        <f>IF(COUNTIF(CAPA3_EXPANSION!$D$56:CZ$56,"&gt;="&amp;22)=0,0,SUP_CONTROL!$C$8*IF($B29="V",1,IF($B29="D",(1+SUP_VOLUMEN!$C$26),(1+SUP_VOLUMEN!$C$27)))*INDEX(SUP_C3_EXPANSION!$C$6:$F$6,MIN(4,COUNTIF(CAPA3_EXPANSION!$D$56:CZ$56,"&gt;="&amp;22)))*CAPA3_EXPANSION!CZ$36)</f>
        <v>2828.2799999999997</v>
      </c>
      <c r="DA29" s="88">
        <f>IF(COUNTIF(CAPA3_EXPANSION!$D$56:DA$56,"&gt;="&amp;22)=0,0,SUP_CONTROL!$C$8*IF($B29="V",1,IF($B29="D",(1+SUP_VOLUMEN!$C$26),(1+SUP_VOLUMEN!$C$27)))*INDEX(SUP_C3_EXPANSION!$C$6:$F$6,MIN(4,COUNTIF(CAPA3_EXPANSION!$D$56:DA$56,"&gt;="&amp;22)))*CAPA3_EXPANSION!DA$36)</f>
        <v>2828.2799999999997</v>
      </c>
      <c r="DB29" s="88">
        <f>IF(COUNTIF(CAPA3_EXPANSION!$D$56:DB$56,"&gt;="&amp;22)=0,0,SUP_CONTROL!$C$8*IF($B29="V",1,IF($B29="D",(1+SUP_VOLUMEN!$C$26),(1+SUP_VOLUMEN!$C$27)))*INDEX(SUP_C3_EXPANSION!$C$6:$F$6,MIN(4,COUNTIF(CAPA3_EXPANSION!$D$56:DB$56,"&gt;="&amp;22)))*CAPA3_EXPANSION!DB$36)</f>
        <v>2828.2799999999997</v>
      </c>
      <c r="DC29" s="88">
        <f>IF(COUNTIF(CAPA3_EXPANSION!$D$56:DC$56,"&gt;="&amp;22)=0,0,SUP_CONTROL!$C$8*IF($B29="V",1,IF($B29="D",(1+SUP_VOLUMEN!$C$26),(1+SUP_VOLUMEN!$C$27)))*INDEX(SUP_C3_EXPANSION!$C$6:$F$6,MIN(4,COUNTIF(CAPA3_EXPANSION!$D$56:DC$56,"&gt;="&amp;22)))*CAPA3_EXPANSION!DC$36)</f>
        <v>2828.2799999999997</v>
      </c>
      <c r="DD29" s="88">
        <f>IF(COUNTIF(CAPA3_EXPANSION!$D$56:DD$56,"&gt;="&amp;22)=0,0,SUP_CONTROL!$C$8*IF($B29="V",1,IF($B29="D",(1+SUP_VOLUMEN!$C$26),(1+SUP_VOLUMEN!$C$27)))*INDEX(SUP_C3_EXPANSION!$C$6:$F$6,MIN(4,COUNTIF(CAPA3_EXPANSION!$D$56:DD$56,"&gt;="&amp;22)))*CAPA3_EXPANSION!DD$36)</f>
        <v>2828.2799999999997</v>
      </c>
      <c r="DE29" s="88">
        <f>IF(COUNTIF(CAPA3_EXPANSION!$D$56:DE$56,"&gt;="&amp;22)=0,0,SUP_CONTROL!$C$8*IF($B29="V",1,IF($B29="D",(1+SUP_VOLUMEN!$C$26),(1+SUP_VOLUMEN!$C$27)))*INDEX(SUP_C3_EXPANSION!$C$6:$F$6,MIN(4,COUNTIF(CAPA3_EXPANSION!$D$56:DE$56,"&gt;="&amp;22)))*CAPA3_EXPANSION!DE$36)</f>
        <v>2828.2799999999997</v>
      </c>
      <c r="DF29" s="88">
        <f>IF(COUNTIF(CAPA3_EXPANSION!$D$56:DF$56,"&gt;="&amp;22)=0,0,SUP_CONTROL!$C$8*IF($B29="V",1,IF($B29="D",(1+SUP_VOLUMEN!$C$26),(1+SUP_VOLUMEN!$C$27)))*INDEX(SUP_C3_EXPANSION!$C$6:$F$6,MIN(4,COUNTIF(CAPA3_EXPANSION!$D$56:DF$56,"&gt;="&amp;22)))*CAPA3_EXPANSION!DF$36)</f>
        <v>2828.2799999999997</v>
      </c>
      <c r="DG29" s="88">
        <f>IF(COUNTIF(CAPA3_EXPANSION!$D$56:DG$56,"&gt;="&amp;22)=0,0,SUP_CONTROL!$C$8*IF($B29="V",1,IF($B29="D",(1+SUP_VOLUMEN!$C$26),(1+SUP_VOLUMEN!$C$27)))*INDEX(SUP_C3_EXPANSION!$C$6:$F$6,MIN(4,COUNTIF(CAPA3_EXPANSION!$D$56:DG$56,"&gt;="&amp;22)))*CAPA3_EXPANSION!DG$36)</f>
        <v>2828.2799999999997</v>
      </c>
      <c r="DH29" s="88">
        <f>IF(COUNTIF(CAPA3_EXPANSION!$D$56:DH$56,"&gt;="&amp;22)=0,0,SUP_CONTROL!$C$8*IF($B29="V",1,IF($B29="D",(1+SUP_VOLUMEN!$C$26),(1+SUP_VOLUMEN!$C$27)))*INDEX(SUP_C3_EXPANSION!$C$6:$F$6,MIN(4,COUNTIF(CAPA3_EXPANSION!$D$56:DH$56,"&gt;="&amp;22)))*CAPA3_EXPANSION!DH$36)</f>
        <v>2828.2799999999997</v>
      </c>
      <c r="DI29" s="88">
        <f>IF(COUNTIF(CAPA3_EXPANSION!$D$56:DI$56,"&gt;="&amp;22)=0,0,SUP_CONTROL!$C$8*IF($B29="V",1,IF($B29="D",(1+SUP_VOLUMEN!$C$26),(1+SUP_VOLUMEN!$C$27)))*INDEX(SUP_C3_EXPANSION!$C$6:$F$6,MIN(4,COUNTIF(CAPA3_EXPANSION!$D$56:DI$56,"&gt;="&amp;22)))*CAPA3_EXPANSION!DI$36)</f>
        <v>2828.2799999999997</v>
      </c>
      <c r="DJ29" s="88">
        <f>IF(COUNTIF(CAPA3_EXPANSION!$D$56:DJ$56,"&gt;="&amp;22)=0,0,SUP_CONTROL!$C$8*IF($B29="V",1,IF($B29="D",(1+SUP_VOLUMEN!$C$26),(1+SUP_VOLUMEN!$C$27)))*INDEX(SUP_C3_EXPANSION!$C$6:$F$6,MIN(4,COUNTIF(CAPA3_EXPANSION!$D$56:DJ$56,"&gt;="&amp;22)))*CAPA3_EXPANSION!DJ$36)</f>
        <v>2828.2799999999997</v>
      </c>
      <c r="DK29" s="88">
        <f>IF(COUNTIF(CAPA3_EXPANSION!$D$56:DK$56,"&gt;="&amp;22)=0,0,SUP_CONTROL!$C$8*IF($B29="V",1,IF($B29="D",(1+SUP_VOLUMEN!$C$26),(1+SUP_VOLUMEN!$C$27)))*INDEX(SUP_C3_EXPANSION!$C$6:$F$6,MIN(4,COUNTIF(CAPA3_EXPANSION!$D$56:DK$56,"&gt;="&amp;22)))*CAPA3_EXPANSION!DK$36)</f>
        <v>2828.2799999999997</v>
      </c>
      <c r="DL29" s="88">
        <f>IF(COUNTIF(CAPA3_EXPANSION!$D$56:DL$56,"&gt;="&amp;22)=0,0,SUP_CONTROL!$C$8*IF($B29="V",1,IF($B29="D",(1+SUP_VOLUMEN!$C$26),(1+SUP_VOLUMEN!$C$27)))*INDEX(SUP_C3_EXPANSION!$C$6:$F$6,MIN(4,COUNTIF(CAPA3_EXPANSION!$D$56:DL$56,"&gt;="&amp;22)))*CAPA3_EXPANSION!DL$36)</f>
        <v>2828.2799999999997</v>
      </c>
      <c r="DM29" s="88">
        <f>IF(COUNTIF(CAPA3_EXPANSION!$D$56:DM$56,"&gt;="&amp;22)=0,0,SUP_CONTROL!$C$8*IF($B29="V",1,IF($B29="D",(1+SUP_VOLUMEN!$C$26),(1+SUP_VOLUMEN!$C$27)))*INDEX(SUP_C3_EXPANSION!$C$6:$F$6,MIN(4,COUNTIF(CAPA3_EXPANSION!$D$56:DM$56,"&gt;="&amp;22)))*CAPA3_EXPANSION!DM$36)</f>
        <v>2828.2799999999997</v>
      </c>
      <c r="DN29" s="88">
        <f>IF(COUNTIF(CAPA3_EXPANSION!$D$56:DN$56,"&gt;="&amp;22)=0,0,SUP_CONTROL!$C$8*IF($B29="V",1,IF($B29="D",(1+SUP_VOLUMEN!$C$26),(1+SUP_VOLUMEN!$C$27)))*INDEX(SUP_C3_EXPANSION!$C$6:$F$6,MIN(4,COUNTIF(CAPA3_EXPANSION!$D$56:DN$56,"&gt;="&amp;22)))*CAPA3_EXPANSION!DN$36)</f>
        <v>2828.2799999999997</v>
      </c>
      <c r="DO29" s="88">
        <f>IF(COUNTIF(CAPA3_EXPANSION!$D$56:DO$56,"&gt;="&amp;22)=0,0,SUP_CONTROL!$C$8*IF($B29="V",1,IF($B29="D",(1+SUP_VOLUMEN!$C$26),(1+SUP_VOLUMEN!$C$27)))*INDEX(SUP_C3_EXPANSION!$C$6:$F$6,MIN(4,COUNTIF(CAPA3_EXPANSION!$D$56:DO$56,"&gt;="&amp;22)))*CAPA3_EXPANSION!DO$36)</f>
        <v>2828.2799999999997</v>
      </c>
      <c r="DP29" s="88">
        <f>IF(COUNTIF(CAPA3_EXPANSION!$D$56:DP$56,"&gt;="&amp;22)=0,0,SUP_CONTROL!$C$8*IF($B29="V",1,IF($B29="D",(1+SUP_VOLUMEN!$C$26),(1+SUP_VOLUMEN!$C$27)))*INDEX(SUP_C3_EXPANSION!$C$6:$F$6,MIN(4,COUNTIF(CAPA3_EXPANSION!$D$56:DP$56,"&gt;="&amp;22)))*CAPA3_EXPANSION!DP$36)</f>
        <v>2828.2799999999997</v>
      </c>
      <c r="DQ29" s="88">
        <f>IF(COUNTIF(CAPA3_EXPANSION!$D$56:DQ$56,"&gt;="&amp;22)=0,0,SUP_CONTROL!$C$8*IF($B29="V",1,IF($B29="D",(1+SUP_VOLUMEN!$C$26),(1+SUP_VOLUMEN!$C$27)))*INDEX(SUP_C3_EXPANSION!$C$6:$F$6,MIN(4,COUNTIF(CAPA3_EXPANSION!$D$56:DQ$56,"&gt;="&amp;22)))*CAPA3_EXPANSION!DQ$36)</f>
        <v>2828.2799999999997</v>
      </c>
      <c r="DR29" s="88">
        <f>IF(COUNTIF(CAPA3_EXPANSION!$D$56:DR$56,"&gt;="&amp;22)=0,0,SUP_CONTROL!$C$8*IF($B29="V",1,IF($B29="D",(1+SUP_VOLUMEN!$C$26),(1+SUP_VOLUMEN!$C$27)))*INDEX(SUP_C3_EXPANSION!$C$6:$F$6,MIN(4,COUNTIF(CAPA3_EXPANSION!$D$56:DR$56,"&gt;="&amp;22)))*CAPA3_EXPANSION!DR$36)</f>
        <v>2828.2799999999997</v>
      </c>
      <c r="DS29" s="88">
        <f>IF(COUNTIF(CAPA3_EXPANSION!$D$56:DS$56,"&gt;="&amp;22)=0,0,SUP_CONTROL!$C$8*IF($B29="V",1,IF($B29="D",(1+SUP_VOLUMEN!$C$26),(1+SUP_VOLUMEN!$C$27)))*INDEX(SUP_C3_EXPANSION!$C$6:$F$6,MIN(4,COUNTIF(CAPA3_EXPANSION!$D$56:DS$56,"&gt;="&amp;22)))*CAPA3_EXPANSION!DS$36)</f>
        <v>2828.2799999999997</v>
      </c>
    </row>
    <row r="30" spans="1:123" ht="15" customHeight="1" x14ac:dyDescent="0.2">
      <c r="A30" s="88">
        <v>33</v>
      </c>
      <c r="B30" s="104" t="str">
        <f>SUP_C3_EXPANSION!B42</f>
        <v>V</v>
      </c>
      <c r="C30" s="73">
        <f>SUP_C3_EXPANSION!G42</f>
        <v>58</v>
      </c>
      <c r="D30" s="88">
        <f>IF(COUNTIF(CAPA3_EXPANSION!$D$56:D$56,"&gt;="&amp;23)=0,0,SUP_CONTROL!$C$8*IF($B30="V",1,IF($B30="D",(1+SUP_VOLUMEN!$C$26),(1+SUP_VOLUMEN!$C$27)))*INDEX(SUP_C3_EXPANSION!$C$6:$F$6,MIN(4,COUNTIF(CAPA3_EXPANSION!$D$56:D$56,"&gt;="&amp;23)))*CAPA3_EXPANSION!D$36)</f>
        <v>0</v>
      </c>
      <c r="E30" s="88">
        <f>IF(COUNTIF(CAPA3_EXPANSION!$D$56:E$56,"&gt;="&amp;23)=0,0,SUP_CONTROL!$C$8*IF($B30="V",1,IF($B30="D",(1+SUP_VOLUMEN!$C$26),(1+SUP_VOLUMEN!$C$27)))*INDEX(SUP_C3_EXPANSION!$C$6:$F$6,MIN(4,COUNTIF(CAPA3_EXPANSION!$D$56:E$56,"&gt;="&amp;23)))*CAPA3_EXPANSION!E$36)</f>
        <v>0</v>
      </c>
      <c r="F30" s="88">
        <f>IF(COUNTIF(CAPA3_EXPANSION!$D$56:F$56,"&gt;="&amp;23)=0,0,SUP_CONTROL!$C$8*IF($B30="V",1,IF($B30="D",(1+SUP_VOLUMEN!$C$26),(1+SUP_VOLUMEN!$C$27)))*INDEX(SUP_C3_EXPANSION!$C$6:$F$6,MIN(4,COUNTIF(CAPA3_EXPANSION!$D$56:F$56,"&gt;="&amp;23)))*CAPA3_EXPANSION!F$36)</f>
        <v>0</v>
      </c>
      <c r="G30" s="88">
        <f>IF(COUNTIF(CAPA3_EXPANSION!$D$56:G$56,"&gt;="&amp;23)=0,0,SUP_CONTROL!$C$8*IF($B30="V",1,IF($B30="D",(1+SUP_VOLUMEN!$C$26),(1+SUP_VOLUMEN!$C$27)))*INDEX(SUP_C3_EXPANSION!$C$6:$F$6,MIN(4,COUNTIF(CAPA3_EXPANSION!$D$56:G$56,"&gt;="&amp;23)))*CAPA3_EXPANSION!G$36)</f>
        <v>0</v>
      </c>
      <c r="H30" s="88">
        <f>IF(COUNTIF(CAPA3_EXPANSION!$D$56:H$56,"&gt;="&amp;23)=0,0,SUP_CONTROL!$C$8*IF($B30="V",1,IF($B30="D",(1+SUP_VOLUMEN!$C$26),(1+SUP_VOLUMEN!$C$27)))*INDEX(SUP_C3_EXPANSION!$C$6:$F$6,MIN(4,COUNTIF(CAPA3_EXPANSION!$D$56:H$56,"&gt;="&amp;23)))*CAPA3_EXPANSION!H$36)</f>
        <v>0</v>
      </c>
      <c r="I30" s="88">
        <f>IF(COUNTIF(CAPA3_EXPANSION!$D$56:I$56,"&gt;="&amp;23)=0,0,SUP_CONTROL!$C$8*IF($B30="V",1,IF($B30="D",(1+SUP_VOLUMEN!$C$26),(1+SUP_VOLUMEN!$C$27)))*INDEX(SUP_C3_EXPANSION!$C$6:$F$6,MIN(4,COUNTIF(CAPA3_EXPANSION!$D$56:I$56,"&gt;="&amp;23)))*CAPA3_EXPANSION!I$36)</f>
        <v>0</v>
      </c>
      <c r="J30" s="88">
        <f>IF(COUNTIF(CAPA3_EXPANSION!$D$56:J$56,"&gt;="&amp;23)=0,0,SUP_CONTROL!$C$8*IF($B30="V",1,IF($B30="D",(1+SUP_VOLUMEN!$C$26),(1+SUP_VOLUMEN!$C$27)))*INDEX(SUP_C3_EXPANSION!$C$6:$F$6,MIN(4,COUNTIF(CAPA3_EXPANSION!$D$56:J$56,"&gt;="&amp;23)))*CAPA3_EXPANSION!J$36)</f>
        <v>0</v>
      </c>
      <c r="K30" s="88">
        <f>IF(COUNTIF(CAPA3_EXPANSION!$D$56:K$56,"&gt;="&amp;23)=0,0,SUP_CONTROL!$C$8*IF($B30="V",1,IF($B30="D",(1+SUP_VOLUMEN!$C$26),(1+SUP_VOLUMEN!$C$27)))*INDEX(SUP_C3_EXPANSION!$C$6:$F$6,MIN(4,COUNTIF(CAPA3_EXPANSION!$D$56:K$56,"&gt;="&amp;23)))*CAPA3_EXPANSION!K$36)</f>
        <v>0</v>
      </c>
      <c r="L30" s="88">
        <f>IF(COUNTIF(CAPA3_EXPANSION!$D$56:L$56,"&gt;="&amp;23)=0,0,SUP_CONTROL!$C$8*IF($B30="V",1,IF($B30="D",(1+SUP_VOLUMEN!$C$26),(1+SUP_VOLUMEN!$C$27)))*INDEX(SUP_C3_EXPANSION!$C$6:$F$6,MIN(4,COUNTIF(CAPA3_EXPANSION!$D$56:L$56,"&gt;="&amp;23)))*CAPA3_EXPANSION!L$36)</f>
        <v>0</v>
      </c>
      <c r="M30" s="88">
        <f>IF(COUNTIF(CAPA3_EXPANSION!$D$56:M$56,"&gt;="&amp;23)=0,0,SUP_CONTROL!$C$8*IF($B30="V",1,IF($B30="D",(1+SUP_VOLUMEN!$C$26),(1+SUP_VOLUMEN!$C$27)))*INDEX(SUP_C3_EXPANSION!$C$6:$F$6,MIN(4,COUNTIF(CAPA3_EXPANSION!$D$56:M$56,"&gt;="&amp;23)))*CAPA3_EXPANSION!M$36)</f>
        <v>0</v>
      </c>
      <c r="N30" s="88">
        <f>IF(COUNTIF(CAPA3_EXPANSION!$D$56:N$56,"&gt;="&amp;23)=0,0,SUP_CONTROL!$C$8*IF($B30="V",1,IF($B30="D",(1+SUP_VOLUMEN!$C$26),(1+SUP_VOLUMEN!$C$27)))*INDEX(SUP_C3_EXPANSION!$C$6:$F$6,MIN(4,COUNTIF(CAPA3_EXPANSION!$D$56:N$56,"&gt;="&amp;23)))*CAPA3_EXPANSION!N$36)</f>
        <v>0</v>
      </c>
      <c r="O30" s="88">
        <f>IF(COUNTIF(CAPA3_EXPANSION!$D$56:O$56,"&gt;="&amp;23)=0,0,SUP_CONTROL!$C$8*IF($B30="V",1,IF($B30="D",(1+SUP_VOLUMEN!$C$26),(1+SUP_VOLUMEN!$C$27)))*INDEX(SUP_C3_EXPANSION!$C$6:$F$6,MIN(4,COUNTIF(CAPA3_EXPANSION!$D$56:O$56,"&gt;="&amp;23)))*CAPA3_EXPANSION!O$36)</f>
        <v>0</v>
      </c>
      <c r="P30" s="88">
        <f>IF(COUNTIF(CAPA3_EXPANSION!$D$56:P$56,"&gt;="&amp;23)=0,0,SUP_CONTROL!$C$8*IF($B30="V",1,IF($B30="D",(1+SUP_VOLUMEN!$C$26),(1+SUP_VOLUMEN!$C$27)))*INDEX(SUP_C3_EXPANSION!$C$6:$F$6,MIN(4,COUNTIF(CAPA3_EXPANSION!$D$56:P$56,"&gt;="&amp;23)))*CAPA3_EXPANSION!P$36)</f>
        <v>0</v>
      </c>
      <c r="Q30" s="88">
        <f>IF(COUNTIF(CAPA3_EXPANSION!$D$56:Q$56,"&gt;="&amp;23)=0,0,SUP_CONTROL!$C$8*IF($B30="V",1,IF($B30="D",(1+SUP_VOLUMEN!$C$26),(1+SUP_VOLUMEN!$C$27)))*INDEX(SUP_C3_EXPANSION!$C$6:$F$6,MIN(4,COUNTIF(CAPA3_EXPANSION!$D$56:Q$56,"&gt;="&amp;23)))*CAPA3_EXPANSION!Q$36)</f>
        <v>0</v>
      </c>
      <c r="R30" s="88">
        <f>IF(COUNTIF(CAPA3_EXPANSION!$D$56:R$56,"&gt;="&amp;23)=0,0,SUP_CONTROL!$C$8*IF($B30="V",1,IF($B30="D",(1+SUP_VOLUMEN!$C$26),(1+SUP_VOLUMEN!$C$27)))*INDEX(SUP_C3_EXPANSION!$C$6:$F$6,MIN(4,COUNTIF(CAPA3_EXPANSION!$D$56:R$56,"&gt;="&amp;23)))*CAPA3_EXPANSION!R$36)</f>
        <v>0</v>
      </c>
      <c r="S30" s="88">
        <f>IF(COUNTIF(CAPA3_EXPANSION!$D$56:S$56,"&gt;="&amp;23)=0,0,SUP_CONTROL!$C$8*IF($B30="V",1,IF($B30="D",(1+SUP_VOLUMEN!$C$26),(1+SUP_VOLUMEN!$C$27)))*INDEX(SUP_C3_EXPANSION!$C$6:$F$6,MIN(4,COUNTIF(CAPA3_EXPANSION!$D$56:S$56,"&gt;="&amp;23)))*CAPA3_EXPANSION!S$36)</f>
        <v>0</v>
      </c>
      <c r="T30" s="88">
        <f>IF(COUNTIF(CAPA3_EXPANSION!$D$56:T$56,"&gt;="&amp;23)=0,0,SUP_CONTROL!$C$8*IF($B30="V",1,IF($B30="D",(1+SUP_VOLUMEN!$C$26),(1+SUP_VOLUMEN!$C$27)))*INDEX(SUP_C3_EXPANSION!$C$6:$F$6,MIN(4,COUNTIF(CAPA3_EXPANSION!$D$56:T$56,"&gt;="&amp;23)))*CAPA3_EXPANSION!T$36)</f>
        <v>0</v>
      </c>
      <c r="U30" s="88">
        <f>IF(COUNTIF(CAPA3_EXPANSION!$D$56:U$56,"&gt;="&amp;23)=0,0,SUP_CONTROL!$C$8*IF($B30="V",1,IF($B30="D",(1+SUP_VOLUMEN!$C$26),(1+SUP_VOLUMEN!$C$27)))*INDEX(SUP_C3_EXPANSION!$C$6:$F$6,MIN(4,COUNTIF(CAPA3_EXPANSION!$D$56:U$56,"&gt;="&amp;23)))*CAPA3_EXPANSION!U$36)</f>
        <v>0</v>
      </c>
      <c r="V30" s="88">
        <f>IF(COUNTIF(CAPA3_EXPANSION!$D$56:V$56,"&gt;="&amp;23)=0,0,SUP_CONTROL!$C$8*IF($B30="V",1,IF($B30="D",(1+SUP_VOLUMEN!$C$26),(1+SUP_VOLUMEN!$C$27)))*INDEX(SUP_C3_EXPANSION!$C$6:$F$6,MIN(4,COUNTIF(CAPA3_EXPANSION!$D$56:V$56,"&gt;="&amp;23)))*CAPA3_EXPANSION!V$36)</f>
        <v>0</v>
      </c>
      <c r="W30" s="88">
        <f>IF(COUNTIF(CAPA3_EXPANSION!$D$56:W$56,"&gt;="&amp;23)=0,0,SUP_CONTROL!$C$8*IF($B30="V",1,IF($B30="D",(1+SUP_VOLUMEN!$C$26),(1+SUP_VOLUMEN!$C$27)))*INDEX(SUP_C3_EXPANSION!$C$6:$F$6,MIN(4,COUNTIF(CAPA3_EXPANSION!$D$56:W$56,"&gt;="&amp;23)))*CAPA3_EXPANSION!W$36)</f>
        <v>0</v>
      </c>
      <c r="X30" s="88">
        <f>IF(COUNTIF(CAPA3_EXPANSION!$D$56:X$56,"&gt;="&amp;23)=0,0,SUP_CONTROL!$C$8*IF($B30="V",1,IF($B30="D",(1+SUP_VOLUMEN!$C$26),(1+SUP_VOLUMEN!$C$27)))*INDEX(SUP_C3_EXPANSION!$C$6:$F$6,MIN(4,COUNTIF(CAPA3_EXPANSION!$D$56:X$56,"&gt;="&amp;23)))*CAPA3_EXPANSION!X$36)</f>
        <v>0</v>
      </c>
      <c r="Y30" s="88">
        <f>IF(COUNTIF(CAPA3_EXPANSION!$D$56:Y$56,"&gt;="&amp;23)=0,0,SUP_CONTROL!$C$8*IF($B30="V",1,IF($B30="D",(1+SUP_VOLUMEN!$C$26),(1+SUP_VOLUMEN!$C$27)))*INDEX(SUP_C3_EXPANSION!$C$6:$F$6,MIN(4,COUNTIF(CAPA3_EXPANSION!$D$56:Y$56,"&gt;="&amp;23)))*CAPA3_EXPANSION!Y$36)</f>
        <v>0</v>
      </c>
      <c r="Z30" s="88">
        <f>IF(COUNTIF(CAPA3_EXPANSION!$D$56:Z$56,"&gt;="&amp;23)=0,0,SUP_CONTROL!$C$8*IF($B30="V",1,IF($B30="D",(1+SUP_VOLUMEN!$C$26),(1+SUP_VOLUMEN!$C$27)))*INDEX(SUP_C3_EXPANSION!$C$6:$F$6,MIN(4,COUNTIF(CAPA3_EXPANSION!$D$56:Z$56,"&gt;="&amp;23)))*CAPA3_EXPANSION!Z$36)</f>
        <v>0</v>
      </c>
      <c r="AA30" s="88">
        <f>IF(COUNTIF(CAPA3_EXPANSION!$D$56:AA$56,"&gt;="&amp;23)=0,0,SUP_CONTROL!$C$8*IF($B30="V",1,IF($B30="D",(1+SUP_VOLUMEN!$C$26),(1+SUP_VOLUMEN!$C$27)))*INDEX(SUP_C3_EXPANSION!$C$6:$F$6,MIN(4,COUNTIF(CAPA3_EXPANSION!$D$56:AA$56,"&gt;="&amp;23)))*CAPA3_EXPANSION!AA$36)</f>
        <v>0</v>
      </c>
      <c r="AB30" s="88">
        <f>IF(COUNTIF(CAPA3_EXPANSION!$D$56:AB$56,"&gt;="&amp;23)=0,0,SUP_CONTROL!$C$8*IF($B30="V",1,IF($B30="D",(1+SUP_VOLUMEN!$C$26),(1+SUP_VOLUMEN!$C$27)))*INDEX(SUP_C3_EXPANSION!$C$6:$F$6,MIN(4,COUNTIF(CAPA3_EXPANSION!$D$56:AB$56,"&gt;="&amp;23)))*CAPA3_EXPANSION!AB$36)</f>
        <v>0</v>
      </c>
      <c r="AC30" s="88">
        <f>IF(COUNTIF(CAPA3_EXPANSION!$D$56:AC$56,"&gt;="&amp;23)=0,0,SUP_CONTROL!$C$8*IF($B30="V",1,IF($B30="D",(1+SUP_VOLUMEN!$C$26),(1+SUP_VOLUMEN!$C$27)))*INDEX(SUP_C3_EXPANSION!$C$6:$F$6,MIN(4,COUNTIF(CAPA3_EXPANSION!$D$56:AC$56,"&gt;="&amp;23)))*CAPA3_EXPANSION!AC$36)</f>
        <v>0</v>
      </c>
      <c r="AD30" s="88">
        <f>IF(COUNTIF(CAPA3_EXPANSION!$D$56:AD$56,"&gt;="&amp;23)=0,0,SUP_CONTROL!$C$8*IF($B30="V",1,IF($B30="D",(1+SUP_VOLUMEN!$C$26),(1+SUP_VOLUMEN!$C$27)))*INDEX(SUP_C3_EXPANSION!$C$6:$F$6,MIN(4,COUNTIF(CAPA3_EXPANSION!$D$56:AD$56,"&gt;="&amp;23)))*CAPA3_EXPANSION!AD$36)</f>
        <v>0</v>
      </c>
      <c r="AE30" s="88">
        <f>IF(COUNTIF(CAPA3_EXPANSION!$D$56:AE$56,"&gt;="&amp;23)=0,0,SUP_CONTROL!$C$8*IF($B30="V",1,IF($B30="D",(1+SUP_VOLUMEN!$C$26),(1+SUP_VOLUMEN!$C$27)))*INDEX(SUP_C3_EXPANSION!$C$6:$F$6,MIN(4,COUNTIF(CAPA3_EXPANSION!$D$56:AE$56,"&gt;="&amp;23)))*CAPA3_EXPANSION!AE$36)</f>
        <v>0</v>
      </c>
      <c r="AF30" s="88">
        <f>IF(COUNTIF(CAPA3_EXPANSION!$D$56:AF$56,"&gt;="&amp;23)=0,0,SUP_CONTROL!$C$8*IF($B30="V",1,IF($B30="D",(1+SUP_VOLUMEN!$C$26),(1+SUP_VOLUMEN!$C$27)))*INDEX(SUP_C3_EXPANSION!$C$6:$F$6,MIN(4,COUNTIF(CAPA3_EXPANSION!$D$56:AF$56,"&gt;="&amp;23)))*CAPA3_EXPANSION!AF$36)</f>
        <v>0</v>
      </c>
      <c r="AG30" s="88">
        <f>IF(COUNTIF(CAPA3_EXPANSION!$D$56:AG$56,"&gt;="&amp;23)=0,0,SUP_CONTROL!$C$8*IF($B30="V",1,IF($B30="D",(1+SUP_VOLUMEN!$C$26),(1+SUP_VOLUMEN!$C$27)))*INDEX(SUP_C3_EXPANSION!$C$6:$F$6,MIN(4,COUNTIF(CAPA3_EXPANSION!$D$56:AG$56,"&gt;="&amp;23)))*CAPA3_EXPANSION!AG$36)</f>
        <v>0</v>
      </c>
      <c r="AH30" s="88">
        <f>IF(COUNTIF(CAPA3_EXPANSION!$D$56:AH$56,"&gt;="&amp;23)=0,0,SUP_CONTROL!$C$8*IF($B30="V",1,IF($B30="D",(1+SUP_VOLUMEN!$C$26),(1+SUP_VOLUMEN!$C$27)))*INDEX(SUP_C3_EXPANSION!$C$6:$F$6,MIN(4,COUNTIF(CAPA3_EXPANSION!$D$56:AH$56,"&gt;="&amp;23)))*CAPA3_EXPANSION!AH$36)</f>
        <v>0</v>
      </c>
      <c r="AI30" s="88">
        <f>IF(COUNTIF(CAPA3_EXPANSION!$D$56:AI$56,"&gt;="&amp;23)=0,0,SUP_CONTROL!$C$8*IF($B30="V",1,IF($B30="D",(1+SUP_VOLUMEN!$C$26),(1+SUP_VOLUMEN!$C$27)))*INDEX(SUP_C3_EXPANSION!$C$6:$F$6,MIN(4,COUNTIF(CAPA3_EXPANSION!$D$56:AI$56,"&gt;="&amp;23)))*CAPA3_EXPANSION!AI$36)</f>
        <v>0</v>
      </c>
      <c r="AJ30" s="88">
        <f>IF(COUNTIF(CAPA3_EXPANSION!$D$56:AJ$56,"&gt;="&amp;23)=0,0,SUP_CONTROL!$C$8*IF($B30="V",1,IF($B30="D",(1+SUP_VOLUMEN!$C$26),(1+SUP_VOLUMEN!$C$27)))*INDEX(SUP_C3_EXPANSION!$C$6:$F$6,MIN(4,COUNTIF(CAPA3_EXPANSION!$D$56:AJ$56,"&gt;="&amp;23)))*CAPA3_EXPANSION!AJ$36)</f>
        <v>0</v>
      </c>
      <c r="AK30" s="88">
        <f>IF(COUNTIF(CAPA3_EXPANSION!$D$56:AK$56,"&gt;="&amp;23)=0,0,SUP_CONTROL!$C$8*IF($B30="V",1,IF($B30="D",(1+SUP_VOLUMEN!$C$26),(1+SUP_VOLUMEN!$C$27)))*INDEX(SUP_C3_EXPANSION!$C$6:$F$6,MIN(4,COUNTIF(CAPA3_EXPANSION!$D$56:AK$56,"&gt;="&amp;23)))*CAPA3_EXPANSION!AK$36)</f>
        <v>0</v>
      </c>
      <c r="AL30" s="88">
        <f>IF(COUNTIF(CAPA3_EXPANSION!$D$56:AL$56,"&gt;="&amp;23)=0,0,SUP_CONTROL!$C$8*IF($B30="V",1,IF($B30="D",(1+SUP_VOLUMEN!$C$26),(1+SUP_VOLUMEN!$C$27)))*INDEX(SUP_C3_EXPANSION!$C$6:$F$6,MIN(4,COUNTIF(CAPA3_EXPANSION!$D$56:AL$56,"&gt;="&amp;23)))*CAPA3_EXPANSION!AL$36)</f>
        <v>0</v>
      </c>
      <c r="AM30" s="88">
        <f>IF(COUNTIF(CAPA3_EXPANSION!$D$56:AM$56,"&gt;="&amp;23)=0,0,SUP_CONTROL!$C$8*IF($B30="V",1,IF($B30="D",(1+SUP_VOLUMEN!$C$26),(1+SUP_VOLUMEN!$C$27)))*INDEX(SUP_C3_EXPANSION!$C$6:$F$6,MIN(4,COUNTIF(CAPA3_EXPANSION!$D$56:AM$56,"&gt;="&amp;23)))*CAPA3_EXPANSION!AM$36)</f>
        <v>0</v>
      </c>
      <c r="AN30" s="88">
        <f>IF(COUNTIF(CAPA3_EXPANSION!$D$56:AN$56,"&gt;="&amp;23)=0,0,SUP_CONTROL!$C$8*IF($B30="V",1,IF($B30="D",(1+SUP_VOLUMEN!$C$26),(1+SUP_VOLUMEN!$C$27)))*INDEX(SUP_C3_EXPANSION!$C$6:$F$6,MIN(4,COUNTIF(CAPA3_EXPANSION!$D$56:AN$56,"&gt;="&amp;23)))*CAPA3_EXPANSION!AN$36)</f>
        <v>0</v>
      </c>
      <c r="AO30" s="88">
        <f>IF(COUNTIF(CAPA3_EXPANSION!$D$56:AO$56,"&gt;="&amp;23)=0,0,SUP_CONTROL!$C$8*IF($B30="V",1,IF($B30="D",(1+SUP_VOLUMEN!$C$26),(1+SUP_VOLUMEN!$C$27)))*INDEX(SUP_C3_EXPANSION!$C$6:$F$6,MIN(4,COUNTIF(CAPA3_EXPANSION!$D$56:AO$56,"&gt;="&amp;23)))*CAPA3_EXPANSION!AO$36)</f>
        <v>0</v>
      </c>
      <c r="AP30" s="88">
        <f>IF(COUNTIF(CAPA3_EXPANSION!$D$56:AP$56,"&gt;="&amp;23)=0,0,SUP_CONTROL!$C$8*IF($B30="V",1,IF($B30="D",(1+SUP_VOLUMEN!$C$26),(1+SUP_VOLUMEN!$C$27)))*INDEX(SUP_C3_EXPANSION!$C$6:$F$6,MIN(4,COUNTIF(CAPA3_EXPANSION!$D$56:AP$56,"&gt;="&amp;23)))*CAPA3_EXPANSION!AP$36)</f>
        <v>0</v>
      </c>
      <c r="AQ30" s="88">
        <f>IF(COUNTIF(CAPA3_EXPANSION!$D$56:AQ$56,"&gt;="&amp;23)=0,0,SUP_CONTROL!$C$8*IF($B30="V",1,IF($B30="D",(1+SUP_VOLUMEN!$C$26),(1+SUP_VOLUMEN!$C$27)))*INDEX(SUP_C3_EXPANSION!$C$6:$F$6,MIN(4,COUNTIF(CAPA3_EXPANSION!$D$56:AQ$56,"&gt;="&amp;23)))*CAPA3_EXPANSION!AQ$36)</f>
        <v>0</v>
      </c>
      <c r="AR30" s="88">
        <f>IF(COUNTIF(CAPA3_EXPANSION!$D$56:AR$56,"&gt;="&amp;23)=0,0,SUP_CONTROL!$C$8*IF($B30="V",1,IF($B30="D",(1+SUP_VOLUMEN!$C$26),(1+SUP_VOLUMEN!$C$27)))*INDEX(SUP_C3_EXPANSION!$C$6:$F$6,MIN(4,COUNTIF(CAPA3_EXPANSION!$D$56:AR$56,"&gt;="&amp;23)))*CAPA3_EXPANSION!AR$36)</f>
        <v>0</v>
      </c>
      <c r="AS30" s="88">
        <f>IF(COUNTIF(CAPA3_EXPANSION!$D$56:AS$56,"&gt;="&amp;23)=0,0,SUP_CONTROL!$C$8*IF($B30="V",1,IF($B30="D",(1+SUP_VOLUMEN!$C$26),(1+SUP_VOLUMEN!$C$27)))*INDEX(SUP_C3_EXPANSION!$C$6:$F$6,MIN(4,COUNTIF(CAPA3_EXPANSION!$D$56:AS$56,"&gt;="&amp;23)))*CAPA3_EXPANSION!AS$36)</f>
        <v>0</v>
      </c>
      <c r="AT30" s="88">
        <f>IF(COUNTIF(CAPA3_EXPANSION!$D$56:AT$56,"&gt;="&amp;23)=0,0,SUP_CONTROL!$C$8*IF($B30="V",1,IF($B30="D",(1+SUP_VOLUMEN!$C$26),(1+SUP_VOLUMEN!$C$27)))*INDEX(SUP_C3_EXPANSION!$C$6:$F$6,MIN(4,COUNTIF(CAPA3_EXPANSION!$D$56:AT$56,"&gt;="&amp;23)))*CAPA3_EXPANSION!AT$36)</f>
        <v>0</v>
      </c>
      <c r="AU30" s="88">
        <f>IF(COUNTIF(CAPA3_EXPANSION!$D$56:AU$56,"&gt;="&amp;23)=0,0,SUP_CONTROL!$C$8*IF($B30="V",1,IF($B30="D",(1+SUP_VOLUMEN!$C$26),(1+SUP_VOLUMEN!$C$27)))*INDEX(SUP_C3_EXPANSION!$C$6:$F$6,MIN(4,COUNTIF(CAPA3_EXPANSION!$D$56:AU$56,"&gt;="&amp;23)))*CAPA3_EXPANSION!AU$36)</f>
        <v>0</v>
      </c>
      <c r="AV30" s="88">
        <f>IF(COUNTIF(CAPA3_EXPANSION!$D$56:AV$56,"&gt;="&amp;23)=0,0,SUP_CONTROL!$C$8*IF($B30="V",1,IF($B30="D",(1+SUP_VOLUMEN!$C$26),(1+SUP_VOLUMEN!$C$27)))*INDEX(SUP_C3_EXPANSION!$C$6:$F$6,MIN(4,COUNTIF(CAPA3_EXPANSION!$D$56:AV$56,"&gt;="&amp;23)))*CAPA3_EXPANSION!AV$36)</f>
        <v>0</v>
      </c>
      <c r="AW30" s="88">
        <f>IF(COUNTIF(CAPA3_EXPANSION!$D$56:AW$56,"&gt;="&amp;23)=0,0,SUP_CONTROL!$C$8*IF($B30="V",1,IF($B30="D",(1+SUP_VOLUMEN!$C$26),(1+SUP_VOLUMEN!$C$27)))*INDEX(SUP_C3_EXPANSION!$C$6:$F$6,MIN(4,COUNTIF(CAPA3_EXPANSION!$D$56:AW$56,"&gt;="&amp;23)))*CAPA3_EXPANSION!AW$36)</f>
        <v>0</v>
      </c>
      <c r="AX30" s="88">
        <f>IF(COUNTIF(CAPA3_EXPANSION!$D$56:AX$56,"&gt;="&amp;23)=0,0,SUP_CONTROL!$C$8*IF($B30="V",1,IF($B30="D",(1+SUP_VOLUMEN!$C$26),(1+SUP_VOLUMEN!$C$27)))*INDEX(SUP_C3_EXPANSION!$C$6:$F$6,MIN(4,COUNTIF(CAPA3_EXPANSION!$D$56:AX$56,"&gt;="&amp;23)))*CAPA3_EXPANSION!AX$36)</f>
        <v>0</v>
      </c>
      <c r="AY30" s="88">
        <f>IF(COUNTIF(CAPA3_EXPANSION!$D$56:AY$56,"&gt;="&amp;23)=0,0,SUP_CONTROL!$C$8*IF($B30="V",1,IF($B30="D",(1+SUP_VOLUMEN!$C$26),(1+SUP_VOLUMEN!$C$27)))*INDEX(SUP_C3_EXPANSION!$C$6:$F$6,MIN(4,COUNTIF(CAPA3_EXPANSION!$D$56:AY$56,"&gt;="&amp;23)))*CAPA3_EXPANSION!AY$36)</f>
        <v>0</v>
      </c>
      <c r="AZ30" s="88">
        <f>IF(COUNTIF(CAPA3_EXPANSION!$D$56:AZ$56,"&gt;="&amp;23)=0,0,SUP_CONTROL!$C$8*IF($B30="V",1,IF($B30="D",(1+SUP_VOLUMEN!$C$26),(1+SUP_VOLUMEN!$C$27)))*INDEX(SUP_C3_EXPANSION!$C$6:$F$6,MIN(4,COUNTIF(CAPA3_EXPANSION!$D$56:AZ$56,"&gt;="&amp;23)))*CAPA3_EXPANSION!AZ$36)</f>
        <v>0</v>
      </c>
      <c r="BA30" s="88">
        <f>IF(COUNTIF(CAPA3_EXPANSION!$D$56:BA$56,"&gt;="&amp;23)=0,0,SUP_CONTROL!$C$8*IF($B30="V",1,IF($B30="D",(1+SUP_VOLUMEN!$C$26),(1+SUP_VOLUMEN!$C$27)))*INDEX(SUP_C3_EXPANSION!$C$6:$F$6,MIN(4,COUNTIF(CAPA3_EXPANSION!$D$56:BA$56,"&gt;="&amp;23)))*CAPA3_EXPANSION!BA$36)</f>
        <v>0</v>
      </c>
      <c r="BB30" s="88">
        <f>IF(COUNTIF(CAPA3_EXPANSION!$D$56:BB$56,"&gt;="&amp;23)=0,0,SUP_CONTROL!$C$8*IF($B30="V",1,IF($B30="D",(1+SUP_VOLUMEN!$C$26),(1+SUP_VOLUMEN!$C$27)))*INDEX(SUP_C3_EXPANSION!$C$6:$F$6,MIN(4,COUNTIF(CAPA3_EXPANSION!$D$56:BB$56,"&gt;="&amp;23)))*CAPA3_EXPANSION!BB$36)</f>
        <v>0</v>
      </c>
      <c r="BC30" s="88">
        <f>IF(COUNTIF(CAPA3_EXPANSION!$D$56:BC$56,"&gt;="&amp;23)=0,0,SUP_CONTROL!$C$8*IF($B30="V",1,IF($B30="D",(1+SUP_VOLUMEN!$C$26),(1+SUP_VOLUMEN!$C$27)))*INDEX(SUP_C3_EXPANSION!$C$6:$F$6,MIN(4,COUNTIF(CAPA3_EXPANSION!$D$56:BC$56,"&gt;="&amp;23)))*CAPA3_EXPANSION!BC$36)</f>
        <v>0</v>
      </c>
      <c r="BD30" s="88">
        <f>IF(COUNTIF(CAPA3_EXPANSION!$D$56:BD$56,"&gt;="&amp;23)=0,0,SUP_CONTROL!$C$8*IF($B30="V",1,IF($B30="D",(1+SUP_VOLUMEN!$C$26),(1+SUP_VOLUMEN!$C$27)))*INDEX(SUP_C3_EXPANSION!$C$6:$F$6,MIN(4,COUNTIF(CAPA3_EXPANSION!$D$56:BD$56,"&gt;="&amp;23)))*CAPA3_EXPANSION!BD$36)</f>
        <v>0</v>
      </c>
      <c r="BE30" s="88">
        <f>IF(COUNTIF(CAPA3_EXPANSION!$D$56:BE$56,"&gt;="&amp;23)=0,0,SUP_CONTROL!$C$8*IF($B30="V",1,IF($B30="D",(1+SUP_VOLUMEN!$C$26),(1+SUP_VOLUMEN!$C$27)))*INDEX(SUP_C3_EXPANSION!$C$6:$F$6,MIN(4,COUNTIF(CAPA3_EXPANSION!$D$56:BE$56,"&gt;="&amp;23)))*CAPA3_EXPANSION!BE$36)</f>
        <v>0</v>
      </c>
      <c r="BF30" s="88">
        <f>IF(COUNTIF(CAPA3_EXPANSION!$D$56:BF$56,"&gt;="&amp;23)=0,0,SUP_CONTROL!$C$8*IF($B30="V",1,IF($B30="D",(1+SUP_VOLUMEN!$C$26),(1+SUP_VOLUMEN!$C$27)))*INDEX(SUP_C3_EXPANSION!$C$6:$F$6,MIN(4,COUNTIF(CAPA3_EXPANSION!$D$56:BF$56,"&gt;="&amp;23)))*CAPA3_EXPANSION!BF$36)</f>
        <v>0</v>
      </c>
      <c r="BG30" s="88">
        <f>IF(COUNTIF(CAPA3_EXPANSION!$D$56:BG$56,"&gt;="&amp;23)=0,0,SUP_CONTROL!$C$8*IF($B30="V",1,IF($B30="D",(1+SUP_VOLUMEN!$C$26),(1+SUP_VOLUMEN!$C$27)))*INDEX(SUP_C3_EXPANSION!$C$6:$F$6,MIN(4,COUNTIF(CAPA3_EXPANSION!$D$56:BG$56,"&gt;="&amp;23)))*CAPA3_EXPANSION!BG$36)</f>
        <v>0</v>
      </c>
      <c r="BH30" s="88">
        <f>IF(COUNTIF(CAPA3_EXPANSION!$D$56:BH$56,"&gt;="&amp;23)=0,0,SUP_CONTROL!$C$8*IF($B30="V",1,IF($B30="D",(1+SUP_VOLUMEN!$C$26),(1+SUP_VOLUMEN!$C$27)))*INDEX(SUP_C3_EXPANSION!$C$6:$F$6,MIN(4,COUNTIF(CAPA3_EXPANSION!$D$56:BH$56,"&gt;="&amp;23)))*CAPA3_EXPANSION!BH$36)</f>
        <v>0</v>
      </c>
      <c r="BI30" s="88">
        <f>IF(COUNTIF(CAPA3_EXPANSION!$D$56:BI$56,"&gt;="&amp;23)=0,0,SUP_CONTROL!$C$8*IF($B30="V",1,IF($B30="D",(1+SUP_VOLUMEN!$C$26),(1+SUP_VOLUMEN!$C$27)))*INDEX(SUP_C3_EXPANSION!$C$6:$F$6,MIN(4,COUNTIF(CAPA3_EXPANSION!$D$56:BI$56,"&gt;="&amp;23)))*CAPA3_EXPANSION!BI$36)</f>
        <v>0</v>
      </c>
      <c r="BJ30" s="88">
        <f>IF(COUNTIF(CAPA3_EXPANSION!$D$56:BJ$56,"&gt;="&amp;23)=0,0,SUP_CONTROL!$C$8*IF($B30="V",1,IF($B30="D",(1+SUP_VOLUMEN!$C$26),(1+SUP_VOLUMEN!$C$27)))*INDEX(SUP_C3_EXPANSION!$C$6:$F$6,MIN(4,COUNTIF(CAPA3_EXPANSION!$D$56:BJ$56,"&gt;="&amp;23)))*CAPA3_EXPANSION!BJ$36)</f>
        <v>0</v>
      </c>
      <c r="BK30" s="88">
        <f>IF(COUNTIF(CAPA3_EXPANSION!$D$56:BK$56,"&gt;="&amp;23)=0,0,SUP_CONTROL!$C$8*IF($B30="V",1,IF($B30="D",(1+SUP_VOLUMEN!$C$26),(1+SUP_VOLUMEN!$C$27)))*INDEX(SUP_C3_EXPANSION!$C$6:$F$6,MIN(4,COUNTIF(CAPA3_EXPANSION!$D$56:BK$56,"&gt;="&amp;23)))*CAPA3_EXPANSION!BK$36)</f>
        <v>0</v>
      </c>
      <c r="BL30" s="88">
        <f>IF(COUNTIF(CAPA3_EXPANSION!$D$56:BL$56,"&gt;="&amp;23)=0,0,SUP_CONTROL!$C$8*IF($B30="V",1,IF($B30="D",(1+SUP_VOLUMEN!$C$26),(1+SUP_VOLUMEN!$C$27)))*INDEX(SUP_C3_EXPANSION!$C$6:$F$6,MIN(4,COUNTIF(CAPA3_EXPANSION!$D$56:BL$56,"&gt;="&amp;23)))*CAPA3_EXPANSION!BL$36)</f>
        <v>1925.9240000000002</v>
      </c>
      <c r="BM30" s="88">
        <f>IF(COUNTIF(CAPA3_EXPANSION!$D$56:BM$56,"&gt;="&amp;23)=0,0,SUP_CONTROL!$C$8*IF($B30="V",1,IF($B30="D",(1+SUP_VOLUMEN!$C$26),(1+SUP_VOLUMEN!$C$27)))*INDEX(SUP_C3_EXPANSION!$C$6:$F$6,MIN(4,COUNTIF(CAPA3_EXPANSION!$D$56:BM$56,"&gt;="&amp;23)))*CAPA3_EXPANSION!BM$36)</f>
        <v>2370.3680000000004</v>
      </c>
      <c r="BN30" s="88">
        <f>IF(COUNTIF(CAPA3_EXPANSION!$D$56:BN$56,"&gt;="&amp;23)=0,0,SUP_CONTROL!$C$8*IF($B30="V",1,IF($B30="D",(1+SUP_VOLUMEN!$C$26),(1+SUP_VOLUMEN!$C$27)))*INDEX(SUP_C3_EXPANSION!$C$6:$F$6,MIN(4,COUNTIF(CAPA3_EXPANSION!$D$56:BN$56,"&gt;="&amp;23)))*CAPA3_EXPANSION!BN$36)</f>
        <v>2666.6640000000002</v>
      </c>
      <c r="BO30" s="88">
        <f>IF(COUNTIF(CAPA3_EXPANSION!$D$56:BO$56,"&gt;="&amp;23)=0,0,SUP_CONTROL!$C$8*IF($B30="V",1,IF($B30="D",(1+SUP_VOLUMEN!$C$26),(1+SUP_VOLUMEN!$C$27)))*INDEX(SUP_C3_EXPANSION!$C$6:$F$6,MIN(4,COUNTIF(CAPA3_EXPANSION!$D$56:BO$56,"&gt;="&amp;23)))*CAPA3_EXPANSION!BO$36)</f>
        <v>2962.96</v>
      </c>
      <c r="BP30" s="88">
        <f>IF(COUNTIF(CAPA3_EXPANSION!$D$56:BP$56,"&gt;="&amp;23)=0,0,SUP_CONTROL!$C$8*IF($B30="V",1,IF($B30="D",(1+SUP_VOLUMEN!$C$26),(1+SUP_VOLUMEN!$C$27)))*INDEX(SUP_C3_EXPANSION!$C$6:$F$6,MIN(4,COUNTIF(CAPA3_EXPANSION!$D$56:BP$56,"&gt;="&amp;23)))*CAPA3_EXPANSION!BP$36)</f>
        <v>2912.4549999999999</v>
      </c>
      <c r="BQ30" s="88">
        <f>IF(COUNTIF(CAPA3_EXPANSION!$D$56:BQ$56,"&gt;="&amp;23)=0,0,SUP_CONTROL!$C$8*IF($B30="V",1,IF($B30="D",(1+SUP_VOLUMEN!$C$26),(1+SUP_VOLUMEN!$C$27)))*INDEX(SUP_C3_EXPANSION!$C$6:$F$6,MIN(4,COUNTIF(CAPA3_EXPANSION!$D$56:BQ$56,"&gt;="&amp;23)))*CAPA3_EXPANSION!BQ$36)</f>
        <v>2912.4549999999999</v>
      </c>
      <c r="BR30" s="88">
        <f>IF(COUNTIF(CAPA3_EXPANSION!$D$56:BR$56,"&gt;="&amp;23)=0,0,SUP_CONTROL!$C$8*IF($B30="V",1,IF($B30="D",(1+SUP_VOLUMEN!$C$26),(1+SUP_VOLUMEN!$C$27)))*INDEX(SUP_C3_EXPANSION!$C$6:$F$6,MIN(4,COUNTIF(CAPA3_EXPANSION!$D$56:BR$56,"&gt;="&amp;23)))*CAPA3_EXPANSION!BR$36)</f>
        <v>2912.4549999999999</v>
      </c>
      <c r="BS30" s="88">
        <f>IF(COUNTIF(CAPA3_EXPANSION!$D$56:BS$56,"&gt;="&amp;23)=0,0,SUP_CONTROL!$C$8*IF($B30="V",1,IF($B30="D",(1+SUP_VOLUMEN!$C$26),(1+SUP_VOLUMEN!$C$27)))*INDEX(SUP_C3_EXPANSION!$C$6:$F$6,MIN(4,COUNTIF(CAPA3_EXPANSION!$D$56:BS$56,"&gt;="&amp;23)))*CAPA3_EXPANSION!BS$36)</f>
        <v>2912.4549999999999</v>
      </c>
      <c r="BT30" s="88">
        <f>IF(COUNTIF(CAPA3_EXPANSION!$D$56:BT$56,"&gt;="&amp;23)=0,0,SUP_CONTROL!$C$8*IF($B30="V",1,IF($B30="D",(1+SUP_VOLUMEN!$C$26),(1+SUP_VOLUMEN!$C$27)))*INDEX(SUP_C3_EXPANSION!$C$6:$F$6,MIN(4,COUNTIF(CAPA3_EXPANSION!$D$56:BT$56,"&gt;="&amp;23)))*CAPA3_EXPANSION!BT$36)</f>
        <v>2912.4549999999999</v>
      </c>
      <c r="BU30" s="88">
        <f>IF(COUNTIF(CAPA3_EXPANSION!$D$56:BU$56,"&gt;="&amp;23)=0,0,SUP_CONTROL!$C$8*IF($B30="V",1,IF($B30="D",(1+SUP_VOLUMEN!$C$26),(1+SUP_VOLUMEN!$C$27)))*INDEX(SUP_C3_EXPANSION!$C$6:$F$6,MIN(4,COUNTIF(CAPA3_EXPANSION!$D$56:BU$56,"&gt;="&amp;23)))*CAPA3_EXPANSION!BU$36)</f>
        <v>2861.95</v>
      </c>
      <c r="BV30" s="88">
        <f>IF(COUNTIF(CAPA3_EXPANSION!$D$56:BV$56,"&gt;="&amp;23)=0,0,SUP_CONTROL!$C$8*IF($B30="V",1,IF($B30="D",(1+SUP_VOLUMEN!$C$26),(1+SUP_VOLUMEN!$C$27)))*INDEX(SUP_C3_EXPANSION!$C$6:$F$6,MIN(4,COUNTIF(CAPA3_EXPANSION!$D$56:BV$56,"&gt;="&amp;23)))*CAPA3_EXPANSION!BV$36)</f>
        <v>2861.95</v>
      </c>
      <c r="BW30" s="88">
        <f>IF(COUNTIF(CAPA3_EXPANSION!$D$56:BW$56,"&gt;="&amp;23)=0,0,SUP_CONTROL!$C$8*IF($B30="V",1,IF($B30="D",(1+SUP_VOLUMEN!$C$26),(1+SUP_VOLUMEN!$C$27)))*INDEX(SUP_C3_EXPANSION!$C$6:$F$6,MIN(4,COUNTIF(CAPA3_EXPANSION!$D$56:BW$56,"&gt;="&amp;23)))*CAPA3_EXPANSION!BW$36)</f>
        <v>2861.95</v>
      </c>
      <c r="BX30" s="88">
        <f>IF(COUNTIF(CAPA3_EXPANSION!$D$56:BX$56,"&gt;="&amp;23)=0,0,SUP_CONTROL!$C$8*IF($B30="V",1,IF($B30="D",(1+SUP_VOLUMEN!$C$26),(1+SUP_VOLUMEN!$C$27)))*INDEX(SUP_C3_EXPANSION!$C$6:$F$6,MIN(4,COUNTIF(CAPA3_EXPANSION!$D$56:BX$56,"&gt;="&amp;23)))*CAPA3_EXPANSION!BX$36)</f>
        <v>2861.95</v>
      </c>
      <c r="BY30" s="88">
        <f>IF(COUNTIF(CAPA3_EXPANSION!$D$56:BY$56,"&gt;="&amp;23)=0,0,SUP_CONTROL!$C$8*IF($B30="V",1,IF($B30="D",(1+SUP_VOLUMEN!$C$26),(1+SUP_VOLUMEN!$C$27)))*INDEX(SUP_C3_EXPANSION!$C$6:$F$6,MIN(4,COUNTIF(CAPA3_EXPANSION!$D$56:BY$56,"&gt;="&amp;23)))*CAPA3_EXPANSION!BY$36)</f>
        <v>2861.95</v>
      </c>
      <c r="BZ30" s="88">
        <f>IF(COUNTIF(CAPA3_EXPANSION!$D$56:BZ$56,"&gt;="&amp;23)=0,0,SUP_CONTROL!$C$8*IF($B30="V",1,IF($B30="D",(1+SUP_VOLUMEN!$C$26),(1+SUP_VOLUMEN!$C$27)))*INDEX(SUP_C3_EXPANSION!$C$6:$F$6,MIN(4,COUNTIF(CAPA3_EXPANSION!$D$56:BZ$56,"&gt;="&amp;23)))*CAPA3_EXPANSION!BZ$36)</f>
        <v>2828.2799999999997</v>
      </c>
      <c r="CA30" s="88">
        <f>IF(COUNTIF(CAPA3_EXPANSION!$D$56:CA$56,"&gt;="&amp;23)=0,0,SUP_CONTROL!$C$8*IF($B30="V",1,IF($B30="D",(1+SUP_VOLUMEN!$C$26),(1+SUP_VOLUMEN!$C$27)))*INDEX(SUP_C3_EXPANSION!$C$6:$F$6,MIN(4,COUNTIF(CAPA3_EXPANSION!$D$56:CA$56,"&gt;="&amp;23)))*CAPA3_EXPANSION!CA$36)</f>
        <v>2828.2799999999997</v>
      </c>
      <c r="CB30" s="88">
        <f>IF(COUNTIF(CAPA3_EXPANSION!$D$56:CB$56,"&gt;="&amp;23)=0,0,SUP_CONTROL!$C$8*IF($B30="V",1,IF($B30="D",(1+SUP_VOLUMEN!$C$26),(1+SUP_VOLUMEN!$C$27)))*INDEX(SUP_C3_EXPANSION!$C$6:$F$6,MIN(4,COUNTIF(CAPA3_EXPANSION!$D$56:CB$56,"&gt;="&amp;23)))*CAPA3_EXPANSION!CB$36)</f>
        <v>2828.2799999999997</v>
      </c>
      <c r="CC30" s="88">
        <f>IF(COUNTIF(CAPA3_EXPANSION!$D$56:CC$56,"&gt;="&amp;23)=0,0,SUP_CONTROL!$C$8*IF($B30="V",1,IF($B30="D",(1+SUP_VOLUMEN!$C$26),(1+SUP_VOLUMEN!$C$27)))*INDEX(SUP_C3_EXPANSION!$C$6:$F$6,MIN(4,COUNTIF(CAPA3_EXPANSION!$D$56:CC$56,"&gt;="&amp;23)))*CAPA3_EXPANSION!CC$36)</f>
        <v>2828.2799999999997</v>
      </c>
      <c r="CD30" s="88">
        <f>IF(COUNTIF(CAPA3_EXPANSION!$D$56:CD$56,"&gt;="&amp;23)=0,0,SUP_CONTROL!$C$8*IF($B30="V",1,IF($B30="D",(1+SUP_VOLUMEN!$C$26),(1+SUP_VOLUMEN!$C$27)))*INDEX(SUP_C3_EXPANSION!$C$6:$F$6,MIN(4,COUNTIF(CAPA3_EXPANSION!$D$56:CD$56,"&gt;="&amp;23)))*CAPA3_EXPANSION!CD$36)</f>
        <v>2828.2799999999997</v>
      </c>
      <c r="CE30" s="88">
        <f>IF(COUNTIF(CAPA3_EXPANSION!$D$56:CE$56,"&gt;="&amp;23)=0,0,SUP_CONTROL!$C$8*IF($B30="V",1,IF($B30="D",(1+SUP_VOLUMEN!$C$26),(1+SUP_VOLUMEN!$C$27)))*INDEX(SUP_C3_EXPANSION!$C$6:$F$6,MIN(4,COUNTIF(CAPA3_EXPANSION!$D$56:CE$56,"&gt;="&amp;23)))*CAPA3_EXPANSION!CE$36)</f>
        <v>2828.2799999999997</v>
      </c>
      <c r="CF30" s="88">
        <f>IF(COUNTIF(CAPA3_EXPANSION!$D$56:CF$56,"&gt;="&amp;23)=0,0,SUP_CONTROL!$C$8*IF($B30="V",1,IF($B30="D",(1+SUP_VOLUMEN!$C$26),(1+SUP_VOLUMEN!$C$27)))*INDEX(SUP_C3_EXPANSION!$C$6:$F$6,MIN(4,COUNTIF(CAPA3_EXPANSION!$D$56:CF$56,"&gt;="&amp;23)))*CAPA3_EXPANSION!CF$36)</f>
        <v>2828.2799999999997</v>
      </c>
      <c r="CG30" s="88">
        <f>IF(COUNTIF(CAPA3_EXPANSION!$D$56:CG$56,"&gt;="&amp;23)=0,0,SUP_CONTROL!$C$8*IF($B30="V",1,IF($B30="D",(1+SUP_VOLUMEN!$C$26),(1+SUP_VOLUMEN!$C$27)))*INDEX(SUP_C3_EXPANSION!$C$6:$F$6,MIN(4,COUNTIF(CAPA3_EXPANSION!$D$56:CG$56,"&gt;="&amp;23)))*CAPA3_EXPANSION!CG$36)</f>
        <v>2828.2799999999997</v>
      </c>
      <c r="CH30" s="88">
        <f>IF(COUNTIF(CAPA3_EXPANSION!$D$56:CH$56,"&gt;="&amp;23)=0,0,SUP_CONTROL!$C$8*IF($B30="V",1,IF($B30="D",(1+SUP_VOLUMEN!$C$26),(1+SUP_VOLUMEN!$C$27)))*INDEX(SUP_C3_EXPANSION!$C$6:$F$6,MIN(4,COUNTIF(CAPA3_EXPANSION!$D$56:CH$56,"&gt;="&amp;23)))*CAPA3_EXPANSION!CH$36)</f>
        <v>2828.2799999999997</v>
      </c>
      <c r="CI30" s="88">
        <f>IF(COUNTIF(CAPA3_EXPANSION!$D$56:CI$56,"&gt;="&amp;23)=0,0,SUP_CONTROL!$C$8*IF($B30="V",1,IF($B30="D",(1+SUP_VOLUMEN!$C$26),(1+SUP_VOLUMEN!$C$27)))*INDEX(SUP_C3_EXPANSION!$C$6:$F$6,MIN(4,COUNTIF(CAPA3_EXPANSION!$D$56:CI$56,"&gt;="&amp;23)))*CAPA3_EXPANSION!CI$36)</f>
        <v>2828.2799999999997</v>
      </c>
      <c r="CJ30" s="88">
        <f>IF(COUNTIF(CAPA3_EXPANSION!$D$56:CJ$56,"&gt;="&amp;23)=0,0,SUP_CONTROL!$C$8*IF($B30="V",1,IF($B30="D",(1+SUP_VOLUMEN!$C$26),(1+SUP_VOLUMEN!$C$27)))*INDEX(SUP_C3_EXPANSION!$C$6:$F$6,MIN(4,COUNTIF(CAPA3_EXPANSION!$D$56:CJ$56,"&gt;="&amp;23)))*CAPA3_EXPANSION!CJ$36)</f>
        <v>2828.2799999999997</v>
      </c>
      <c r="CK30" s="88">
        <f>IF(COUNTIF(CAPA3_EXPANSION!$D$56:CK$56,"&gt;="&amp;23)=0,0,SUP_CONTROL!$C$8*IF($B30="V",1,IF($B30="D",(1+SUP_VOLUMEN!$C$26),(1+SUP_VOLUMEN!$C$27)))*INDEX(SUP_C3_EXPANSION!$C$6:$F$6,MIN(4,COUNTIF(CAPA3_EXPANSION!$D$56:CK$56,"&gt;="&amp;23)))*CAPA3_EXPANSION!CK$36)</f>
        <v>2828.2799999999997</v>
      </c>
      <c r="CL30" s="88">
        <f>IF(COUNTIF(CAPA3_EXPANSION!$D$56:CL$56,"&gt;="&amp;23)=0,0,SUP_CONTROL!$C$8*IF($B30="V",1,IF($B30="D",(1+SUP_VOLUMEN!$C$26),(1+SUP_VOLUMEN!$C$27)))*INDEX(SUP_C3_EXPANSION!$C$6:$F$6,MIN(4,COUNTIF(CAPA3_EXPANSION!$D$56:CL$56,"&gt;="&amp;23)))*CAPA3_EXPANSION!CL$36)</f>
        <v>2828.2799999999997</v>
      </c>
      <c r="CM30" s="88">
        <f>IF(COUNTIF(CAPA3_EXPANSION!$D$56:CM$56,"&gt;="&amp;23)=0,0,SUP_CONTROL!$C$8*IF($B30="V",1,IF($B30="D",(1+SUP_VOLUMEN!$C$26),(1+SUP_VOLUMEN!$C$27)))*INDEX(SUP_C3_EXPANSION!$C$6:$F$6,MIN(4,COUNTIF(CAPA3_EXPANSION!$D$56:CM$56,"&gt;="&amp;23)))*CAPA3_EXPANSION!CM$36)</f>
        <v>2828.2799999999997</v>
      </c>
      <c r="CN30" s="88">
        <f>IF(COUNTIF(CAPA3_EXPANSION!$D$56:CN$56,"&gt;="&amp;23)=0,0,SUP_CONTROL!$C$8*IF($B30="V",1,IF($B30="D",(1+SUP_VOLUMEN!$C$26),(1+SUP_VOLUMEN!$C$27)))*INDEX(SUP_C3_EXPANSION!$C$6:$F$6,MIN(4,COUNTIF(CAPA3_EXPANSION!$D$56:CN$56,"&gt;="&amp;23)))*CAPA3_EXPANSION!CN$36)</f>
        <v>2828.2799999999997</v>
      </c>
      <c r="CO30" s="88">
        <f>IF(COUNTIF(CAPA3_EXPANSION!$D$56:CO$56,"&gt;="&amp;23)=0,0,SUP_CONTROL!$C$8*IF($B30="V",1,IF($B30="D",(1+SUP_VOLUMEN!$C$26),(1+SUP_VOLUMEN!$C$27)))*INDEX(SUP_C3_EXPANSION!$C$6:$F$6,MIN(4,COUNTIF(CAPA3_EXPANSION!$D$56:CO$56,"&gt;="&amp;23)))*CAPA3_EXPANSION!CO$36)</f>
        <v>2828.2799999999997</v>
      </c>
      <c r="CP30" s="88">
        <f>IF(COUNTIF(CAPA3_EXPANSION!$D$56:CP$56,"&gt;="&amp;23)=0,0,SUP_CONTROL!$C$8*IF($B30="V",1,IF($B30="D",(1+SUP_VOLUMEN!$C$26),(1+SUP_VOLUMEN!$C$27)))*INDEX(SUP_C3_EXPANSION!$C$6:$F$6,MIN(4,COUNTIF(CAPA3_EXPANSION!$D$56:CP$56,"&gt;="&amp;23)))*CAPA3_EXPANSION!CP$36)</f>
        <v>2828.2799999999997</v>
      </c>
      <c r="CQ30" s="88">
        <f>IF(COUNTIF(CAPA3_EXPANSION!$D$56:CQ$56,"&gt;="&amp;23)=0,0,SUP_CONTROL!$C$8*IF($B30="V",1,IF($B30="D",(1+SUP_VOLUMEN!$C$26),(1+SUP_VOLUMEN!$C$27)))*INDEX(SUP_C3_EXPANSION!$C$6:$F$6,MIN(4,COUNTIF(CAPA3_EXPANSION!$D$56:CQ$56,"&gt;="&amp;23)))*CAPA3_EXPANSION!CQ$36)</f>
        <v>2828.2799999999997</v>
      </c>
      <c r="CR30" s="88">
        <f>IF(COUNTIF(CAPA3_EXPANSION!$D$56:CR$56,"&gt;="&amp;23)=0,0,SUP_CONTROL!$C$8*IF($B30="V",1,IF($B30="D",(1+SUP_VOLUMEN!$C$26),(1+SUP_VOLUMEN!$C$27)))*INDEX(SUP_C3_EXPANSION!$C$6:$F$6,MIN(4,COUNTIF(CAPA3_EXPANSION!$D$56:CR$56,"&gt;="&amp;23)))*CAPA3_EXPANSION!CR$36)</f>
        <v>2828.2799999999997</v>
      </c>
      <c r="CS30" s="88">
        <f>IF(COUNTIF(CAPA3_EXPANSION!$D$56:CS$56,"&gt;="&amp;23)=0,0,SUP_CONTROL!$C$8*IF($B30="V",1,IF($B30="D",(1+SUP_VOLUMEN!$C$26),(1+SUP_VOLUMEN!$C$27)))*INDEX(SUP_C3_EXPANSION!$C$6:$F$6,MIN(4,COUNTIF(CAPA3_EXPANSION!$D$56:CS$56,"&gt;="&amp;23)))*CAPA3_EXPANSION!CS$36)</f>
        <v>2828.2799999999997</v>
      </c>
      <c r="CT30" s="88">
        <f>IF(COUNTIF(CAPA3_EXPANSION!$D$56:CT$56,"&gt;="&amp;23)=0,0,SUP_CONTROL!$C$8*IF($B30="V",1,IF($B30="D",(1+SUP_VOLUMEN!$C$26),(1+SUP_VOLUMEN!$C$27)))*INDEX(SUP_C3_EXPANSION!$C$6:$F$6,MIN(4,COUNTIF(CAPA3_EXPANSION!$D$56:CT$56,"&gt;="&amp;23)))*CAPA3_EXPANSION!CT$36)</f>
        <v>2828.2799999999997</v>
      </c>
      <c r="CU30" s="88">
        <f>IF(COUNTIF(CAPA3_EXPANSION!$D$56:CU$56,"&gt;="&amp;23)=0,0,SUP_CONTROL!$C$8*IF($B30="V",1,IF($B30="D",(1+SUP_VOLUMEN!$C$26),(1+SUP_VOLUMEN!$C$27)))*INDEX(SUP_C3_EXPANSION!$C$6:$F$6,MIN(4,COUNTIF(CAPA3_EXPANSION!$D$56:CU$56,"&gt;="&amp;23)))*CAPA3_EXPANSION!CU$36)</f>
        <v>2828.2799999999997</v>
      </c>
      <c r="CV30" s="88">
        <f>IF(COUNTIF(CAPA3_EXPANSION!$D$56:CV$56,"&gt;="&amp;23)=0,0,SUP_CONTROL!$C$8*IF($B30="V",1,IF($B30="D",(1+SUP_VOLUMEN!$C$26),(1+SUP_VOLUMEN!$C$27)))*INDEX(SUP_C3_EXPANSION!$C$6:$F$6,MIN(4,COUNTIF(CAPA3_EXPANSION!$D$56:CV$56,"&gt;="&amp;23)))*CAPA3_EXPANSION!CV$36)</f>
        <v>2828.2799999999997</v>
      </c>
      <c r="CW30" s="88">
        <f>IF(COUNTIF(CAPA3_EXPANSION!$D$56:CW$56,"&gt;="&amp;23)=0,0,SUP_CONTROL!$C$8*IF($B30="V",1,IF($B30="D",(1+SUP_VOLUMEN!$C$26),(1+SUP_VOLUMEN!$C$27)))*INDEX(SUP_C3_EXPANSION!$C$6:$F$6,MIN(4,COUNTIF(CAPA3_EXPANSION!$D$56:CW$56,"&gt;="&amp;23)))*CAPA3_EXPANSION!CW$36)</f>
        <v>2828.2799999999997</v>
      </c>
      <c r="CX30" s="88">
        <f>IF(COUNTIF(CAPA3_EXPANSION!$D$56:CX$56,"&gt;="&amp;23)=0,0,SUP_CONTROL!$C$8*IF($B30="V",1,IF($B30="D",(1+SUP_VOLUMEN!$C$26),(1+SUP_VOLUMEN!$C$27)))*INDEX(SUP_C3_EXPANSION!$C$6:$F$6,MIN(4,COUNTIF(CAPA3_EXPANSION!$D$56:CX$56,"&gt;="&amp;23)))*CAPA3_EXPANSION!CX$36)</f>
        <v>2828.2799999999997</v>
      </c>
      <c r="CY30" s="88">
        <f>IF(COUNTIF(CAPA3_EXPANSION!$D$56:CY$56,"&gt;="&amp;23)=0,0,SUP_CONTROL!$C$8*IF($B30="V",1,IF($B30="D",(1+SUP_VOLUMEN!$C$26),(1+SUP_VOLUMEN!$C$27)))*INDEX(SUP_C3_EXPANSION!$C$6:$F$6,MIN(4,COUNTIF(CAPA3_EXPANSION!$D$56:CY$56,"&gt;="&amp;23)))*CAPA3_EXPANSION!CY$36)</f>
        <v>2828.2799999999997</v>
      </c>
      <c r="CZ30" s="88">
        <f>IF(COUNTIF(CAPA3_EXPANSION!$D$56:CZ$56,"&gt;="&amp;23)=0,0,SUP_CONTROL!$C$8*IF($B30="V",1,IF($B30="D",(1+SUP_VOLUMEN!$C$26),(1+SUP_VOLUMEN!$C$27)))*INDEX(SUP_C3_EXPANSION!$C$6:$F$6,MIN(4,COUNTIF(CAPA3_EXPANSION!$D$56:CZ$56,"&gt;="&amp;23)))*CAPA3_EXPANSION!CZ$36)</f>
        <v>2828.2799999999997</v>
      </c>
      <c r="DA30" s="88">
        <f>IF(COUNTIF(CAPA3_EXPANSION!$D$56:DA$56,"&gt;="&amp;23)=0,0,SUP_CONTROL!$C$8*IF($B30="V",1,IF($B30="D",(1+SUP_VOLUMEN!$C$26),(1+SUP_VOLUMEN!$C$27)))*INDEX(SUP_C3_EXPANSION!$C$6:$F$6,MIN(4,COUNTIF(CAPA3_EXPANSION!$D$56:DA$56,"&gt;="&amp;23)))*CAPA3_EXPANSION!DA$36)</f>
        <v>2828.2799999999997</v>
      </c>
      <c r="DB30" s="88">
        <f>IF(COUNTIF(CAPA3_EXPANSION!$D$56:DB$56,"&gt;="&amp;23)=0,0,SUP_CONTROL!$C$8*IF($B30="V",1,IF($B30="D",(1+SUP_VOLUMEN!$C$26),(1+SUP_VOLUMEN!$C$27)))*INDEX(SUP_C3_EXPANSION!$C$6:$F$6,MIN(4,COUNTIF(CAPA3_EXPANSION!$D$56:DB$56,"&gt;="&amp;23)))*CAPA3_EXPANSION!DB$36)</f>
        <v>2828.2799999999997</v>
      </c>
      <c r="DC30" s="88">
        <f>IF(COUNTIF(CAPA3_EXPANSION!$D$56:DC$56,"&gt;="&amp;23)=0,0,SUP_CONTROL!$C$8*IF($B30="V",1,IF($B30="D",(1+SUP_VOLUMEN!$C$26),(1+SUP_VOLUMEN!$C$27)))*INDEX(SUP_C3_EXPANSION!$C$6:$F$6,MIN(4,COUNTIF(CAPA3_EXPANSION!$D$56:DC$56,"&gt;="&amp;23)))*CAPA3_EXPANSION!DC$36)</f>
        <v>2828.2799999999997</v>
      </c>
      <c r="DD30" s="88">
        <f>IF(COUNTIF(CAPA3_EXPANSION!$D$56:DD$56,"&gt;="&amp;23)=0,0,SUP_CONTROL!$C$8*IF($B30="V",1,IF($B30="D",(1+SUP_VOLUMEN!$C$26),(1+SUP_VOLUMEN!$C$27)))*INDEX(SUP_C3_EXPANSION!$C$6:$F$6,MIN(4,COUNTIF(CAPA3_EXPANSION!$D$56:DD$56,"&gt;="&amp;23)))*CAPA3_EXPANSION!DD$36)</f>
        <v>2828.2799999999997</v>
      </c>
      <c r="DE30" s="88">
        <f>IF(COUNTIF(CAPA3_EXPANSION!$D$56:DE$56,"&gt;="&amp;23)=0,0,SUP_CONTROL!$C$8*IF($B30="V",1,IF($B30="D",(1+SUP_VOLUMEN!$C$26),(1+SUP_VOLUMEN!$C$27)))*INDEX(SUP_C3_EXPANSION!$C$6:$F$6,MIN(4,COUNTIF(CAPA3_EXPANSION!$D$56:DE$56,"&gt;="&amp;23)))*CAPA3_EXPANSION!DE$36)</f>
        <v>2828.2799999999997</v>
      </c>
      <c r="DF30" s="88">
        <f>IF(COUNTIF(CAPA3_EXPANSION!$D$56:DF$56,"&gt;="&amp;23)=0,0,SUP_CONTROL!$C$8*IF($B30="V",1,IF($B30="D",(1+SUP_VOLUMEN!$C$26),(1+SUP_VOLUMEN!$C$27)))*INDEX(SUP_C3_EXPANSION!$C$6:$F$6,MIN(4,COUNTIF(CAPA3_EXPANSION!$D$56:DF$56,"&gt;="&amp;23)))*CAPA3_EXPANSION!DF$36)</f>
        <v>2828.2799999999997</v>
      </c>
      <c r="DG30" s="88">
        <f>IF(COUNTIF(CAPA3_EXPANSION!$D$56:DG$56,"&gt;="&amp;23)=0,0,SUP_CONTROL!$C$8*IF($B30="V",1,IF($B30="D",(1+SUP_VOLUMEN!$C$26),(1+SUP_VOLUMEN!$C$27)))*INDEX(SUP_C3_EXPANSION!$C$6:$F$6,MIN(4,COUNTIF(CAPA3_EXPANSION!$D$56:DG$56,"&gt;="&amp;23)))*CAPA3_EXPANSION!DG$36)</f>
        <v>2828.2799999999997</v>
      </c>
      <c r="DH30" s="88">
        <f>IF(COUNTIF(CAPA3_EXPANSION!$D$56:DH$56,"&gt;="&amp;23)=0,0,SUP_CONTROL!$C$8*IF($B30="V",1,IF($B30="D",(1+SUP_VOLUMEN!$C$26),(1+SUP_VOLUMEN!$C$27)))*INDEX(SUP_C3_EXPANSION!$C$6:$F$6,MIN(4,COUNTIF(CAPA3_EXPANSION!$D$56:DH$56,"&gt;="&amp;23)))*CAPA3_EXPANSION!DH$36)</f>
        <v>2828.2799999999997</v>
      </c>
      <c r="DI30" s="88">
        <f>IF(COUNTIF(CAPA3_EXPANSION!$D$56:DI$56,"&gt;="&amp;23)=0,0,SUP_CONTROL!$C$8*IF($B30="V",1,IF($B30="D",(1+SUP_VOLUMEN!$C$26),(1+SUP_VOLUMEN!$C$27)))*INDEX(SUP_C3_EXPANSION!$C$6:$F$6,MIN(4,COUNTIF(CAPA3_EXPANSION!$D$56:DI$56,"&gt;="&amp;23)))*CAPA3_EXPANSION!DI$36)</f>
        <v>2828.2799999999997</v>
      </c>
      <c r="DJ30" s="88">
        <f>IF(COUNTIF(CAPA3_EXPANSION!$D$56:DJ$56,"&gt;="&amp;23)=0,0,SUP_CONTROL!$C$8*IF($B30="V",1,IF($B30="D",(1+SUP_VOLUMEN!$C$26),(1+SUP_VOLUMEN!$C$27)))*INDEX(SUP_C3_EXPANSION!$C$6:$F$6,MIN(4,COUNTIF(CAPA3_EXPANSION!$D$56:DJ$56,"&gt;="&amp;23)))*CAPA3_EXPANSION!DJ$36)</f>
        <v>2828.2799999999997</v>
      </c>
      <c r="DK30" s="88">
        <f>IF(COUNTIF(CAPA3_EXPANSION!$D$56:DK$56,"&gt;="&amp;23)=0,0,SUP_CONTROL!$C$8*IF($B30="V",1,IF($B30="D",(1+SUP_VOLUMEN!$C$26),(1+SUP_VOLUMEN!$C$27)))*INDEX(SUP_C3_EXPANSION!$C$6:$F$6,MIN(4,COUNTIF(CAPA3_EXPANSION!$D$56:DK$56,"&gt;="&amp;23)))*CAPA3_EXPANSION!DK$36)</f>
        <v>2828.2799999999997</v>
      </c>
      <c r="DL30" s="88">
        <f>IF(COUNTIF(CAPA3_EXPANSION!$D$56:DL$56,"&gt;="&amp;23)=0,0,SUP_CONTROL!$C$8*IF($B30="V",1,IF($B30="D",(1+SUP_VOLUMEN!$C$26),(1+SUP_VOLUMEN!$C$27)))*INDEX(SUP_C3_EXPANSION!$C$6:$F$6,MIN(4,COUNTIF(CAPA3_EXPANSION!$D$56:DL$56,"&gt;="&amp;23)))*CAPA3_EXPANSION!DL$36)</f>
        <v>2828.2799999999997</v>
      </c>
      <c r="DM30" s="88">
        <f>IF(COUNTIF(CAPA3_EXPANSION!$D$56:DM$56,"&gt;="&amp;23)=0,0,SUP_CONTROL!$C$8*IF($B30="V",1,IF($B30="D",(1+SUP_VOLUMEN!$C$26),(1+SUP_VOLUMEN!$C$27)))*INDEX(SUP_C3_EXPANSION!$C$6:$F$6,MIN(4,COUNTIF(CAPA3_EXPANSION!$D$56:DM$56,"&gt;="&amp;23)))*CAPA3_EXPANSION!DM$36)</f>
        <v>2828.2799999999997</v>
      </c>
      <c r="DN30" s="88">
        <f>IF(COUNTIF(CAPA3_EXPANSION!$D$56:DN$56,"&gt;="&amp;23)=0,0,SUP_CONTROL!$C$8*IF($B30="V",1,IF($B30="D",(1+SUP_VOLUMEN!$C$26),(1+SUP_VOLUMEN!$C$27)))*INDEX(SUP_C3_EXPANSION!$C$6:$F$6,MIN(4,COUNTIF(CAPA3_EXPANSION!$D$56:DN$56,"&gt;="&amp;23)))*CAPA3_EXPANSION!DN$36)</f>
        <v>2828.2799999999997</v>
      </c>
      <c r="DO30" s="88">
        <f>IF(COUNTIF(CAPA3_EXPANSION!$D$56:DO$56,"&gt;="&amp;23)=0,0,SUP_CONTROL!$C$8*IF($B30="V",1,IF($B30="D",(1+SUP_VOLUMEN!$C$26),(1+SUP_VOLUMEN!$C$27)))*INDEX(SUP_C3_EXPANSION!$C$6:$F$6,MIN(4,COUNTIF(CAPA3_EXPANSION!$D$56:DO$56,"&gt;="&amp;23)))*CAPA3_EXPANSION!DO$36)</f>
        <v>2828.2799999999997</v>
      </c>
      <c r="DP30" s="88">
        <f>IF(COUNTIF(CAPA3_EXPANSION!$D$56:DP$56,"&gt;="&amp;23)=0,0,SUP_CONTROL!$C$8*IF($B30="V",1,IF($B30="D",(1+SUP_VOLUMEN!$C$26),(1+SUP_VOLUMEN!$C$27)))*INDEX(SUP_C3_EXPANSION!$C$6:$F$6,MIN(4,COUNTIF(CAPA3_EXPANSION!$D$56:DP$56,"&gt;="&amp;23)))*CAPA3_EXPANSION!DP$36)</f>
        <v>2828.2799999999997</v>
      </c>
      <c r="DQ30" s="88">
        <f>IF(COUNTIF(CAPA3_EXPANSION!$D$56:DQ$56,"&gt;="&amp;23)=0,0,SUP_CONTROL!$C$8*IF($B30="V",1,IF($B30="D",(1+SUP_VOLUMEN!$C$26),(1+SUP_VOLUMEN!$C$27)))*INDEX(SUP_C3_EXPANSION!$C$6:$F$6,MIN(4,COUNTIF(CAPA3_EXPANSION!$D$56:DQ$56,"&gt;="&amp;23)))*CAPA3_EXPANSION!DQ$36)</f>
        <v>2828.2799999999997</v>
      </c>
      <c r="DR30" s="88">
        <f>IF(COUNTIF(CAPA3_EXPANSION!$D$56:DR$56,"&gt;="&amp;23)=0,0,SUP_CONTROL!$C$8*IF($B30="V",1,IF($B30="D",(1+SUP_VOLUMEN!$C$26),(1+SUP_VOLUMEN!$C$27)))*INDEX(SUP_C3_EXPANSION!$C$6:$F$6,MIN(4,COUNTIF(CAPA3_EXPANSION!$D$56:DR$56,"&gt;="&amp;23)))*CAPA3_EXPANSION!DR$36)</f>
        <v>2828.2799999999997</v>
      </c>
      <c r="DS30" s="88">
        <f>IF(COUNTIF(CAPA3_EXPANSION!$D$56:DS$56,"&gt;="&amp;23)=0,0,SUP_CONTROL!$C$8*IF($B30="V",1,IF($B30="D",(1+SUP_VOLUMEN!$C$26),(1+SUP_VOLUMEN!$C$27)))*INDEX(SUP_C3_EXPANSION!$C$6:$F$6,MIN(4,COUNTIF(CAPA3_EXPANSION!$D$56:DS$56,"&gt;="&amp;23)))*CAPA3_EXPANSION!DS$36)</f>
        <v>2828.2799999999997</v>
      </c>
    </row>
    <row r="31" spans="1:123" ht="15" customHeight="1" x14ac:dyDescent="0.2">
      <c r="A31" s="88">
        <v>34</v>
      </c>
      <c r="B31" s="104" t="str">
        <f>SUP_C3_EXPANSION!B43</f>
        <v>V</v>
      </c>
      <c r="C31" s="73">
        <f>SUP_C3_EXPANSION!G43</f>
        <v>59</v>
      </c>
      <c r="D31" s="88">
        <f>IF(COUNTIF(CAPA3_EXPANSION!$D$56:D$56,"&gt;="&amp;24)=0,0,SUP_CONTROL!$C$8*IF($B31="V",1,IF($B31="D",(1+SUP_VOLUMEN!$C$26),(1+SUP_VOLUMEN!$C$27)))*INDEX(SUP_C3_EXPANSION!$C$6:$F$6,MIN(4,COUNTIF(CAPA3_EXPANSION!$D$56:D$56,"&gt;="&amp;24)))*CAPA3_EXPANSION!D$36)</f>
        <v>0</v>
      </c>
      <c r="E31" s="88">
        <f>IF(COUNTIF(CAPA3_EXPANSION!$D$56:E$56,"&gt;="&amp;24)=0,0,SUP_CONTROL!$C$8*IF($B31="V",1,IF($B31="D",(1+SUP_VOLUMEN!$C$26),(1+SUP_VOLUMEN!$C$27)))*INDEX(SUP_C3_EXPANSION!$C$6:$F$6,MIN(4,COUNTIF(CAPA3_EXPANSION!$D$56:E$56,"&gt;="&amp;24)))*CAPA3_EXPANSION!E$36)</f>
        <v>0</v>
      </c>
      <c r="F31" s="88">
        <f>IF(COUNTIF(CAPA3_EXPANSION!$D$56:F$56,"&gt;="&amp;24)=0,0,SUP_CONTROL!$C$8*IF($B31="V",1,IF($B31="D",(1+SUP_VOLUMEN!$C$26),(1+SUP_VOLUMEN!$C$27)))*INDEX(SUP_C3_EXPANSION!$C$6:$F$6,MIN(4,COUNTIF(CAPA3_EXPANSION!$D$56:F$56,"&gt;="&amp;24)))*CAPA3_EXPANSION!F$36)</f>
        <v>0</v>
      </c>
      <c r="G31" s="88">
        <f>IF(COUNTIF(CAPA3_EXPANSION!$D$56:G$56,"&gt;="&amp;24)=0,0,SUP_CONTROL!$C$8*IF($B31="V",1,IF($B31="D",(1+SUP_VOLUMEN!$C$26),(1+SUP_VOLUMEN!$C$27)))*INDEX(SUP_C3_EXPANSION!$C$6:$F$6,MIN(4,COUNTIF(CAPA3_EXPANSION!$D$56:G$56,"&gt;="&amp;24)))*CAPA3_EXPANSION!G$36)</f>
        <v>0</v>
      </c>
      <c r="H31" s="88">
        <f>IF(COUNTIF(CAPA3_EXPANSION!$D$56:H$56,"&gt;="&amp;24)=0,0,SUP_CONTROL!$C$8*IF($B31="V",1,IF($B31="D",(1+SUP_VOLUMEN!$C$26),(1+SUP_VOLUMEN!$C$27)))*INDEX(SUP_C3_EXPANSION!$C$6:$F$6,MIN(4,COUNTIF(CAPA3_EXPANSION!$D$56:H$56,"&gt;="&amp;24)))*CAPA3_EXPANSION!H$36)</f>
        <v>0</v>
      </c>
      <c r="I31" s="88">
        <f>IF(COUNTIF(CAPA3_EXPANSION!$D$56:I$56,"&gt;="&amp;24)=0,0,SUP_CONTROL!$C$8*IF($B31="V",1,IF($B31="D",(1+SUP_VOLUMEN!$C$26),(1+SUP_VOLUMEN!$C$27)))*INDEX(SUP_C3_EXPANSION!$C$6:$F$6,MIN(4,COUNTIF(CAPA3_EXPANSION!$D$56:I$56,"&gt;="&amp;24)))*CAPA3_EXPANSION!I$36)</f>
        <v>0</v>
      </c>
      <c r="J31" s="88">
        <f>IF(COUNTIF(CAPA3_EXPANSION!$D$56:J$56,"&gt;="&amp;24)=0,0,SUP_CONTROL!$C$8*IF($B31="V",1,IF($B31="D",(1+SUP_VOLUMEN!$C$26),(1+SUP_VOLUMEN!$C$27)))*INDEX(SUP_C3_EXPANSION!$C$6:$F$6,MIN(4,COUNTIF(CAPA3_EXPANSION!$D$56:J$56,"&gt;="&amp;24)))*CAPA3_EXPANSION!J$36)</f>
        <v>0</v>
      </c>
      <c r="K31" s="88">
        <f>IF(COUNTIF(CAPA3_EXPANSION!$D$56:K$56,"&gt;="&amp;24)=0,0,SUP_CONTROL!$C$8*IF($B31="V",1,IF($B31="D",(1+SUP_VOLUMEN!$C$26),(1+SUP_VOLUMEN!$C$27)))*INDEX(SUP_C3_EXPANSION!$C$6:$F$6,MIN(4,COUNTIF(CAPA3_EXPANSION!$D$56:K$56,"&gt;="&amp;24)))*CAPA3_EXPANSION!K$36)</f>
        <v>0</v>
      </c>
      <c r="L31" s="88">
        <f>IF(COUNTIF(CAPA3_EXPANSION!$D$56:L$56,"&gt;="&amp;24)=0,0,SUP_CONTROL!$C$8*IF($B31="V",1,IF($B31="D",(1+SUP_VOLUMEN!$C$26),(1+SUP_VOLUMEN!$C$27)))*INDEX(SUP_C3_EXPANSION!$C$6:$F$6,MIN(4,COUNTIF(CAPA3_EXPANSION!$D$56:L$56,"&gt;="&amp;24)))*CAPA3_EXPANSION!L$36)</f>
        <v>0</v>
      </c>
      <c r="M31" s="88">
        <f>IF(COUNTIF(CAPA3_EXPANSION!$D$56:M$56,"&gt;="&amp;24)=0,0,SUP_CONTROL!$C$8*IF($B31="V",1,IF($B31="D",(1+SUP_VOLUMEN!$C$26),(1+SUP_VOLUMEN!$C$27)))*INDEX(SUP_C3_EXPANSION!$C$6:$F$6,MIN(4,COUNTIF(CAPA3_EXPANSION!$D$56:M$56,"&gt;="&amp;24)))*CAPA3_EXPANSION!M$36)</f>
        <v>0</v>
      </c>
      <c r="N31" s="88">
        <f>IF(COUNTIF(CAPA3_EXPANSION!$D$56:N$56,"&gt;="&amp;24)=0,0,SUP_CONTROL!$C$8*IF($B31="V",1,IF($B31="D",(1+SUP_VOLUMEN!$C$26),(1+SUP_VOLUMEN!$C$27)))*INDEX(SUP_C3_EXPANSION!$C$6:$F$6,MIN(4,COUNTIF(CAPA3_EXPANSION!$D$56:N$56,"&gt;="&amp;24)))*CAPA3_EXPANSION!N$36)</f>
        <v>0</v>
      </c>
      <c r="O31" s="88">
        <f>IF(COUNTIF(CAPA3_EXPANSION!$D$56:O$56,"&gt;="&amp;24)=0,0,SUP_CONTROL!$C$8*IF($B31="V",1,IF($B31="D",(1+SUP_VOLUMEN!$C$26),(1+SUP_VOLUMEN!$C$27)))*INDEX(SUP_C3_EXPANSION!$C$6:$F$6,MIN(4,COUNTIF(CAPA3_EXPANSION!$D$56:O$56,"&gt;="&amp;24)))*CAPA3_EXPANSION!O$36)</f>
        <v>0</v>
      </c>
      <c r="P31" s="88">
        <f>IF(COUNTIF(CAPA3_EXPANSION!$D$56:P$56,"&gt;="&amp;24)=0,0,SUP_CONTROL!$C$8*IF($B31="V",1,IF($B31="D",(1+SUP_VOLUMEN!$C$26),(1+SUP_VOLUMEN!$C$27)))*INDEX(SUP_C3_EXPANSION!$C$6:$F$6,MIN(4,COUNTIF(CAPA3_EXPANSION!$D$56:P$56,"&gt;="&amp;24)))*CAPA3_EXPANSION!P$36)</f>
        <v>0</v>
      </c>
      <c r="Q31" s="88">
        <f>IF(COUNTIF(CAPA3_EXPANSION!$D$56:Q$56,"&gt;="&amp;24)=0,0,SUP_CONTROL!$C$8*IF($B31="V",1,IF($B31="D",(1+SUP_VOLUMEN!$C$26),(1+SUP_VOLUMEN!$C$27)))*INDEX(SUP_C3_EXPANSION!$C$6:$F$6,MIN(4,COUNTIF(CAPA3_EXPANSION!$D$56:Q$56,"&gt;="&amp;24)))*CAPA3_EXPANSION!Q$36)</f>
        <v>0</v>
      </c>
      <c r="R31" s="88">
        <f>IF(COUNTIF(CAPA3_EXPANSION!$D$56:R$56,"&gt;="&amp;24)=0,0,SUP_CONTROL!$C$8*IF($B31="V",1,IF($B31="D",(1+SUP_VOLUMEN!$C$26),(1+SUP_VOLUMEN!$C$27)))*INDEX(SUP_C3_EXPANSION!$C$6:$F$6,MIN(4,COUNTIF(CAPA3_EXPANSION!$D$56:R$56,"&gt;="&amp;24)))*CAPA3_EXPANSION!R$36)</f>
        <v>0</v>
      </c>
      <c r="S31" s="88">
        <f>IF(COUNTIF(CAPA3_EXPANSION!$D$56:S$56,"&gt;="&amp;24)=0,0,SUP_CONTROL!$C$8*IF($B31="V",1,IF($B31="D",(1+SUP_VOLUMEN!$C$26),(1+SUP_VOLUMEN!$C$27)))*INDEX(SUP_C3_EXPANSION!$C$6:$F$6,MIN(4,COUNTIF(CAPA3_EXPANSION!$D$56:S$56,"&gt;="&amp;24)))*CAPA3_EXPANSION!S$36)</f>
        <v>0</v>
      </c>
      <c r="T31" s="88">
        <f>IF(COUNTIF(CAPA3_EXPANSION!$D$56:T$56,"&gt;="&amp;24)=0,0,SUP_CONTROL!$C$8*IF($B31="V",1,IF($B31="D",(1+SUP_VOLUMEN!$C$26),(1+SUP_VOLUMEN!$C$27)))*INDEX(SUP_C3_EXPANSION!$C$6:$F$6,MIN(4,COUNTIF(CAPA3_EXPANSION!$D$56:T$56,"&gt;="&amp;24)))*CAPA3_EXPANSION!T$36)</f>
        <v>0</v>
      </c>
      <c r="U31" s="88">
        <f>IF(COUNTIF(CAPA3_EXPANSION!$D$56:U$56,"&gt;="&amp;24)=0,0,SUP_CONTROL!$C$8*IF($B31="V",1,IF($B31="D",(1+SUP_VOLUMEN!$C$26),(1+SUP_VOLUMEN!$C$27)))*INDEX(SUP_C3_EXPANSION!$C$6:$F$6,MIN(4,COUNTIF(CAPA3_EXPANSION!$D$56:U$56,"&gt;="&amp;24)))*CAPA3_EXPANSION!U$36)</f>
        <v>0</v>
      </c>
      <c r="V31" s="88">
        <f>IF(COUNTIF(CAPA3_EXPANSION!$D$56:V$56,"&gt;="&amp;24)=0,0,SUP_CONTROL!$C$8*IF($B31="V",1,IF($B31="D",(1+SUP_VOLUMEN!$C$26),(1+SUP_VOLUMEN!$C$27)))*INDEX(SUP_C3_EXPANSION!$C$6:$F$6,MIN(4,COUNTIF(CAPA3_EXPANSION!$D$56:V$56,"&gt;="&amp;24)))*CAPA3_EXPANSION!V$36)</f>
        <v>0</v>
      </c>
      <c r="W31" s="88">
        <f>IF(COUNTIF(CAPA3_EXPANSION!$D$56:W$56,"&gt;="&amp;24)=0,0,SUP_CONTROL!$C$8*IF($B31="V",1,IF($B31="D",(1+SUP_VOLUMEN!$C$26),(1+SUP_VOLUMEN!$C$27)))*INDEX(SUP_C3_EXPANSION!$C$6:$F$6,MIN(4,COUNTIF(CAPA3_EXPANSION!$D$56:W$56,"&gt;="&amp;24)))*CAPA3_EXPANSION!W$36)</f>
        <v>0</v>
      </c>
      <c r="X31" s="88">
        <f>IF(COUNTIF(CAPA3_EXPANSION!$D$56:X$56,"&gt;="&amp;24)=0,0,SUP_CONTROL!$C$8*IF($B31="V",1,IF($B31="D",(1+SUP_VOLUMEN!$C$26),(1+SUP_VOLUMEN!$C$27)))*INDEX(SUP_C3_EXPANSION!$C$6:$F$6,MIN(4,COUNTIF(CAPA3_EXPANSION!$D$56:X$56,"&gt;="&amp;24)))*CAPA3_EXPANSION!X$36)</f>
        <v>0</v>
      </c>
      <c r="Y31" s="88">
        <f>IF(COUNTIF(CAPA3_EXPANSION!$D$56:Y$56,"&gt;="&amp;24)=0,0,SUP_CONTROL!$C$8*IF($B31="V",1,IF($B31="D",(1+SUP_VOLUMEN!$C$26),(1+SUP_VOLUMEN!$C$27)))*INDEX(SUP_C3_EXPANSION!$C$6:$F$6,MIN(4,COUNTIF(CAPA3_EXPANSION!$D$56:Y$56,"&gt;="&amp;24)))*CAPA3_EXPANSION!Y$36)</f>
        <v>0</v>
      </c>
      <c r="Z31" s="88">
        <f>IF(COUNTIF(CAPA3_EXPANSION!$D$56:Z$56,"&gt;="&amp;24)=0,0,SUP_CONTROL!$C$8*IF($B31="V",1,IF($B31="D",(1+SUP_VOLUMEN!$C$26),(1+SUP_VOLUMEN!$C$27)))*INDEX(SUP_C3_EXPANSION!$C$6:$F$6,MIN(4,COUNTIF(CAPA3_EXPANSION!$D$56:Z$56,"&gt;="&amp;24)))*CAPA3_EXPANSION!Z$36)</f>
        <v>0</v>
      </c>
      <c r="AA31" s="88">
        <f>IF(COUNTIF(CAPA3_EXPANSION!$D$56:AA$56,"&gt;="&amp;24)=0,0,SUP_CONTROL!$C$8*IF($B31="V",1,IF($B31="D",(1+SUP_VOLUMEN!$C$26),(1+SUP_VOLUMEN!$C$27)))*INDEX(SUP_C3_EXPANSION!$C$6:$F$6,MIN(4,COUNTIF(CAPA3_EXPANSION!$D$56:AA$56,"&gt;="&amp;24)))*CAPA3_EXPANSION!AA$36)</f>
        <v>0</v>
      </c>
      <c r="AB31" s="88">
        <f>IF(COUNTIF(CAPA3_EXPANSION!$D$56:AB$56,"&gt;="&amp;24)=0,0,SUP_CONTROL!$C$8*IF($B31="V",1,IF($B31="D",(1+SUP_VOLUMEN!$C$26),(1+SUP_VOLUMEN!$C$27)))*INDEX(SUP_C3_EXPANSION!$C$6:$F$6,MIN(4,COUNTIF(CAPA3_EXPANSION!$D$56:AB$56,"&gt;="&amp;24)))*CAPA3_EXPANSION!AB$36)</f>
        <v>0</v>
      </c>
      <c r="AC31" s="88">
        <f>IF(COUNTIF(CAPA3_EXPANSION!$D$56:AC$56,"&gt;="&amp;24)=0,0,SUP_CONTROL!$C$8*IF($B31="V",1,IF($B31="D",(1+SUP_VOLUMEN!$C$26),(1+SUP_VOLUMEN!$C$27)))*INDEX(SUP_C3_EXPANSION!$C$6:$F$6,MIN(4,COUNTIF(CAPA3_EXPANSION!$D$56:AC$56,"&gt;="&amp;24)))*CAPA3_EXPANSION!AC$36)</f>
        <v>0</v>
      </c>
      <c r="AD31" s="88">
        <f>IF(COUNTIF(CAPA3_EXPANSION!$D$56:AD$56,"&gt;="&amp;24)=0,0,SUP_CONTROL!$C$8*IF($B31="V",1,IF($B31="D",(1+SUP_VOLUMEN!$C$26),(1+SUP_VOLUMEN!$C$27)))*INDEX(SUP_C3_EXPANSION!$C$6:$F$6,MIN(4,COUNTIF(CAPA3_EXPANSION!$D$56:AD$56,"&gt;="&amp;24)))*CAPA3_EXPANSION!AD$36)</f>
        <v>0</v>
      </c>
      <c r="AE31" s="88">
        <f>IF(COUNTIF(CAPA3_EXPANSION!$D$56:AE$56,"&gt;="&amp;24)=0,0,SUP_CONTROL!$C$8*IF($B31="V",1,IF($B31="D",(1+SUP_VOLUMEN!$C$26),(1+SUP_VOLUMEN!$C$27)))*INDEX(SUP_C3_EXPANSION!$C$6:$F$6,MIN(4,COUNTIF(CAPA3_EXPANSION!$D$56:AE$56,"&gt;="&amp;24)))*CAPA3_EXPANSION!AE$36)</f>
        <v>0</v>
      </c>
      <c r="AF31" s="88">
        <f>IF(COUNTIF(CAPA3_EXPANSION!$D$56:AF$56,"&gt;="&amp;24)=0,0,SUP_CONTROL!$C$8*IF($B31="V",1,IF($B31="D",(1+SUP_VOLUMEN!$C$26),(1+SUP_VOLUMEN!$C$27)))*INDEX(SUP_C3_EXPANSION!$C$6:$F$6,MIN(4,COUNTIF(CAPA3_EXPANSION!$D$56:AF$56,"&gt;="&amp;24)))*CAPA3_EXPANSION!AF$36)</f>
        <v>0</v>
      </c>
      <c r="AG31" s="88">
        <f>IF(COUNTIF(CAPA3_EXPANSION!$D$56:AG$56,"&gt;="&amp;24)=0,0,SUP_CONTROL!$C$8*IF($B31="V",1,IF($B31="D",(1+SUP_VOLUMEN!$C$26),(1+SUP_VOLUMEN!$C$27)))*INDEX(SUP_C3_EXPANSION!$C$6:$F$6,MIN(4,COUNTIF(CAPA3_EXPANSION!$D$56:AG$56,"&gt;="&amp;24)))*CAPA3_EXPANSION!AG$36)</f>
        <v>0</v>
      </c>
      <c r="AH31" s="88">
        <f>IF(COUNTIF(CAPA3_EXPANSION!$D$56:AH$56,"&gt;="&amp;24)=0,0,SUP_CONTROL!$C$8*IF($B31="V",1,IF($B31="D",(1+SUP_VOLUMEN!$C$26),(1+SUP_VOLUMEN!$C$27)))*INDEX(SUP_C3_EXPANSION!$C$6:$F$6,MIN(4,COUNTIF(CAPA3_EXPANSION!$D$56:AH$56,"&gt;="&amp;24)))*CAPA3_EXPANSION!AH$36)</f>
        <v>0</v>
      </c>
      <c r="AI31" s="88">
        <f>IF(COUNTIF(CAPA3_EXPANSION!$D$56:AI$56,"&gt;="&amp;24)=0,0,SUP_CONTROL!$C$8*IF($B31="V",1,IF($B31="D",(1+SUP_VOLUMEN!$C$26),(1+SUP_VOLUMEN!$C$27)))*INDEX(SUP_C3_EXPANSION!$C$6:$F$6,MIN(4,COUNTIF(CAPA3_EXPANSION!$D$56:AI$56,"&gt;="&amp;24)))*CAPA3_EXPANSION!AI$36)</f>
        <v>0</v>
      </c>
      <c r="AJ31" s="88">
        <f>IF(COUNTIF(CAPA3_EXPANSION!$D$56:AJ$56,"&gt;="&amp;24)=0,0,SUP_CONTROL!$C$8*IF($B31="V",1,IF($B31="D",(1+SUP_VOLUMEN!$C$26),(1+SUP_VOLUMEN!$C$27)))*INDEX(SUP_C3_EXPANSION!$C$6:$F$6,MIN(4,COUNTIF(CAPA3_EXPANSION!$D$56:AJ$56,"&gt;="&amp;24)))*CAPA3_EXPANSION!AJ$36)</f>
        <v>0</v>
      </c>
      <c r="AK31" s="88">
        <f>IF(COUNTIF(CAPA3_EXPANSION!$D$56:AK$56,"&gt;="&amp;24)=0,0,SUP_CONTROL!$C$8*IF($B31="V",1,IF($B31="D",(1+SUP_VOLUMEN!$C$26),(1+SUP_VOLUMEN!$C$27)))*INDEX(SUP_C3_EXPANSION!$C$6:$F$6,MIN(4,COUNTIF(CAPA3_EXPANSION!$D$56:AK$56,"&gt;="&amp;24)))*CAPA3_EXPANSION!AK$36)</f>
        <v>0</v>
      </c>
      <c r="AL31" s="88">
        <f>IF(COUNTIF(CAPA3_EXPANSION!$D$56:AL$56,"&gt;="&amp;24)=0,0,SUP_CONTROL!$C$8*IF($B31="V",1,IF($B31="D",(1+SUP_VOLUMEN!$C$26),(1+SUP_VOLUMEN!$C$27)))*INDEX(SUP_C3_EXPANSION!$C$6:$F$6,MIN(4,COUNTIF(CAPA3_EXPANSION!$D$56:AL$56,"&gt;="&amp;24)))*CAPA3_EXPANSION!AL$36)</f>
        <v>0</v>
      </c>
      <c r="AM31" s="88">
        <f>IF(COUNTIF(CAPA3_EXPANSION!$D$56:AM$56,"&gt;="&amp;24)=0,0,SUP_CONTROL!$C$8*IF($B31="V",1,IF($B31="D",(1+SUP_VOLUMEN!$C$26),(1+SUP_VOLUMEN!$C$27)))*INDEX(SUP_C3_EXPANSION!$C$6:$F$6,MIN(4,COUNTIF(CAPA3_EXPANSION!$D$56:AM$56,"&gt;="&amp;24)))*CAPA3_EXPANSION!AM$36)</f>
        <v>0</v>
      </c>
      <c r="AN31" s="88">
        <f>IF(COUNTIF(CAPA3_EXPANSION!$D$56:AN$56,"&gt;="&amp;24)=0,0,SUP_CONTROL!$C$8*IF($B31="V",1,IF($B31="D",(1+SUP_VOLUMEN!$C$26),(1+SUP_VOLUMEN!$C$27)))*INDEX(SUP_C3_EXPANSION!$C$6:$F$6,MIN(4,COUNTIF(CAPA3_EXPANSION!$D$56:AN$56,"&gt;="&amp;24)))*CAPA3_EXPANSION!AN$36)</f>
        <v>0</v>
      </c>
      <c r="AO31" s="88">
        <f>IF(COUNTIF(CAPA3_EXPANSION!$D$56:AO$56,"&gt;="&amp;24)=0,0,SUP_CONTROL!$C$8*IF($B31="V",1,IF($B31="D",(1+SUP_VOLUMEN!$C$26),(1+SUP_VOLUMEN!$C$27)))*INDEX(SUP_C3_EXPANSION!$C$6:$F$6,MIN(4,COUNTIF(CAPA3_EXPANSION!$D$56:AO$56,"&gt;="&amp;24)))*CAPA3_EXPANSION!AO$36)</f>
        <v>0</v>
      </c>
      <c r="AP31" s="88">
        <f>IF(COUNTIF(CAPA3_EXPANSION!$D$56:AP$56,"&gt;="&amp;24)=0,0,SUP_CONTROL!$C$8*IF($B31="V",1,IF($B31="D",(1+SUP_VOLUMEN!$C$26),(1+SUP_VOLUMEN!$C$27)))*INDEX(SUP_C3_EXPANSION!$C$6:$F$6,MIN(4,COUNTIF(CAPA3_EXPANSION!$D$56:AP$56,"&gt;="&amp;24)))*CAPA3_EXPANSION!AP$36)</f>
        <v>0</v>
      </c>
      <c r="AQ31" s="88">
        <f>IF(COUNTIF(CAPA3_EXPANSION!$D$56:AQ$56,"&gt;="&amp;24)=0,0,SUP_CONTROL!$C$8*IF($B31="V",1,IF($B31="D",(1+SUP_VOLUMEN!$C$26),(1+SUP_VOLUMEN!$C$27)))*INDEX(SUP_C3_EXPANSION!$C$6:$F$6,MIN(4,COUNTIF(CAPA3_EXPANSION!$D$56:AQ$56,"&gt;="&amp;24)))*CAPA3_EXPANSION!AQ$36)</f>
        <v>0</v>
      </c>
      <c r="AR31" s="88">
        <f>IF(COUNTIF(CAPA3_EXPANSION!$D$56:AR$56,"&gt;="&amp;24)=0,0,SUP_CONTROL!$C$8*IF($B31="V",1,IF($B31="D",(1+SUP_VOLUMEN!$C$26),(1+SUP_VOLUMEN!$C$27)))*INDEX(SUP_C3_EXPANSION!$C$6:$F$6,MIN(4,COUNTIF(CAPA3_EXPANSION!$D$56:AR$56,"&gt;="&amp;24)))*CAPA3_EXPANSION!AR$36)</f>
        <v>0</v>
      </c>
      <c r="AS31" s="88">
        <f>IF(COUNTIF(CAPA3_EXPANSION!$D$56:AS$56,"&gt;="&amp;24)=0,0,SUP_CONTROL!$C$8*IF($B31="V",1,IF($B31="D",(1+SUP_VOLUMEN!$C$26),(1+SUP_VOLUMEN!$C$27)))*INDEX(SUP_C3_EXPANSION!$C$6:$F$6,MIN(4,COUNTIF(CAPA3_EXPANSION!$D$56:AS$56,"&gt;="&amp;24)))*CAPA3_EXPANSION!AS$36)</f>
        <v>0</v>
      </c>
      <c r="AT31" s="88">
        <f>IF(COUNTIF(CAPA3_EXPANSION!$D$56:AT$56,"&gt;="&amp;24)=0,0,SUP_CONTROL!$C$8*IF($B31="V",1,IF($B31="D",(1+SUP_VOLUMEN!$C$26),(1+SUP_VOLUMEN!$C$27)))*INDEX(SUP_C3_EXPANSION!$C$6:$F$6,MIN(4,COUNTIF(CAPA3_EXPANSION!$D$56:AT$56,"&gt;="&amp;24)))*CAPA3_EXPANSION!AT$36)</f>
        <v>0</v>
      </c>
      <c r="AU31" s="88">
        <f>IF(COUNTIF(CAPA3_EXPANSION!$D$56:AU$56,"&gt;="&amp;24)=0,0,SUP_CONTROL!$C$8*IF($B31="V",1,IF($B31="D",(1+SUP_VOLUMEN!$C$26),(1+SUP_VOLUMEN!$C$27)))*INDEX(SUP_C3_EXPANSION!$C$6:$F$6,MIN(4,COUNTIF(CAPA3_EXPANSION!$D$56:AU$56,"&gt;="&amp;24)))*CAPA3_EXPANSION!AU$36)</f>
        <v>0</v>
      </c>
      <c r="AV31" s="88">
        <f>IF(COUNTIF(CAPA3_EXPANSION!$D$56:AV$56,"&gt;="&amp;24)=0,0,SUP_CONTROL!$C$8*IF($B31="V",1,IF($B31="D",(1+SUP_VOLUMEN!$C$26),(1+SUP_VOLUMEN!$C$27)))*INDEX(SUP_C3_EXPANSION!$C$6:$F$6,MIN(4,COUNTIF(CAPA3_EXPANSION!$D$56:AV$56,"&gt;="&amp;24)))*CAPA3_EXPANSION!AV$36)</f>
        <v>0</v>
      </c>
      <c r="AW31" s="88">
        <f>IF(COUNTIF(CAPA3_EXPANSION!$D$56:AW$56,"&gt;="&amp;24)=0,0,SUP_CONTROL!$C$8*IF($B31="V",1,IF($B31="D",(1+SUP_VOLUMEN!$C$26),(1+SUP_VOLUMEN!$C$27)))*INDEX(SUP_C3_EXPANSION!$C$6:$F$6,MIN(4,COUNTIF(CAPA3_EXPANSION!$D$56:AW$56,"&gt;="&amp;24)))*CAPA3_EXPANSION!AW$36)</f>
        <v>0</v>
      </c>
      <c r="AX31" s="88">
        <f>IF(COUNTIF(CAPA3_EXPANSION!$D$56:AX$56,"&gt;="&amp;24)=0,0,SUP_CONTROL!$C$8*IF($B31="V",1,IF($B31="D",(1+SUP_VOLUMEN!$C$26),(1+SUP_VOLUMEN!$C$27)))*INDEX(SUP_C3_EXPANSION!$C$6:$F$6,MIN(4,COUNTIF(CAPA3_EXPANSION!$D$56:AX$56,"&gt;="&amp;24)))*CAPA3_EXPANSION!AX$36)</f>
        <v>0</v>
      </c>
      <c r="AY31" s="88">
        <f>IF(COUNTIF(CAPA3_EXPANSION!$D$56:AY$56,"&gt;="&amp;24)=0,0,SUP_CONTROL!$C$8*IF($B31="V",1,IF($B31="D",(1+SUP_VOLUMEN!$C$26),(1+SUP_VOLUMEN!$C$27)))*INDEX(SUP_C3_EXPANSION!$C$6:$F$6,MIN(4,COUNTIF(CAPA3_EXPANSION!$D$56:AY$56,"&gt;="&amp;24)))*CAPA3_EXPANSION!AY$36)</f>
        <v>0</v>
      </c>
      <c r="AZ31" s="88">
        <f>IF(COUNTIF(CAPA3_EXPANSION!$D$56:AZ$56,"&gt;="&amp;24)=0,0,SUP_CONTROL!$C$8*IF($B31="V",1,IF($B31="D",(1+SUP_VOLUMEN!$C$26),(1+SUP_VOLUMEN!$C$27)))*INDEX(SUP_C3_EXPANSION!$C$6:$F$6,MIN(4,COUNTIF(CAPA3_EXPANSION!$D$56:AZ$56,"&gt;="&amp;24)))*CAPA3_EXPANSION!AZ$36)</f>
        <v>0</v>
      </c>
      <c r="BA31" s="88">
        <f>IF(COUNTIF(CAPA3_EXPANSION!$D$56:BA$56,"&gt;="&amp;24)=0,0,SUP_CONTROL!$C$8*IF($B31="V",1,IF($B31="D",(1+SUP_VOLUMEN!$C$26),(1+SUP_VOLUMEN!$C$27)))*INDEX(SUP_C3_EXPANSION!$C$6:$F$6,MIN(4,COUNTIF(CAPA3_EXPANSION!$D$56:BA$56,"&gt;="&amp;24)))*CAPA3_EXPANSION!BA$36)</f>
        <v>0</v>
      </c>
      <c r="BB31" s="88">
        <f>IF(COUNTIF(CAPA3_EXPANSION!$D$56:BB$56,"&gt;="&amp;24)=0,0,SUP_CONTROL!$C$8*IF($B31="V",1,IF($B31="D",(1+SUP_VOLUMEN!$C$26),(1+SUP_VOLUMEN!$C$27)))*INDEX(SUP_C3_EXPANSION!$C$6:$F$6,MIN(4,COUNTIF(CAPA3_EXPANSION!$D$56:BB$56,"&gt;="&amp;24)))*CAPA3_EXPANSION!BB$36)</f>
        <v>0</v>
      </c>
      <c r="BC31" s="88">
        <f>IF(COUNTIF(CAPA3_EXPANSION!$D$56:BC$56,"&gt;="&amp;24)=0,0,SUP_CONTROL!$C$8*IF($B31="V",1,IF($B31="D",(1+SUP_VOLUMEN!$C$26),(1+SUP_VOLUMEN!$C$27)))*INDEX(SUP_C3_EXPANSION!$C$6:$F$6,MIN(4,COUNTIF(CAPA3_EXPANSION!$D$56:BC$56,"&gt;="&amp;24)))*CAPA3_EXPANSION!BC$36)</f>
        <v>0</v>
      </c>
      <c r="BD31" s="88">
        <f>IF(COUNTIF(CAPA3_EXPANSION!$D$56:BD$56,"&gt;="&amp;24)=0,0,SUP_CONTROL!$C$8*IF($B31="V",1,IF($B31="D",(1+SUP_VOLUMEN!$C$26),(1+SUP_VOLUMEN!$C$27)))*INDEX(SUP_C3_EXPANSION!$C$6:$F$6,MIN(4,COUNTIF(CAPA3_EXPANSION!$D$56:BD$56,"&gt;="&amp;24)))*CAPA3_EXPANSION!BD$36)</f>
        <v>0</v>
      </c>
      <c r="BE31" s="88">
        <f>IF(COUNTIF(CAPA3_EXPANSION!$D$56:BE$56,"&gt;="&amp;24)=0,0,SUP_CONTROL!$C$8*IF($B31="V",1,IF($B31="D",(1+SUP_VOLUMEN!$C$26),(1+SUP_VOLUMEN!$C$27)))*INDEX(SUP_C3_EXPANSION!$C$6:$F$6,MIN(4,COUNTIF(CAPA3_EXPANSION!$D$56:BE$56,"&gt;="&amp;24)))*CAPA3_EXPANSION!BE$36)</f>
        <v>0</v>
      </c>
      <c r="BF31" s="88">
        <f>IF(COUNTIF(CAPA3_EXPANSION!$D$56:BF$56,"&gt;="&amp;24)=0,0,SUP_CONTROL!$C$8*IF($B31="V",1,IF($B31="D",(1+SUP_VOLUMEN!$C$26),(1+SUP_VOLUMEN!$C$27)))*INDEX(SUP_C3_EXPANSION!$C$6:$F$6,MIN(4,COUNTIF(CAPA3_EXPANSION!$D$56:BF$56,"&gt;="&amp;24)))*CAPA3_EXPANSION!BF$36)</f>
        <v>0</v>
      </c>
      <c r="BG31" s="88">
        <f>IF(COUNTIF(CAPA3_EXPANSION!$D$56:BG$56,"&gt;="&amp;24)=0,0,SUP_CONTROL!$C$8*IF($B31="V",1,IF($B31="D",(1+SUP_VOLUMEN!$C$26),(1+SUP_VOLUMEN!$C$27)))*INDEX(SUP_C3_EXPANSION!$C$6:$F$6,MIN(4,COUNTIF(CAPA3_EXPANSION!$D$56:BG$56,"&gt;="&amp;24)))*CAPA3_EXPANSION!BG$36)</f>
        <v>0</v>
      </c>
      <c r="BH31" s="88">
        <f>IF(COUNTIF(CAPA3_EXPANSION!$D$56:BH$56,"&gt;="&amp;24)=0,0,SUP_CONTROL!$C$8*IF($B31="V",1,IF($B31="D",(1+SUP_VOLUMEN!$C$26),(1+SUP_VOLUMEN!$C$27)))*INDEX(SUP_C3_EXPANSION!$C$6:$F$6,MIN(4,COUNTIF(CAPA3_EXPANSION!$D$56:BH$56,"&gt;="&amp;24)))*CAPA3_EXPANSION!BH$36)</f>
        <v>0</v>
      </c>
      <c r="BI31" s="88">
        <f>IF(COUNTIF(CAPA3_EXPANSION!$D$56:BI$56,"&gt;="&amp;24)=0,0,SUP_CONTROL!$C$8*IF($B31="V",1,IF($B31="D",(1+SUP_VOLUMEN!$C$26),(1+SUP_VOLUMEN!$C$27)))*INDEX(SUP_C3_EXPANSION!$C$6:$F$6,MIN(4,COUNTIF(CAPA3_EXPANSION!$D$56:BI$56,"&gt;="&amp;24)))*CAPA3_EXPANSION!BI$36)</f>
        <v>0</v>
      </c>
      <c r="BJ31" s="88">
        <f>IF(COUNTIF(CAPA3_EXPANSION!$D$56:BJ$56,"&gt;="&amp;24)=0,0,SUP_CONTROL!$C$8*IF($B31="V",1,IF($B31="D",(1+SUP_VOLUMEN!$C$26),(1+SUP_VOLUMEN!$C$27)))*INDEX(SUP_C3_EXPANSION!$C$6:$F$6,MIN(4,COUNTIF(CAPA3_EXPANSION!$D$56:BJ$56,"&gt;="&amp;24)))*CAPA3_EXPANSION!BJ$36)</f>
        <v>0</v>
      </c>
      <c r="BK31" s="88">
        <f>IF(COUNTIF(CAPA3_EXPANSION!$D$56:BK$56,"&gt;="&amp;24)=0,0,SUP_CONTROL!$C$8*IF($B31="V",1,IF($B31="D",(1+SUP_VOLUMEN!$C$26),(1+SUP_VOLUMEN!$C$27)))*INDEX(SUP_C3_EXPANSION!$C$6:$F$6,MIN(4,COUNTIF(CAPA3_EXPANSION!$D$56:BK$56,"&gt;="&amp;24)))*CAPA3_EXPANSION!BK$36)</f>
        <v>0</v>
      </c>
      <c r="BL31" s="88">
        <f>IF(COUNTIF(CAPA3_EXPANSION!$D$56:BL$56,"&gt;="&amp;24)=0,0,SUP_CONTROL!$C$8*IF($B31="V",1,IF($B31="D",(1+SUP_VOLUMEN!$C$26),(1+SUP_VOLUMEN!$C$27)))*INDEX(SUP_C3_EXPANSION!$C$6:$F$6,MIN(4,COUNTIF(CAPA3_EXPANSION!$D$56:BL$56,"&gt;="&amp;24)))*CAPA3_EXPANSION!BL$36)</f>
        <v>0</v>
      </c>
      <c r="BM31" s="88">
        <f>IF(COUNTIF(CAPA3_EXPANSION!$D$56:BM$56,"&gt;="&amp;24)=0,0,SUP_CONTROL!$C$8*IF($B31="V",1,IF($B31="D",(1+SUP_VOLUMEN!$C$26),(1+SUP_VOLUMEN!$C$27)))*INDEX(SUP_C3_EXPANSION!$C$6:$F$6,MIN(4,COUNTIF(CAPA3_EXPANSION!$D$56:BM$56,"&gt;="&amp;24)))*CAPA3_EXPANSION!BM$36)</f>
        <v>1925.9240000000002</v>
      </c>
      <c r="BN31" s="88">
        <f>IF(COUNTIF(CAPA3_EXPANSION!$D$56:BN$56,"&gt;="&amp;24)=0,0,SUP_CONTROL!$C$8*IF($B31="V",1,IF($B31="D",(1+SUP_VOLUMEN!$C$26),(1+SUP_VOLUMEN!$C$27)))*INDEX(SUP_C3_EXPANSION!$C$6:$F$6,MIN(4,COUNTIF(CAPA3_EXPANSION!$D$56:BN$56,"&gt;="&amp;24)))*CAPA3_EXPANSION!BN$36)</f>
        <v>2370.3680000000004</v>
      </c>
      <c r="BO31" s="88">
        <f>IF(COUNTIF(CAPA3_EXPANSION!$D$56:BO$56,"&gt;="&amp;24)=0,0,SUP_CONTROL!$C$8*IF($B31="V",1,IF($B31="D",(1+SUP_VOLUMEN!$C$26),(1+SUP_VOLUMEN!$C$27)))*INDEX(SUP_C3_EXPANSION!$C$6:$F$6,MIN(4,COUNTIF(CAPA3_EXPANSION!$D$56:BO$56,"&gt;="&amp;24)))*CAPA3_EXPANSION!BO$36)</f>
        <v>2666.6640000000002</v>
      </c>
      <c r="BP31" s="88">
        <f>IF(COUNTIF(CAPA3_EXPANSION!$D$56:BP$56,"&gt;="&amp;24)=0,0,SUP_CONTROL!$C$8*IF($B31="V",1,IF($B31="D",(1+SUP_VOLUMEN!$C$26),(1+SUP_VOLUMEN!$C$27)))*INDEX(SUP_C3_EXPANSION!$C$6:$F$6,MIN(4,COUNTIF(CAPA3_EXPANSION!$D$56:BP$56,"&gt;="&amp;24)))*CAPA3_EXPANSION!BP$36)</f>
        <v>2912.4549999999999</v>
      </c>
      <c r="BQ31" s="88">
        <f>IF(COUNTIF(CAPA3_EXPANSION!$D$56:BQ$56,"&gt;="&amp;24)=0,0,SUP_CONTROL!$C$8*IF($B31="V",1,IF($B31="D",(1+SUP_VOLUMEN!$C$26),(1+SUP_VOLUMEN!$C$27)))*INDEX(SUP_C3_EXPANSION!$C$6:$F$6,MIN(4,COUNTIF(CAPA3_EXPANSION!$D$56:BQ$56,"&gt;="&amp;24)))*CAPA3_EXPANSION!BQ$36)</f>
        <v>2912.4549999999999</v>
      </c>
      <c r="BR31" s="88">
        <f>IF(COUNTIF(CAPA3_EXPANSION!$D$56:BR$56,"&gt;="&amp;24)=0,0,SUP_CONTROL!$C$8*IF($B31="V",1,IF($B31="D",(1+SUP_VOLUMEN!$C$26),(1+SUP_VOLUMEN!$C$27)))*INDEX(SUP_C3_EXPANSION!$C$6:$F$6,MIN(4,COUNTIF(CAPA3_EXPANSION!$D$56:BR$56,"&gt;="&amp;24)))*CAPA3_EXPANSION!BR$36)</f>
        <v>2912.4549999999999</v>
      </c>
      <c r="BS31" s="88">
        <f>IF(COUNTIF(CAPA3_EXPANSION!$D$56:BS$56,"&gt;="&amp;24)=0,0,SUP_CONTROL!$C$8*IF($B31="V",1,IF($B31="D",(1+SUP_VOLUMEN!$C$26),(1+SUP_VOLUMEN!$C$27)))*INDEX(SUP_C3_EXPANSION!$C$6:$F$6,MIN(4,COUNTIF(CAPA3_EXPANSION!$D$56:BS$56,"&gt;="&amp;24)))*CAPA3_EXPANSION!BS$36)</f>
        <v>2912.4549999999999</v>
      </c>
      <c r="BT31" s="88">
        <f>IF(COUNTIF(CAPA3_EXPANSION!$D$56:BT$56,"&gt;="&amp;24)=0,0,SUP_CONTROL!$C$8*IF($B31="V",1,IF($B31="D",(1+SUP_VOLUMEN!$C$26),(1+SUP_VOLUMEN!$C$27)))*INDEX(SUP_C3_EXPANSION!$C$6:$F$6,MIN(4,COUNTIF(CAPA3_EXPANSION!$D$56:BT$56,"&gt;="&amp;24)))*CAPA3_EXPANSION!BT$36)</f>
        <v>2912.4549999999999</v>
      </c>
      <c r="BU31" s="88">
        <f>IF(COUNTIF(CAPA3_EXPANSION!$D$56:BU$56,"&gt;="&amp;24)=0,0,SUP_CONTROL!$C$8*IF($B31="V",1,IF($B31="D",(1+SUP_VOLUMEN!$C$26),(1+SUP_VOLUMEN!$C$27)))*INDEX(SUP_C3_EXPANSION!$C$6:$F$6,MIN(4,COUNTIF(CAPA3_EXPANSION!$D$56:BU$56,"&gt;="&amp;24)))*CAPA3_EXPANSION!BU$36)</f>
        <v>2861.95</v>
      </c>
      <c r="BV31" s="88">
        <f>IF(COUNTIF(CAPA3_EXPANSION!$D$56:BV$56,"&gt;="&amp;24)=0,0,SUP_CONTROL!$C$8*IF($B31="V",1,IF($B31="D",(1+SUP_VOLUMEN!$C$26),(1+SUP_VOLUMEN!$C$27)))*INDEX(SUP_C3_EXPANSION!$C$6:$F$6,MIN(4,COUNTIF(CAPA3_EXPANSION!$D$56:BV$56,"&gt;="&amp;24)))*CAPA3_EXPANSION!BV$36)</f>
        <v>2861.95</v>
      </c>
      <c r="BW31" s="88">
        <f>IF(COUNTIF(CAPA3_EXPANSION!$D$56:BW$56,"&gt;="&amp;24)=0,0,SUP_CONTROL!$C$8*IF($B31="V",1,IF($B31="D",(1+SUP_VOLUMEN!$C$26),(1+SUP_VOLUMEN!$C$27)))*INDEX(SUP_C3_EXPANSION!$C$6:$F$6,MIN(4,COUNTIF(CAPA3_EXPANSION!$D$56:BW$56,"&gt;="&amp;24)))*CAPA3_EXPANSION!BW$36)</f>
        <v>2861.95</v>
      </c>
      <c r="BX31" s="88">
        <f>IF(COUNTIF(CAPA3_EXPANSION!$D$56:BX$56,"&gt;="&amp;24)=0,0,SUP_CONTROL!$C$8*IF($B31="V",1,IF($B31="D",(1+SUP_VOLUMEN!$C$26),(1+SUP_VOLUMEN!$C$27)))*INDEX(SUP_C3_EXPANSION!$C$6:$F$6,MIN(4,COUNTIF(CAPA3_EXPANSION!$D$56:BX$56,"&gt;="&amp;24)))*CAPA3_EXPANSION!BX$36)</f>
        <v>2861.95</v>
      </c>
      <c r="BY31" s="88">
        <f>IF(COUNTIF(CAPA3_EXPANSION!$D$56:BY$56,"&gt;="&amp;24)=0,0,SUP_CONTROL!$C$8*IF($B31="V",1,IF($B31="D",(1+SUP_VOLUMEN!$C$26),(1+SUP_VOLUMEN!$C$27)))*INDEX(SUP_C3_EXPANSION!$C$6:$F$6,MIN(4,COUNTIF(CAPA3_EXPANSION!$D$56:BY$56,"&gt;="&amp;24)))*CAPA3_EXPANSION!BY$36)</f>
        <v>2861.95</v>
      </c>
      <c r="BZ31" s="88">
        <f>IF(COUNTIF(CAPA3_EXPANSION!$D$56:BZ$56,"&gt;="&amp;24)=0,0,SUP_CONTROL!$C$8*IF($B31="V",1,IF($B31="D",(1+SUP_VOLUMEN!$C$26),(1+SUP_VOLUMEN!$C$27)))*INDEX(SUP_C3_EXPANSION!$C$6:$F$6,MIN(4,COUNTIF(CAPA3_EXPANSION!$D$56:BZ$56,"&gt;="&amp;24)))*CAPA3_EXPANSION!BZ$36)</f>
        <v>2828.2799999999997</v>
      </c>
      <c r="CA31" s="88">
        <f>IF(COUNTIF(CAPA3_EXPANSION!$D$56:CA$56,"&gt;="&amp;24)=0,0,SUP_CONTROL!$C$8*IF($B31="V",1,IF($B31="D",(1+SUP_VOLUMEN!$C$26),(1+SUP_VOLUMEN!$C$27)))*INDEX(SUP_C3_EXPANSION!$C$6:$F$6,MIN(4,COUNTIF(CAPA3_EXPANSION!$D$56:CA$56,"&gt;="&amp;24)))*CAPA3_EXPANSION!CA$36)</f>
        <v>2828.2799999999997</v>
      </c>
      <c r="CB31" s="88">
        <f>IF(COUNTIF(CAPA3_EXPANSION!$D$56:CB$56,"&gt;="&amp;24)=0,0,SUP_CONTROL!$C$8*IF($B31="V",1,IF($B31="D",(1+SUP_VOLUMEN!$C$26),(1+SUP_VOLUMEN!$C$27)))*INDEX(SUP_C3_EXPANSION!$C$6:$F$6,MIN(4,COUNTIF(CAPA3_EXPANSION!$D$56:CB$56,"&gt;="&amp;24)))*CAPA3_EXPANSION!CB$36)</f>
        <v>2828.2799999999997</v>
      </c>
      <c r="CC31" s="88">
        <f>IF(COUNTIF(CAPA3_EXPANSION!$D$56:CC$56,"&gt;="&amp;24)=0,0,SUP_CONTROL!$C$8*IF($B31="V",1,IF($B31="D",(1+SUP_VOLUMEN!$C$26),(1+SUP_VOLUMEN!$C$27)))*INDEX(SUP_C3_EXPANSION!$C$6:$F$6,MIN(4,COUNTIF(CAPA3_EXPANSION!$D$56:CC$56,"&gt;="&amp;24)))*CAPA3_EXPANSION!CC$36)</f>
        <v>2828.2799999999997</v>
      </c>
      <c r="CD31" s="88">
        <f>IF(COUNTIF(CAPA3_EXPANSION!$D$56:CD$56,"&gt;="&amp;24)=0,0,SUP_CONTROL!$C$8*IF($B31="V",1,IF($B31="D",(1+SUP_VOLUMEN!$C$26),(1+SUP_VOLUMEN!$C$27)))*INDEX(SUP_C3_EXPANSION!$C$6:$F$6,MIN(4,COUNTIF(CAPA3_EXPANSION!$D$56:CD$56,"&gt;="&amp;24)))*CAPA3_EXPANSION!CD$36)</f>
        <v>2828.2799999999997</v>
      </c>
      <c r="CE31" s="88">
        <f>IF(COUNTIF(CAPA3_EXPANSION!$D$56:CE$56,"&gt;="&amp;24)=0,0,SUP_CONTROL!$C$8*IF($B31="V",1,IF($B31="D",(1+SUP_VOLUMEN!$C$26),(1+SUP_VOLUMEN!$C$27)))*INDEX(SUP_C3_EXPANSION!$C$6:$F$6,MIN(4,COUNTIF(CAPA3_EXPANSION!$D$56:CE$56,"&gt;="&amp;24)))*CAPA3_EXPANSION!CE$36)</f>
        <v>2828.2799999999997</v>
      </c>
      <c r="CF31" s="88">
        <f>IF(COUNTIF(CAPA3_EXPANSION!$D$56:CF$56,"&gt;="&amp;24)=0,0,SUP_CONTROL!$C$8*IF($B31="V",1,IF($B31="D",(1+SUP_VOLUMEN!$C$26),(1+SUP_VOLUMEN!$C$27)))*INDEX(SUP_C3_EXPANSION!$C$6:$F$6,MIN(4,COUNTIF(CAPA3_EXPANSION!$D$56:CF$56,"&gt;="&amp;24)))*CAPA3_EXPANSION!CF$36)</f>
        <v>2828.2799999999997</v>
      </c>
      <c r="CG31" s="88">
        <f>IF(COUNTIF(CAPA3_EXPANSION!$D$56:CG$56,"&gt;="&amp;24)=0,0,SUP_CONTROL!$C$8*IF($B31="V",1,IF($B31="D",(1+SUP_VOLUMEN!$C$26),(1+SUP_VOLUMEN!$C$27)))*INDEX(SUP_C3_EXPANSION!$C$6:$F$6,MIN(4,COUNTIF(CAPA3_EXPANSION!$D$56:CG$56,"&gt;="&amp;24)))*CAPA3_EXPANSION!CG$36)</f>
        <v>2828.2799999999997</v>
      </c>
      <c r="CH31" s="88">
        <f>IF(COUNTIF(CAPA3_EXPANSION!$D$56:CH$56,"&gt;="&amp;24)=0,0,SUP_CONTROL!$C$8*IF($B31="V",1,IF($B31="D",(1+SUP_VOLUMEN!$C$26),(1+SUP_VOLUMEN!$C$27)))*INDEX(SUP_C3_EXPANSION!$C$6:$F$6,MIN(4,COUNTIF(CAPA3_EXPANSION!$D$56:CH$56,"&gt;="&amp;24)))*CAPA3_EXPANSION!CH$36)</f>
        <v>2828.2799999999997</v>
      </c>
      <c r="CI31" s="88">
        <f>IF(COUNTIF(CAPA3_EXPANSION!$D$56:CI$56,"&gt;="&amp;24)=0,0,SUP_CONTROL!$C$8*IF($B31="V",1,IF($B31="D",(1+SUP_VOLUMEN!$C$26),(1+SUP_VOLUMEN!$C$27)))*INDEX(SUP_C3_EXPANSION!$C$6:$F$6,MIN(4,COUNTIF(CAPA3_EXPANSION!$D$56:CI$56,"&gt;="&amp;24)))*CAPA3_EXPANSION!CI$36)</f>
        <v>2828.2799999999997</v>
      </c>
      <c r="CJ31" s="88">
        <f>IF(COUNTIF(CAPA3_EXPANSION!$D$56:CJ$56,"&gt;="&amp;24)=0,0,SUP_CONTROL!$C$8*IF($B31="V",1,IF($B31="D",(1+SUP_VOLUMEN!$C$26),(1+SUP_VOLUMEN!$C$27)))*INDEX(SUP_C3_EXPANSION!$C$6:$F$6,MIN(4,COUNTIF(CAPA3_EXPANSION!$D$56:CJ$56,"&gt;="&amp;24)))*CAPA3_EXPANSION!CJ$36)</f>
        <v>2828.2799999999997</v>
      </c>
      <c r="CK31" s="88">
        <f>IF(COUNTIF(CAPA3_EXPANSION!$D$56:CK$56,"&gt;="&amp;24)=0,0,SUP_CONTROL!$C$8*IF($B31="V",1,IF($B31="D",(1+SUP_VOLUMEN!$C$26),(1+SUP_VOLUMEN!$C$27)))*INDEX(SUP_C3_EXPANSION!$C$6:$F$6,MIN(4,COUNTIF(CAPA3_EXPANSION!$D$56:CK$56,"&gt;="&amp;24)))*CAPA3_EXPANSION!CK$36)</f>
        <v>2828.2799999999997</v>
      </c>
      <c r="CL31" s="88">
        <f>IF(COUNTIF(CAPA3_EXPANSION!$D$56:CL$56,"&gt;="&amp;24)=0,0,SUP_CONTROL!$C$8*IF($B31="V",1,IF($B31="D",(1+SUP_VOLUMEN!$C$26),(1+SUP_VOLUMEN!$C$27)))*INDEX(SUP_C3_EXPANSION!$C$6:$F$6,MIN(4,COUNTIF(CAPA3_EXPANSION!$D$56:CL$56,"&gt;="&amp;24)))*CAPA3_EXPANSION!CL$36)</f>
        <v>2828.2799999999997</v>
      </c>
      <c r="CM31" s="88">
        <f>IF(COUNTIF(CAPA3_EXPANSION!$D$56:CM$56,"&gt;="&amp;24)=0,0,SUP_CONTROL!$C$8*IF($B31="V",1,IF($B31="D",(1+SUP_VOLUMEN!$C$26),(1+SUP_VOLUMEN!$C$27)))*INDEX(SUP_C3_EXPANSION!$C$6:$F$6,MIN(4,COUNTIF(CAPA3_EXPANSION!$D$56:CM$56,"&gt;="&amp;24)))*CAPA3_EXPANSION!CM$36)</f>
        <v>2828.2799999999997</v>
      </c>
      <c r="CN31" s="88">
        <f>IF(COUNTIF(CAPA3_EXPANSION!$D$56:CN$56,"&gt;="&amp;24)=0,0,SUP_CONTROL!$C$8*IF($B31="V",1,IF($B31="D",(1+SUP_VOLUMEN!$C$26),(1+SUP_VOLUMEN!$C$27)))*INDEX(SUP_C3_EXPANSION!$C$6:$F$6,MIN(4,COUNTIF(CAPA3_EXPANSION!$D$56:CN$56,"&gt;="&amp;24)))*CAPA3_EXPANSION!CN$36)</f>
        <v>2828.2799999999997</v>
      </c>
      <c r="CO31" s="88">
        <f>IF(COUNTIF(CAPA3_EXPANSION!$D$56:CO$56,"&gt;="&amp;24)=0,0,SUP_CONTROL!$C$8*IF($B31="V",1,IF($B31="D",(1+SUP_VOLUMEN!$C$26),(1+SUP_VOLUMEN!$C$27)))*INDEX(SUP_C3_EXPANSION!$C$6:$F$6,MIN(4,COUNTIF(CAPA3_EXPANSION!$D$56:CO$56,"&gt;="&amp;24)))*CAPA3_EXPANSION!CO$36)</f>
        <v>2828.2799999999997</v>
      </c>
      <c r="CP31" s="88">
        <f>IF(COUNTIF(CAPA3_EXPANSION!$D$56:CP$56,"&gt;="&amp;24)=0,0,SUP_CONTROL!$C$8*IF($B31="V",1,IF($B31="D",(1+SUP_VOLUMEN!$C$26),(1+SUP_VOLUMEN!$C$27)))*INDEX(SUP_C3_EXPANSION!$C$6:$F$6,MIN(4,COUNTIF(CAPA3_EXPANSION!$D$56:CP$56,"&gt;="&amp;24)))*CAPA3_EXPANSION!CP$36)</f>
        <v>2828.2799999999997</v>
      </c>
      <c r="CQ31" s="88">
        <f>IF(COUNTIF(CAPA3_EXPANSION!$D$56:CQ$56,"&gt;="&amp;24)=0,0,SUP_CONTROL!$C$8*IF($B31="V",1,IF($B31="D",(1+SUP_VOLUMEN!$C$26),(1+SUP_VOLUMEN!$C$27)))*INDEX(SUP_C3_EXPANSION!$C$6:$F$6,MIN(4,COUNTIF(CAPA3_EXPANSION!$D$56:CQ$56,"&gt;="&amp;24)))*CAPA3_EXPANSION!CQ$36)</f>
        <v>2828.2799999999997</v>
      </c>
      <c r="CR31" s="88">
        <f>IF(COUNTIF(CAPA3_EXPANSION!$D$56:CR$56,"&gt;="&amp;24)=0,0,SUP_CONTROL!$C$8*IF($B31="V",1,IF($B31="D",(1+SUP_VOLUMEN!$C$26),(1+SUP_VOLUMEN!$C$27)))*INDEX(SUP_C3_EXPANSION!$C$6:$F$6,MIN(4,COUNTIF(CAPA3_EXPANSION!$D$56:CR$56,"&gt;="&amp;24)))*CAPA3_EXPANSION!CR$36)</f>
        <v>2828.2799999999997</v>
      </c>
      <c r="CS31" s="88">
        <f>IF(COUNTIF(CAPA3_EXPANSION!$D$56:CS$56,"&gt;="&amp;24)=0,0,SUP_CONTROL!$C$8*IF($B31="V",1,IF($B31="D",(1+SUP_VOLUMEN!$C$26),(1+SUP_VOLUMEN!$C$27)))*INDEX(SUP_C3_EXPANSION!$C$6:$F$6,MIN(4,COUNTIF(CAPA3_EXPANSION!$D$56:CS$56,"&gt;="&amp;24)))*CAPA3_EXPANSION!CS$36)</f>
        <v>2828.2799999999997</v>
      </c>
      <c r="CT31" s="88">
        <f>IF(COUNTIF(CAPA3_EXPANSION!$D$56:CT$56,"&gt;="&amp;24)=0,0,SUP_CONTROL!$C$8*IF($B31="V",1,IF($B31="D",(1+SUP_VOLUMEN!$C$26),(1+SUP_VOLUMEN!$C$27)))*INDEX(SUP_C3_EXPANSION!$C$6:$F$6,MIN(4,COUNTIF(CAPA3_EXPANSION!$D$56:CT$56,"&gt;="&amp;24)))*CAPA3_EXPANSION!CT$36)</f>
        <v>2828.2799999999997</v>
      </c>
      <c r="CU31" s="88">
        <f>IF(COUNTIF(CAPA3_EXPANSION!$D$56:CU$56,"&gt;="&amp;24)=0,0,SUP_CONTROL!$C$8*IF($B31="V",1,IF($B31="D",(1+SUP_VOLUMEN!$C$26),(1+SUP_VOLUMEN!$C$27)))*INDEX(SUP_C3_EXPANSION!$C$6:$F$6,MIN(4,COUNTIF(CAPA3_EXPANSION!$D$56:CU$56,"&gt;="&amp;24)))*CAPA3_EXPANSION!CU$36)</f>
        <v>2828.2799999999997</v>
      </c>
      <c r="CV31" s="88">
        <f>IF(COUNTIF(CAPA3_EXPANSION!$D$56:CV$56,"&gt;="&amp;24)=0,0,SUP_CONTROL!$C$8*IF($B31="V",1,IF($B31="D",(1+SUP_VOLUMEN!$C$26),(1+SUP_VOLUMEN!$C$27)))*INDEX(SUP_C3_EXPANSION!$C$6:$F$6,MIN(4,COUNTIF(CAPA3_EXPANSION!$D$56:CV$56,"&gt;="&amp;24)))*CAPA3_EXPANSION!CV$36)</f>
        <v>2828.2799999999997</v>
      </c>
      <c r="CW31" s="88">
        <f>IF(COUNTIF(CAPA3_EXPANSION!$D$56:CW$56,"&gt;="&amp;24)=0,0,SUP_CONTROL!$C$8*IF($B31="V",1,IF($B31="D",(1+SUP_VOLUMEN!$C$26),(1+SUP_VOLUMEN!$C$27)))*INDEX(SUP_C3_EXPANSION!$C$6:$F$6,MIN(4,COUNTIF(CAPA3_EXPANSION!$D$56:CW$56,"&gt;="&amp;24)))*CAPA3_EXPANSION!CW$36)</f>
        <v>2828.2799999999997</v>
      </c>
      <c r="CX31" s="88">
        <f>IF(COUNTIF(CAPA3_EXPANSION!$D$56:CX$56,"&gt;="&amp;24)=0,0,SUP_CONTROL!$C$8*IF($B31="V",1,IF($B31="D",(1+SUP_VOLUMEN!$C$26),(1+SUP_VOLUMEN!$C$27)))*INDEX(SUP_C3_EXPANSION!$C$6:$F$6,MIN(4,COUNTIF(CAPA3_EXPANSION!$D$56:CX$56,"&gt;="&amp;24)))*CAPA3_EXPANSION!CX$36)</f>
        <v>2828.2799999999997</v>
      </c>
      <c r="CY31" s="88">
        <f>IF(COUNTIF(CAPA3_EXPANSION!$D$56:CY$56,"&gt;="&amp;24)=0,0,SUP_CONTROL!$C$8*IF($B31="V",1,IF($B31="D",(1+SUP_VOLUMEN!$C$26),(1+SUP_VOLUMEN!$C$27)))*INDEX(SUP_C3_EXPANSION!$C$6:$F$6,MIN(4,COUNTIF(CAPA3_EXPANSION!$D$56:CY$56,"&gt;="&amp;24)))*CAPA3_EXPANSION!CY$36)</f>
        <v>2828.2799999999997</v>
      </c>
      <c r="CZ31" s="88">
        <f>IF(COUNTIF(CAPA3_EXPANSION!$D$56:CZ$56,"&gt;="&amp;24)=0,0,SUP_CONTROL!$C$8*IF($B31="V",1,IF($B31="D",(1+SUP_VOLUMEN!$C$26),(1+SUP_VOLUMEN!$C$27)))*INDEX(SUP_C3_EXPANSION!$C$6:$F$6,MIN(4,COUNTIF(CAPA3_EXPANSION!$D$56:CZ$56,"&gt;="&amp;24)))*CAPA3_EXPANSION!CZ$36)</f>
        <v>2828.2799999999997</v>
      </c>
      <c r="DA31" s="88">
        <f>IF(COUNTIF(CAPA3_EXPANSION!$D$56:DA$56,"&gt;="&amp;24)=0,0,SUP_CONTROL!$C$8*IF($B31="V",1,IF($B31="D",(1+SUP_VOLUMEN!$C$26),(1+SUP_VOLUMEN!$C$27)))*INDEX(SUP_C3_EXPANSION!$C$6:$F$6,MIN(4,COUNTIF(CAPA3_EXPANSION!$D$56:DA$56,"&gt;="&amp;24)))*CAPA3_EXPANSION!DA$36)</f>
        <v>2828.2799999999997</v>
      </c>
      <c r="DB31" s="88">
        <f>IF(COUNTIF(CAPA3_EXPANSION!$D$56:DB$56,"&gt;="&amp;24)=0,0,SUP_CONTROL!$C$8*IF($B31="V",1,IF($B31="D",(1+SUP_VOLUMEN!$C$26),(1+SUP_VOLUMEN!$C$27)))*INDEX(SUP_C3_EXPANSION!$C$6:$F$6,MIN(4,COUNTIF(CAPA3_EXPANSION!$D$56:DB$56,"&gt;="&amp;24)))*CAPA3_EXPANSION!DB$36)</f>
        <v>2828.2799999999997</v>
      </c>
      <c r="DC31" s="88">
        <f>IF(COUNTIF(CAPA3_EXPANSION!$D$56:DC$56,"&gt;="&amp;24)=0,0,SUP_CONTROL!$C$8*IF($B31="V",1,IF($B31="D",(1+SUP_VOLUMEN!$C$26),(1+SUP_VOLUMEN!$C$27)))*INDEX(SUP_C3_EXPANSION!$C$6:$F$6,MIN(4,COUNTIF(CAPA3_EXPANSION!$D$56:DC$56,"&gt;="&amp;24)))*CAPA3_EXPANSION!DC$36)</f>
        <v>2828.2799999999997</v>
      </c>
      <c r="DD31" s="88">
        <f>IF(COUNTIF(CAPA3_EXPANSION!$D$56:DD$56,"&gt;="&amp;24)=0,0,SUP_CONTROL!$C$8*IF($B31="V",1,IF($B31="D",(1+SUP_VOLUMEN!$C$26),(1+SUP_VOLUMEN!$C$27)))*INDEX(SUP_C3_EXPANSION!$C$6:$F$6,MIN(4,COUNTIF(CAPA3_EXPANSION!$D$56:DD$56,"&gt;="&amp;24)))*CAPA3_EXPANSION!DD$36)</f>
        <v>2828.2799999999997</v>
      </c>
      <c r="DE31" s="88">
        <f>IF(COUNTIF(CAPA3_EXPANSION!$D$56:DE$56,"&gt;="&amp;24)=0,0,SUP_CONTROL!$C$8*IF($B31="V",1,IF($B31="D",(1+SUP_VOLUMEN!$C$26),(1+SUP_VOLUMEN!$C$27)))*INDEX(SUP_C3_EXPANSION!$C$6:$F$6,MIN(4,COUNTIF(CAPA3_EXPANSION!$D$56:DE$56,"&gt;="&amp;24)))*CAPA3_EXPANSION!DE$36)</f>
        <v>2828.2799999999997</v>
      </c>
      <c r="DF31" s="88">
        <f>IF(COUNTIF(CAPA3_EXPANSION!$D$56:DF$56,"&gt;="&amp;24)=0,0,SUP_CONTROL!$C$8*IF($B31="V",1,IF($B31="D",(1+SUP_VOLUMEN!$C$26),(1+SUP_VOLUMEN!$C$27)))*INDEX(SUP_C3_EXPANSION!$C$6:$F$6,MIN(4,COUNTIF(CAPA3_EXPANSION!$D$56:DF$56,"&gt;="&amp;24)))*CAPA3_EXPANSION!DF$36)</f>
        <v>2828.2799999999997</v>
      </c>
      <c r="DG31" s="88">
        <f>IF(COUNTIF(CAPA3_EXPANSION!$D$56:DG$56,"&gt;="&amp;24)=0,0,SUP_CONTROL!$C$8*IF($B31="V",1,IF($B31="D",(1+SUP_VOLUMEN!$C$26),(1+SUP_VOLUMEN!$C$27)))*INDEX(SUP_C3_EXPANSION!$C$6:$F$6,MIN(4,COUNTIF(CAPA3_EXPANSION!$D$56:DG$56,"&gt;="&amp;24)))*CAPA3_EXPANSION!DG$36)</f>
        <v>2828.2799999999997</v>
      </c>
      <c r="DH31" s="88">
        <f>IF(COUNTIF(CAPA3_EXPANSION!$D$56:DH$56,"&gt;="&amp;24)=0,0,SUP_CONTROL!$C$8*IF($B31="V",1,IF($B31="D",(1+SUP_VOLUMEN!$C$26),(1+SUP_VOLUMEN!$C$27)))*INDEX(SUP_C3_EXPANSION!$C$6:$F$6,MIN(4,COUNTIF(CAPA3_EXPANSION!$D$56:DH$56,"&gt;="&amp;24)))*CAPA3_EXPANSION!DH$36)</f>
        <v>2828.2799999999997</v>
      </c>
      <c r="DI31" s="88">
        <f>IF(COUNTIF(CAPA3_EXPANSION!$D$56:DI$56,"&gt;="&amp;24)=0,0,SUP_CONTROL!$C$8*IF($B31="V",1,IF($B31="D",(1+SUP_VOLUMEN!$C$26),(1+SUP_VOLUMEN!$C$27)))*INDEX(SUP_C3_EXPANSION!$C$6:$F$6,MIN(4,COUNTIF(CAPA3_EXPANSION!$D$56:DI$56,"&gt;="&amp;24)))*CAPA3_EXPANSION!DI$36)</f>
        <v>2828.2799999999997</v>
      </c>
      <c r="DJ31" s="88">
        <f>IF(COUNTIF(CAPA3_EXPANSION!$D$56:DJ$56,"&gt;="&amp;24)=0,0,SUP_CONTROL!$C$8*IF($B31="V",1,IF($B31="D",(1+SUP_VOLUMEN!$C$26),(1+SUP_VOLUMEN!$C$27)))*INDEX(SUP_C3_EXPANSION!$C$6:$F$6,MIN(4,COUNTIF(CAPA3_EXPANSION!$D$56:DJ$56,"&gt;="&amp;24)))*CAPA3_EXPANSION!DJ$36)</f>
        <v>2828.2799999999997</v>
      </c>
      <c r="DK31" s="88">
        <f>IF(COUNTIF(CAPA3_EXPANSION!$D$56:DK$56,"&gt;="&amp;24)=0,0,SUP_CONTROL!$C$8*IF($B31="V",1,IF($B31="D",(1+SUP_VOLUMEN!$C$26),(1+SUP_VOLUMEN!$C$27)))*INDEX(SUP_C3_EXPANSION!$C$6:$F$6,MIN(4,COUNTIF(CAPA3_EXPANSION!$D$56:DK$56,"&gt;="&amp;24)))*CAPA3_EXPANSION!DK$36)</f>
        <v>2828.2799999999997</v>
      </c>
      <c r="DL31" s="88">
        <f>IF(COUNTIF(CAPA3_EXPANSION!$D$56:DL$56,"&gt;="&amp;24)=0,0,SUP_CONTROL!$C$8*IF($B31="V",1,IF($B31="D",(1+SUP_VOLUMEN!$C$26),(1+SUP_VOLUMEN!$C$27)))*INDEX(SUP_C3_EXPANSION!$C$6:$F$6,MIN(4,COUNTIF(CAPA3_EXPANSION!$D$56:DL$56,"&gt;="&amp;24)))*CAPA3_EXPANSION!DL$36)</f>
        <v>2828.2799999999997</v>
      </c>
      <c r="DM31" s="88">
        <f>IF(COUNTIF(CAPA3_EXPANSION!$D$56:DM$56,"&gt;="&amp;24)=0,0,SUP_CONTROL!$C$8*IF($B31="V",1,IF($B31="D",(1+SUP_VOLUMEN!$C$26),(1+SUP_VOLUMEN!$C$27)))*INDEX(SUP_C3_EXPANSION!$C$6:$F$6,MIN(4,COUNTIF(CAPA3_EXPANSION!$D$56:DM$56,"&gt;="&amp;24)))*CAPA3_EXPANSION!DM$36)</f>
        <v>2828.2799999999997</v>
      </c>
      <c r="DN31" s="88">
        <f>IF(COUNTIF(CAPA3_EXPANSION!$D$56:DN$56,"&gt;="&amp;24)=0,0,SUP_CONTROL!$C$8*IF($B31="V",1,IF($B31="D",(1+SUP_VOLUMEN!$C$26),(1+SUP_VOLUMEN!$C$27)))*INDEX(SUP_C3_EXPANSION!$C$6:$F$6,MIN(4,COUNTIF(CAPA3_EXPANSION!$D$56:DN$56,"&gt;="&amp;24)))*CAPA3_EXPANSION!DN$36)</f>
        <v>2828.2799999999997</v>
      </c>
      <c r="DO31" s="88">
        <f>IF(COUNTIF(CAPA3_EXPANSION!$D$56:DO$56,"&gt;="&amp;24)=0,0,SUP_CONTROL!$C$8*IF($B31="V",1,IF($B31="D",(1+SUP_VOLUMEN!$C$26),(1+SUP_VOLUMEN!$C$27)))*INDEX(SUP_C3_EXPANSION!$C$6:$F$6,MIN(4,COUNTIF(CAPA3_EXPANSION!$D$56:DO$56,"&gt;="&amp;24)))*CAPA3_EXPANSION!DO$36)</f>
        <v>2828.2799999999997</v>
      </c>
      <c r="DP31" s="88">
        <f>IF(COUNTIF(CAPA3_EXPANSION!$D$56:DP$56,"&gt;="&amp;24)=0,0,SUP_CONTROL!$C$8*IF($B31="V",1,IF($B31="D",(1+SUP_VOLUMEN!$C$26),(1+SUP_VOLUMEN!$C$27)))*INDEX(SUP_C3_EXPANSION!$C$6:$F$6,MIN(4,COUNTIF(CAPA3_EXPANSION!$D$56:DP$56,"&gt;="&amp;24)))*CAPA3_EXPANSION!DP$36)</f>
        <v>2828.2799999999997</v>
      </c>
      <c r="DQ31" s="88">
        <f>IF(COUNTIF(CAPA3_EXPANSION!$D$56:DQ$56,"&gt;="&amp;24)=0,0,SUP_CONTROL!$C$8*IF($B31="V",1,IF($B31="D",(1+SUP_VOLUMEN!$C$26),(1+SUP_VOLUMEN!$C$27)))*INDEX(SUP_C3_EXPANSION!$C$6:$F$6,MIN(4,COUNTIF(CAPA3_EXPANSION!$D$56:DQ$56,"&gt;="&amp;24)))*CAPA3_EXPANSION!DQ$36)</f>
        <v>2828.2799999999997</v>
      </c>
      <c r="DR31" s="88">
        <f>IF(COUNTIF(CAPA3_EXPANSION!$D$56:DR$56,"&gt;="&amp;24)=0,0,SUP_CONTROL!$C$8*IF($B31="V",1,IF($B31="D",(1+SUP_VOLUMEN!$C$26),(1+SUP_VOLUMEN!$C$27)))*INDEX(SUP_C3_EXPANSION!$C$6:$F$6,MIN(4,COUNTIF(CAPA3_EXPANSION!$D$56:DR$56,"&gt;="&amp;24)))*CAPA3_EXPANSION!DR$36)</f>
        <v>2828.2799999999997</v>
      </c>
      <c r="DS31" s="88">
        <f>IF(COUNTIF(CAPA3_EXPANSION!$D$56:DS$56,"&gt;="&amp;24)=0,0,SUP_CONTROL!$C$8*IF($B31="V",1,IF($B31="D",(1+SUP_VOLUMEN!$C$26),(1+SUP_VOLUMEN!$C$27)))*INDEX(SUP_C3_EXPANSION!$C$6:$F$6,MIN(4,COUNTIF(CAPA3_EXPANSION!$D$56:DS$56,"&gt;="&amp;24)))*CAPA3_EXPANSION!DS$36)</f>
        <v>2828.2799999999997</v>
      </c>
    </row>
    <row r="32" spans="1:123" ht="15" customHeight="1" x14ac:dyDescent="0.2">
      <c r="A32" s="88">
        <v>35</v>
      </c>
      <c r="B32" s="104" t="str">
        <f>SUP_C3_EXPANSION!B44</f>
        <v>D</v>
      </c>
      <c r="C32" s="73">
        <f>SUP_C3_EXPANSION!G44</f>
        <v>60</v>
      </c>
      <c r="D32" s="88">
        <f>IF(COUNTIF(CAPA3_EXPANSION!$D$56:D$56,"&gt;="&amp;25)=0,0,SUP_CONTROL!$C$8*IF($B32="V",1,IF($B32="D",(1+SUP_VOLUMEN!$C$26),(1+SUP_VOLUMEN!$C$27)))*INDEX(SUP_C3_EXPANSION!$C$6:$F$6,MIN(4,COUNTIF(CAPA3_EXPANSION!$D$56:D$56,"&gt;="&amp;25)))*CAPA3_EXPANSION!D$36)</f>
        <v>0</v>
      </c>
      <c r="E32" s="88">
        <f>IF(COUNTIF(CAPA3_EXPANSION!$D$56:E$56,"&gt;="&amp;25)=0,0,SUP_CONTROL!$C$8*IF($B32="V",1,IF($B32="D",(1+SUP_VOLUMEN!$C$26),(1+SUP_VOLUMEN!$C$27)))*INDEX(SUP_C3_EXPANSION!$C$6:$F$6,MIN(4,COUNTIF(CAPA3_EXPANSION!$D$56:E$56,"&gt;="&amp;25)))*CAPA3_EXPANSION!E$36)</f>
        <v>0</v>
      </c>
      <c r="F32" s="88">
        <f>IF(COUNTIF(CAPA3_EXPANSION!$D$56:F$56,"&gt;="&amp;25)=0,0,SUP_CONTROL!$C$8*IF($B32="V",1,IF($B32="D",(1+SUP_VOLUMEN!$C$26),(1+SUP_VOLUMEN!$C$27)))*INDEX(SUP_C3_EXPANSION!$C$6:$F$6,MIN(4,COUNTIF(CAPA3_EXPANSION!$D$56:F$56,"&gt;="&amp;25)))*CAPA3_EXPANSION!F$36)</f>
        <v>0</v>
      </c>
      <c r="G32" s="88">
        <f>IF(COUNTIF(CAPA3_EXPANSION!$D$56:G$56,"&gt;="&amp;25)=0,0,SUP_CONTROL!$C$8*IF($B32="V",1,IF($B32="D",(1+SUP_VOLUMEN!$C$26),(1+SUP_VOLUMEN!$C$27)))*INDEX(SUP_C3_EXPANSION!$C$6:$F$6,MIN(4,COUNTIF(CAPA3_EXPANSION!$D$56:G$56,"&gt;="&amp;25)))*CAPA3_EXPANSION!G$36)</f>
        <v>0</v>
      </c>
      <c r="H32" s="88">
        <f>IF(COUNTIF(CAPA3_EXPANSION!$D$56:H$56,"&gt;="&amp;25)=0,0,SUP_CONTROL!$C$8*IF($B32="V",1,IF($B32="D",(1+SUP_VOLUMEN!$C$26),(1+SUP_VOLUMEN!$C$27)))*INDEX(SUP_C3_EXPANSION!$C$6:$F$6,MIN(4,COUNTIF(CAPA3_EXPANSION!$D$56:H$56,"&gt;="&amp;25)))*CAPA3_EXPANSION!H$36)</f>
        <v>0</v>
      </c>
      <c r="I32" s="88">
        <f>IF(COUNTIF(CAPA3_EXPANSION!$D$56:I$56,"&gt;="&amp;25)=0,0,SUP_CONTROL!$C$8*IF($B32="V",1,IF($B32="D",(1+SUP_VOLUMEN!$C$26),(1+SUP_VOLUMEN!$C$27)))*INDEX(SUP_C3_EXPANSION!$C$6:$F$6,MIN(4,COUNTIF(CAPA3_EXPANSION!$D$56:I$56,"&gt;="&amp;25)))*CAPA3_EXPANSION!I$36)</f>
        <v>0</v>
      </c>
      <c r="J32" s="88">
        <f>IF(COUNTIF(CAPA3_EXPANSION!$D$56:J$56,"&gt;="&amp;25)=0,0,SUP_CONTROL!$C$8*IF($B32="V",1,IF($B32="D",(1+SUP_VOLUMEN!$C$26),(1+SUP_VOLUMEN!$C$27)))*INDEX(SUP_C3_EXPANSION!$C$6:$F$6,MIN(4,COUNTIF(CAPA3_EXPANSION!$D$56:J$56,"&gt;="&amp;25)))*CAPA3_EXPANSION!J$36)</f>
        <v>0</v>
      </c>
      <c r="K32" s="88">
        <f>IF(COUNTIF(CAPA3_EXPANSION!$D$56:K$56,"&gt;="&amp;25)=0,0,SUP_CONTROL!$C$8*IF($B32="V",1,IF($B32="D",(1+SUP_VOLUMEN!$C$26),(1+SUP_VOLUMEN!$C$27)))*INDEX(SUP_C3_EXPANSION!$C$6:$F$6,MIN(4,COUNTIF(CAPA3_EXPANSION!$D$56:K$56,"&gt;="&amp;25)))*CAPA3_EXPANSION!K$36)</f>
        <v>0</v>
      </c>
      <c r="L32" s="88">
        <f>IF(COUNTIF(CAPA3_EXPANSION!$D$56:L$56,"&gt;="&amp;25)=0,0,SUP_CONTROL!$C$8*IF($B32="V",1,IF($B32="D",(1+SUP_VOLUMEN!$C$26),(1+SUP_VOLUMEN!$C$27)))*INDEX(SUP_C3_EXPANSION!$C$6:$F$6,MIN(4,COUNTIF(CAPA3_EXPANSION!$D$56:L$56,"&gt;="&amp;25)))*CAPA3_EXPANSION!L$36)</f>
        <v>0</v>
      </c>
      <c r="M32" s="88">
        <f>IF(COUNTIF(CAPA3_EXPANSION!$D$56:M$56,"&gt;="&amp;25)=0,0,SUP_CONTROL!$C$8*IF($B32="V",1,IF($B32="D",(1+SUP_VOLUMEN!$C$26),(1+SUP_VOLUMEN!$C$27)))*INDEX(SUP_C3_EXPANSION!$C$6:$F$6,MIN(4,COUNTIF(CAPA3_EXPANSION!$D$56:M$56,"&gt;="&amp;25)))*CAPA3_EXPANSION!M$36)</f>
        <v>0</v>
      </c>
      <c r="N32" s="88">
        <f>IF(COUNTIF(CAPA3_EXPANSION!$D$56:N$56,"&gt;="&amp;25)=0,0,SUP_CONTROL!$C$8*IF($B32="V",1,IF($B32="D",(1+SUP_VOLUMEN!$C$26),(1+SUP_VOLUMEN!$C$27)))*INDEX(SUP_C3_EXPANSION!$C$6:$F$6,MIN(4,COUNTIF(CAPA3_EXPANSION!$D$56:N$56,"&gt;="&amp;25)))*CAPA3_EXPANSION!N$36)</f>
        <v>0</v>
      </c>
      <c r="O32" s="88">
        <f>IF(COUNTIF(CAPA3_EXPANSION!$D$56:O$56,"&gt;="&amp;25)=0,0,SUP_CONTROL!$C$8*IF($B32="V",1,IF($B32="D",(1+SUP_VOLUMEN!$C$26),(1+SUP_VOLUMEN!$C$27)))*INDEX(SUP_C3_EXPANSION!$C$6:$F$6,MIN(4,COUNTIF(CAPA3_EXPANSION!$D$56:O$56,"&gt;="&amp;25)))*CAPA3_EXPANSION!O$36)</f>
        <v>0</v>
      </c>
      <c r="P32" s="88">
        <f>IF(COUNTIF(CAPA3_EXPANSION!$D$56:P$56,"&gt;="&amp;25)=0,0,SUP_CONTROL!$C$8*IF($B32="V",1,IF($B32="D",(1+SUP_VOLUMEN!$C$26),(1+SUP_VOLUMEN!$C$27)))*INDEX(SUP_C3_EXPANSION!$C$6:$F$6,MIN(4,COUNTIF(CAPA3_EXPANSION!$D$56:P$56,"&gt;="&amp;25)))*CAPA3_EXPANSION!P$36)</f>
        <v>0</v>
      </c>
      <c r="Q32" s="88">
        <f>IF(COUNTIF(CAPA3_EXPANSION!$D$56:Q$56,"&gt;="&amp;25)=0,0,SUP_CONTROL!$C$8*IF($B32="V",1,IF($B32="D",(1+SUP_VOLUMEN!$C$26),(1+SUP_VOLUMEN!$C$27)))*INDEX(SUP_C3_EXPANSION!$C$6:$F$6,MIN(4,COUNTIF(CAPA3_EXPANSION!$D$56:Q$56,"&gt;="&amp;25)))*CAPA3_EXPANSION!Q$36)</f>
        <v>0</v>
      </c>
      <c r="R32" s="88">
        <f>IF(COUNTIF(CAPA3_EXPANSION!$D$56:R$56,"&gt;="&amp;25)=0,0,SUP_CONTROL!$C$8*IF($B32="V",1,IF($B32="D",(1+SUP_VOLUMEN!$C$26),(1+SUP_VOLUMEN!$C$27)))*INDEX(SUP_C3_EXPANSION!$C$6:$F$6,MIN(4,COUNTIF(CAPA3_EXPANSION!$D$56:R$56,"&gt;="&amp;25)))*CAPA3_EXPANSION!R$36)</f>
        <v>0</v>
      </c>
      <c r="S32" s="88">
        <f>IF(COUNTIF(CAPA3_EXPANSION!$D$56:S$56,"&gt;="&amp;25)=0,0,SUP_CONTROL!$C$8*IF($B32="V",1,IF($B32="D",(1+SUP_VOLUMEN!$C$26),(1+SUP_VOLUMEN!$C$27)))*INDEX(SUP_C3_EXPANSION!$C$6:$F$6,MIN(4,COUNTIF(CAPA3_EXPANSION!$D$56:S$56,"&gt;="&amp;25)))*CAPA3_EXPANSION!S$36)</f>
        <v>0</v>
      </c>
      <c r="T32" s="88">
        <f>IF(COUNTIF(CAPA3_EXPANSION!$D$56:T$56,"&gt;="&amp;25)=0,0,SUP_CONTROL!$C$8*IF($B32="V",1,IF($B32="D",(1+SUP_VOLUMEN!$C$26),(1+SUP_VOLUMEN!$C$27)))*INDEX(SUP_C3_EXPANSION!$C$6:$F$6,MIN(4,COUNTIF(CAPA3_EXPANSION!$D$56:T$56,"&gt;="&amp;25)))*CAPA3_EXPANSION!T$36)</f>
        <v>0</v>
      </c>
      <c r="U32" s="88">
        <f>IF(COUNTIF(CAPA3_EXPANSION!$D$56:U$56,"&gt;="&amp;25)=0,0,SUP_CONTROL!$C$8*IF($B32="V",1,IF($B32="D",(1+SUP_VOLUMEN!$C$26),(1+SUP_VOLUMEN!$C$27)))*INDEX(SUP_C3_EXPANSION!$C$6:$F$6,MIN(4,COUNTIF(CAPA3_EXPANSION!$D$56:U$56,"&gt;="&amp;25)))*CAPA3_EXPANSION!U$36)</f>
        <v>0</v>
      </c>
      <c r="V32" s="88">
        <f>IF(COUNTIF(CAPA3_EXPANSION!$D$56:V$56,"&gt;="&amp;25)=0,0,SUP_CONTROL!$C$8*IF($B32="V",1,IF($B32="D",(1+SUP_VOLUMEN!$C$26),(1+SUP_VOLUMEN!$C$27)))*INDEX(SUP_C3_EXPANSION!$C$6:$F$6,MIN(4,COUNTIF(CAPA3_EXPANSION!$D$56:V$56,"&gt;="&amp;25)))*CAPA3_EXPANSION!V$36)</f>
        <v>0</v>
      </c>
      <c r="W32" s="88">
        <f>IF(COUNTIF(CAPA3_EXPANSION!$D$56:W$56,"&gt;="&amp;25)=0,0,SUP_CONTROL!$C$8*IF($B32="V",1,IF($B32="D",(1+SUP_VOLUMEN!$C$26),(1+SUP_VOLUMEN!$C$27)))*INDEX(SUP_C3_EXPANSION!$C$6:$F$6,MIN(4,COUNTIF(CAPA3_EXPANSION!$D$56:W$56,"&gt;="&amp;25)))*CAPA3_EXPANSION!W$36)</f>
        <v>0</v>
      </c>
      <c r="X32" s="88">
        <f>IF(COUNTIF(CAPA3_EXPANSION!$D$56:X$56,"&gt;="&amp;25)=0,0,SUP_CONTROL!$C$8*IF($B32="V",1,IF($B32="D",(1+SUP_VOLUMEN!$C$26),(1+SUP_VOLUMEN!$C$27)))*INDEX(SUP_C3_EXPANSION!$C$6:$F$6,MIN(4,COUNTIF(CAPA3_EXPANSION!$D$56:X$56,"&gt;="&amp;25)))*CAPA3_EXPANSION!X$36)</f>
        <v>0</v>
      </c>
      <c r="Y32" s="88">
        <f>IF(COUNTIF(CAPA3_EXPANSION!$D$56:Y$56,"&gt;="&amp;25)=0,0,SUP_CONTROL!$C$8*IF($B32="V",1,IF($B32="D",(1+SUP_VOLUMEN!$C$26),(1+SUP_VOLUMEN!$C$27)))*INDEX(SUP_C3_EXPANSION!$C$6:$F$6,MIN(4,COUNTIF(CAPA3_EXPANSION!$D$56:Y$56,"&gt;="&amp;25)))*CAPA3_EXPANSION!Y$36)</f>
        <v>0</v>
      </c>
      <c r="Z32" s="88">
        <f>IF(COUNTIF(CAPA3_EXPANSION!$D$56:Z$56,"&gt;="&amp;25)=0,0,SUP_CONTROL!$C$8*IF($B32="V",1,IF($B32="D",(1+SUP_VOLUMEN!$C$26),(1+SUP_VOLUMEN!$C$27)))*INDEX(SUP_C3_EXPANSION!$C$6:$F$6,MIN(4,COUNTIF(CAPA3_EXPANSION!$D$56:Z$56,"&gt;="&amp;25)))*CAPA3_EXPANSION!Z$36)</f>
        <v>0</v>
      </c>
      <c r="AA32" s="88">
        <f>IF(COUNTIF(CAPA3_EXPANSION!$D$56:AA$56,"&gt;="&amp;25)=0,0,SUP_CONTROL!$C$8*IF($B32="V",1,IF($B32="D",(1+SUP_VOLUMEN!$C$26),(1+SUP_VOLUMEN!$C$27)))*INDEX(SUP_C3_EXPANSION!$C$6:$F$6,MIN(4,COUNTIF(CAPA3_EXPANSION!$D$56:AA$56,"&gt;="&amp;25)))*CAPA3_EXPANSION!AA$36)</f>
        <v>0</v>
      </c>
      <c r="AB32" s="88">
        <f>IF(COUNTIF(CAPA3_EXPANSION!$D$56:AB$56,"&gt;="&amp;25)=0,0,SUP_CONTROL!$C$8*IF($B32="V",1,IF($B32="D",(1+SUP_VOLUMEN!$C$26),(1+SUP_VOLUMEN!$C$27)))*INDEX(SUP_C3_EXPANSION!$C$6:$F$6,MIN(4,COUNTIF(CAPA3_EXPANSION!$D$56:AB$56,"&gt;="&amp;25)))*CAPA3_EXPANSION!AB$36)</f>
        <v>0</v>
      </c>
      <c r="AC32" s="88">
        <f>IF(COUNTIF(CAPA3_EXPANSION!$D$56:AC$56,"&gt;="&amp;25)=0,0,SUP_CONTROL!$C$8*IF($B32="V",1,IF($B32="D",(1+SUP_VOLUMEN!$C$26),(1+SUP_VOLUMEN!$C$27)))*INDEX(SUP_C3_EXPANSION!$C$6:$F$6,MIN(4,COUNTIF(CAPA3_EXPANSION!$D$56:AC$56,"&gt;="&amp;25)))*CAPA3_EXPANSION!AC$36)</f>
        <v>0</v>
      </c>
      <c r="AD32" s="88">
        <f>IF(COUNTIF(CAPA3_EXPANSION!$D$56:AD$56,"&gt;="&amp;25)=0,0,SUP_CONTROL!$C$8*IF($B32="V",1,IF($B32="D",(1+SUP_VOLUMEN!$C$26),(1+SUP_VOLUMEN!$C$27)))*INDEX(SUP_C3_EXPANSION!$C$6:$F$6,MIN(4,COUNTIF(CAPA3_EXPANSION!$D$56:AD$56,"&gt;="&amp;25)))*CAPA3_EXPANSION!AD$36)</f>
        <v>0</v>
      </c>
      <c r="AE32" s="88">
        <f>IF(COUNTIF(CAPA3_EXPANSION!$D$56:AE$56,"&gt;="&amp;25)=0,0,SUP_CONTROL!$C$8*IF($B32="V",1,IF($B32="D",(1+SUP_VOLUMEN!$C$26),(1+SUP_VOLUMEN!$C$27)))*INDEX(SUP_C3_EXPANSION!$C$6:$F$6,MIN(4,COUNTIF(CAPA3_EXPANSION!$D$56:AE$56,"&gt;="&amp;25)))*CAPA3_EXPANSION!AE$36)</f>
        <v>0</v>
      </c>
      <c r="AF32" s="88">
        <f>IF(COUNTIF(CAPA3_EXPANSION!$D$56:AF$56,"&gt;="&amp;25)=0,0,SUP_CONTROL!$C$8*IF($B32="V",1,IF($B32="D",(1+SUP_VOLUMEN!$C$26),(1+SUP_VOLUMEN!$C$27)))*INDEX(SUP_C3_EXPANSION!$C$6:$F$6,MIN(4,COUNTIF(CAPA3_EXPANSION!$D$56:AF$56,"&gt;="&amp;25)))*CAPA3_EXPANSION!AF$36)</f>
        <v>0</v>
      </c>
      <c r="AG32" s="88">
        <f>IF(COUNTIF(CAPA3_EXPANSION!$D$56:AG$56,"&gt;="&amp;25)=0,0,SUP_CONTROL!$C$8*IF($B32="V",1,IF($B32="D",(1+SUP_VOLUMEN!$C$26),(1+SUP_VOLUMEN!$C$27)))*INDEX(SUP_C3_EXPANSION!$C$6:$F$6,MIN(4,COUNTIF(CAPA3_EXPANSION!$D$56:AG$56,"&gt;="&amp;25)))*CAPA3_EXPANSION!AG$36)</f>
        <v>0</v>
      </c>
      <c r="AH32" s="88">
        <f>IF(COUNTIF(CAPA3_EXPANSION!$D$56:AH$56,"&gt;="&amp;25)=0,0,SUP_CONTROL!$C$8*IF($B32="V",1,IF($B32="D",(1+SUP_VOLUMEN!$C$26),(1+SUP_VOLUMEN!$C$27)))*INDEX(SUP_C3_EXPANSION!$C$6:$F$6,MIN(4,COUNTIF(CAPA3_EXPANSION!$D$56:AH$56,"&gt;="&amp;25)))*CAPA3_EXPANSION!AH$36)</f>
        <v>0</v>
      </c>
      <c r="AI32" s="88">
        <f>IF(COUNTIF(CAPA3_EXPANSION!$D$56:AI$56,"&gt;="&amp;25)=0,0,SUP_CONTROL!$C$8*IF($B32="V",1,IF($B32="D",(1+SUP_VOLUMEN!$C$26),(1+SUP_VOLUMEN!$C$27)))*INDEX(SUP_C3_EXPANSION!$C$6:$F$6,MIN(4,COUNTIF(CAPA3_EXPANSION!$D$56:AI$56,"&gt;="&amp;25)))*CAPA3_EXPANSION!AI$36)</f>
        <v>0</v>
      </c>
      <c r="AJ32" s="88">
        <f>IF(COUNTIF(CAPA3_EXPANSION!$D$56:AJ$56,"&gt;="&amp;25)=0,0,SUP_CONTROL!$C$8*IF($B32="V",1,IF($B32="D",(1+SUP_VOLUMEN!$C$26),(1+SUP_VOLUMEN!$C$27)))*INDEX(SUP_C3_EXPANSION!$C$6:$F$6,MIN(4,COUNTIF(CAPA3_EXPANSION!$D$56:AJ$56,"&gt;="&amp;25)))*CAPA3_EXPANSION!AJ$36)</f>
        <v>0</v>
      </c>
      <c r="AK32" s="88">
        <f>IF(COUNTIF(CAPA3_EXPANSION!$D$56:AK$56,"&gt;="&amp;25)=0,0,SUP_CONTROL!$C$8*IF($B32="V",1,IF($B32="D",(1+SUP_VOLUMEN!$C$26),(1+SUP_VOLUMEN!$C$27)))*INDEX(SUP_C3_EXPANSION!$C$6:$F$6,MIN(4,COUNTIF(CAPA3_EXPANSION!$D$56:AK$56,"&gt;="&amp;25)))*CAPA3_EXPANSION!AK$36)</f>
        <v>0</v>
      </c>
      <c r="AL32" s="88">
        <f>IF(COUNTIF(CAPA3_EXPANSION!$D$56:AL$56,"&gt;="&amp;25)=0,0,SUP_CONTROL!$C$8*IF($B32="V",1,IF($B32="D",(1+SUP_VOLUMEN!$C$26),(1+SUP_VOLUMEN!$C$27)))*INDEX(SUP_C3_EXPANSION!$C$6:$F$6,MIN(4,COUNTIF(CAPA3_EXPANSION!$D$56:AL$56,"&gt;="&amp;25)))*CAPA3_EXPANSION!AL$36)</f>
        <v>0</v>
      </c>
      <c r="AM32" s="88">
        <f>IF(COUNTIF(CAPA3_EXPANSION!$D$56:AM$56,"&gt;="&amp;25)=0,0,SUP_CONTROL!$C$8*IF($B32="V",1,IF($B32="D",(1+SUP_VOLUMEN!$C$26),(1+SUP_VOLUMEN!$C$27)))*INDEX(SUP_C3_EXPANSION!$C$6:$F$6,MIN(4,COUNTIF(CAPA3_EXPANSION!$D$56:AM$56,"&gt;="&amp;25)))*CAPA3_EXPANSION!AM$36)</f>
        <v>0</v>
      </c>
      <c r="AN32" s="88">
        <f>IF(COUNTIF(CAPA3_EXPANSION!$D$56:AN$56,"&gt;="&amp;25)=0,0,SUP_CONTROL!$C$8*IF($B32="V",1,IF($B32="D",(1+SUP_VOLUMEN!$C$26),(1+SUP_VOLUMEN!$C$27)))*INDEX(SUP_C3_EXPANSION!$C$6:$F$6,MIN(4,COUNTIF(CAPA3_EXPANSION!$D$56:AN$56,"&gt;="&amp;25)))*CAPA3_EXPANSION!AN$36)</f>
        <v>0</v>
      </c>
      <c r="AO32" s="88">
        <f>IF(COUNTIF(CAPA3_EXPANSION!$D$56:AO$56,"&gt;="&amp;25)=0,0,SUP_CONTROL!$C$8*IF($B32="V",1,IF($B32="D",(1+SUP_VOLUMEN!$C$26),(1+SUP_VOLUMEN!$C$27)))*INDEX(SUP_C3_EXPANSION!$C$6:$F$6,MIN(4,COUNTIF(CAPA3_EXPANSION!$D$56:AO$56,"&gt;="&amp;25)))*CAPA3_EXPANSION!AO$36)</f>
        <v>0</v>
      </c>
      <c r="AP32" s="88">
        <f>IF(COUNTIF(CAPA3_EXPANSION!$D$56:AP$56,"&gt;="&amp;25)=0,0,SUP_CONTROL!$C$8*IF($B32="V",1,IF($B32="D",(1+SUP_VOLUMEN!$C$26),(1+SUP_VOLUMEN!$C$27)))*INDEX(SUP_C3_EXPANSION!$C$6:$F$6,MIN(4,COUNTIF(CAPA3_EXPANSION!$D$56:AP$56,"&gt;="&amp;25)))*CAPA3_EXPANSION!AP$36)</f>
        <v>0</v>
      </c>
      <c r="AQ32" s="88">
        <f>IF(COUNTIF(CAPA3_EXPANSION!$D$56:AQ$56,"&gt;="&amp;25)=0,0,SUP_CONTROL!$C$8*IF($B32="V",1,IF($B32="D",(1+SUP_VOLUMEN!$C$26),(1+SUP_VOLUMEN!$C$27)))*INDEX(SUP_C3_EXPANSION!$C$6:$F$6,MIN(4,COUNTIF(CAPA3_EXPANSION!$D$56:AQ$56,"&gt;="&amp;25)))*CAPA3_EXPANSION!AQ$36)</f>
        <v>0</v>
      </c>
      <c r="AR32" s="88">
        <f>IF(COUNTIF(CAPA3_EXPANSION!$D$56:AR$56,"&gt;="&amp;25)=0,0,SUP_CONTROL!$C$8*IF($B32="V",1,IF($B32="D",(1+SUP_VOLUMEN!$C$26),(1+SUP_VOLUMEN!$C$27)))*INDEX(SUP_C3_EXPANSION!$C$6:$F$6,MIN(4,COUNTIF(CAPA3_EXPANSION!$D$56:AR$56,"&gt;="&amp;25)))*CAPA3_EXPANSION!AR$36)</f>
        <v>0</v>
      </c>
      <c r="AS32" s="88">
        <f>IF(COUNTIF(CAPA3_EXPANSION!$D$56:AS$56,"&gt;="&amp;25)=0,0,SUP_CONTROL!$C$8*IF($B32="V",1,IF($B32="D",(1+SUP_VOLUMEN!$C$26),(1+SUP_VOLUMEN!$C$27)))*INDEX(SUP_C3_EXPANSION!$C$6:$F$6,MIN(4,COUNTIF(CAPA3_EXPANSION!$D$56:AS$56,"&gt;="&amp;25)))*CAPA3_EXPANSION!AS$36)</f>
        <v>0</v>
      </c>
      <c r="AT32" s="88">
        <f>IF(COUNTIF(CAPA3_EXPANSION!$D$56:AT$56,"&gt;="&amp;25)=0,0,SUP_CONTROL!$C$8*IF($B32="V",1,IF($B32="D",(1+SUP_VOLUMEN!$C$26),(1+SUP_VOLUMEN!$C$27)))*INDEX(SUP_C3_EXPANSION!$C$6:$F$6,MIN(4,COUNTIF(CAPA3_EXPANSION!$D$56:AT$56,"&gt;="&amp;25)))*CAPA3_EXPANSION!AT$36)</f>
        <v>0</v>
      </c>
      <c r="AU32" s="88">
        <f>IF(COUNTIF(CAPA3_EXPANSION!$D$56:AU$56,"&gt;="&amp;25)=0,0,SUP_CONTROL!$C$8*IF($B32="V",1,IF($B32="D",(1+SUP_VOLUMEN!$C$26),(1+SUP_VOLUMEN!$C$27)))*INDEX(SUP_C3_EXPANSION!$C$6:$F$6,MIN(4,COUNTIF(CAPA3_EXPANSION!$D$56:AU$56,"&gt;="&amp;25)))*CAPA3_EXPANSION!AU$36)</f>
        <v>0</v>
      </c>
      <c r="AV32" s="88">
        <f>IF(COUNTIF(CAPA3_EXPANSION!$D$56:AV$56,"&gt;="&amp;25)=0,0,SUP_CONTROL!$C$8*IF($B32="V",1,IF($B32="D",(1+SUP_VOLUMEN!$C$26),(1+SUP_VOLUMEN!$C$27)))*INDEX(SUP_C3_EXPANSION!$C$6:$F$6,MIN(4,COUNTIF(CAPA3_EXPANSION!$D$56:AV$56,"&gt;="&amp;25)))*CAPA3_EXPANSION!AV$36)</f>
        <v>0</v>
      </c>
      <c r="AW32" s="88">
        <f>IF(COUNTIF(CAPA3_EXPANSION!$D$56:AW$56,"&gt;="&amp;25)=0,0,SUP_CONTROL!$C$8*IF($B32="V",1,IF($B32="D",(1+SUP_VOLUMEN!$C$26),(1+SUP_VOLUMEN!$C$27)))*INDEX(SUP_C3_EXPANSION!$C$6:$F$6,MIN(4,COUNTIF(CAPA3_EXPANSION!$D$56:AW$56,"&gt;="&amp;25)))*CAPA3_EXPANSION!AW$36)</f>
        <v>0</v>
      </c>
      <c r="AX32" s="88">
        <f>IF(COUNTIF(CAPA3_EXPANSION!$D$56:AX$56,"&gt;="&amp;25)=0,0,SUP_CONTROL!$C$8*IF($B32="V",1,IF($B32="D",(1+SUP_VOLUMEN!$C$26),(1+SUP_VOLUMEN!$C$27)))*INDEX(SUP_C3_EXPANSION!$C$6:$F$6,MIN(4,COUNTIF(CAPA3_EXPANSION!$D$56:AX$56,"&gt;="&amp;25)))*CAPA3_EXPANSION!AX$36)</f>
        <v>0</v>
      </c>
      <c r="AY32" s="88">
        <f>IF(COUNTIF(CAPA3_EXPANSION!$D$56:AY$56,"&gt;="&amp;25)=0,0,SUP_CONTROL!$C$8*IF($B32="V",1,IF($B32="D",(1+SUP_VOLUMEN!$C$26),(1+SUP_VOLUMEN!$C$27)))*INDEX(SUP_C3_EXPANSION!$C$6:$F$6,MIN(4,COUNTIF(CAPA3_EXPANSION!$D$56:AY$56,"&gt;="&amp;25)))*CAPA3_EXPANSION!AY$36)</f>
        <v>0</v>
      </c>
      <c r="AZ32" s="88">
        <f>IF(COUNTIF(CAPA3_EXPANSION!$D$56:AZ$56,"&gt;="&amp;25)=0,0,SUP_CONTROL!$C$8*IF($B32="V",1,IF($B32="D",(1+SUP_VOLUMEN!$C$26),(1+SUP_VOLUMEN!$C$27)))*INDEX(SUP_C3_EXPANSION!$C$6:$F$6,MIN(4,COUNTIF(CAPA3_EXPANSION!$D$56:AZ$56,"&gt;="&amp;25)))*CAPA3_EXPANSION!AZ$36)</f>
        <v>0</v>
      </c>
      <c r="BA32" s="88">
        <f>IF(COUNTIF(CAPA3_EXPANSION!$D$56:BA$56,"&gt;="&amp;25)=0,0,SUP_CONTROL!$C$8*IF($B32="V",1,IF($B32="D",(1+SUP_VOLUMEN!$C$26),(1+SUP_VOLUMEN!$C$27)))*INDEX(SUP_C3_EXPANSION!$C$6:$F$6,MIN(4,COUNTIF(CAPA3_EXPANSION!$D$56:BA$56,"&gt;="&amp;25)))*CAPA3_EXPANSION!BA$36)</f>
        <v>0</v>
      </c>
      <c r="BB32" s="88">
        <f>IF(COUNTIF(CAPA3_EXPANSION!$D$56:BB$56,"&gt;="&amp;25)=0,0,SUP_CONTROL!$C$8*IF($B32="V",1,IF($B32="D",(1+SUP_VOLUMEN!$C$26),(1+SUP_VOLUMEN!$C$27)))*INDEX(SUP_C3_EXPANSION!$C$6:$F$6,MIN(4,COUNTIF(CAPA3_EXPANSION!$D$56:BB$56,"&gt;="&amp;25)))*CAPA3_EXPANSION!BB$36)</f>
        <v>0</v>
      </c>
      <c r="BC32" s="88">
        <f>IF(COUNTIF(CAPA3_EXPANSION!$D$56:BC$56,"&gt;="&amp;25)=0,0,SUP_CONTROL!$C$8*IF($B32="V",1,IF($B32="D",(1+SUP_VOLUMEN!$C$26),(1+SUP_VOLUMEN!$C$27)))*INDEX(SUP_C3_EXPANSION!$C$6:$F$6,MIN(4,COUNTIF(CAPA3_EXPANSION!$D$56:BC$56,"&gt;="&amp;25)))*CAPA3_EXPANSION!BC$36)</f>
        <v>0</v>
      </c>
      <c r="BD32" s="88">
        <f>IF(COUNTIF(CAPA3_EXPANSION!$D$56:BD$56,"&gt;="&amp;25)=0,0,SUP_CONTROL!$C$8*IF($B32="V",1,IF($B32="D",(1+SUP_VOLUMEN!$C$26),(1+SUP_VOLUMEN!$C$27)))*INDEX(SUP_C3_EXPANSION!$C$6:$F$6,MIN(4,COUNTIF(CAPA3_EXPANSION!$D$56:BD$56,"&gt;="&amp;25)))*CAPA3_EXPANSION!BD$36)</f>
        <v>0</v>
      </c>
      <c r="BE32" s="88">
        <f>IF(COUNTIF(CAPA3_EXPANSION!$D$56:BE$56,"&gt;="&amp;25)=0,0,SUP_CONTROL!$C$8*IF($B32="V",1,IF($B32="D",(1+SUP_VOLUMEN!$C$26),(1+SUP_VOLUMEN!$C$27)))*INDEX(SUP_C3_EXPANSION!$C$6:$F$6,MIN(4,COUNTIF(CAPA3_EXPANSION!$D$56:BE$56,"&gt;="&amp;25)))*CAPA3_EXPANSION!BE$36)</f>
        <v>0</v>
      </c>
      <c r="BF32" s="88">
        <f>IF(COUNTIF(CAPA3_EXPANSION!$D$56:BF$56,"&gt;="&amp;25)=0,0,SUP_CONTROL!$C$8*IF($B32="V",1,IF($B32="D",(1+SUP_VOLUMEN!$C$26),(1+SUP_VOLUMEN!$C$27)))*INDEX(SUP_C3_EXPANSION!$C$6:$F$6,MIN(4,COUNTIF(CAPA3_EXPANSION!$D$56:BF$56,"&gt;="&amp;25)))*CAPA3_EXPANSION!BF$36)</f>
        <v>0</v>
      </c>
      <c r="BG32" s="88">
        <f>IF(COUNTIF(CAPA3_EXPANSION!$D$56:BG$56,"&gt;="&amp;25)=0,0,SUP_CONTROL!$C$8*IF($B32="V",1,IF($B32="D",(1+SUP_VOLUMEN!$C$26),(1+SUP_VOLUMEN!$C$27)))*INDEX(SUP_C3_EXPANSION!$C$6:$F$6,MIN(4,COUNTIF(CAPA3_EXPANSION!$D$56:BG$56,"&gt;="&amp;25)))*CAPA3_EXPANSION!BG$36)</f>
        <v>0</v>
      </c>
      <c r="BH32" s="88">
        <f>IF(COUNTIF(CAPA3_EXPANSION!$D$56:BH$56,"&gt;="&amp;25)=0,0,SUP_CONTROL!$C$8*IF($B32="V",1,IF($B32="D",(1+SUP_VOLUMEN!$C$26),(1+SUP_VOLUMEN!$C$27)))*INDEX(SUP_C3_EXPANSION!$C$6:$F$6,MIN(4,COUNTIF(CAPA3_EXPANSION!$D$56:BH$56,"&gt;="&amp;25)))*CAPA3_EXPANSION!BH$36)</f>
        <v>0</v>
      </c>
      <c r="BI32" s="88">
        <f>IF(COUNTIF(CAPA3_EXPANSION!$D$56:BI$56,"&gt;="&amp;25)=0,0,SUP_CONTROL!$C$8*IF($B32="V",1,IF($B32="D",(1+SUP_VOLUMEN!$C$26),(1+SUP_VOLUMEN!$C$27)))*INDEX(SUP_C3_EXPANSION!$C$6:$F$6,MIN(4,COUNTIF(CAPA3_EXPANSION!$D$56:BI$56,"&gt;="&amp;25)))*CAPA3_EXPANSION!BI$36)</f>
        <v>0</v>
      </c>
      <c r="BJ32" s="88">
        <f>IF(COUNTIF(CAPA3_EXPANSION!$D$56:BJ$56,"&gt;="&amp;25)=0,0,SUP_CONTROL!$C$8*IF($B32="V",1,IF($B32="D",(1+SUP_VOLUMEN!$C$26),(1+SUP_VOLUMEN!$C$27)))*INDEX(SUP_C3_EXPANSION!$C$6:$F$6,MIN(4,COUNTIF(CAPA3_EXPANSION!$D$56:BJ$56,"&gt;="&amp;25)))*CAPA3_EXPANSION!BJ$36)</f>
        <v>0</v>
      </c>
      <c r="BK32" s="88">
        <f>IF(COUNTIF(CAPA3_EXPANSION!$D$56:BK$56,"&gt;="&amp;25)=0,0,SUP_CONTROL!$C$8*IF($B32="V",1,IF($B32="D",(1+SUP_VOLUMEN!$C$26),(1+SUP_VOLUMEN!$C$27)))*INDEX(SUP_C3_EXPANSION!$C$6:$F$6,MIN(4,COUNTIF(CAPA3_EXPANSION!$D$56:BK$56,"&gt;="&amp;25)))*CAPA3_EXPANSION!BK$36)</f>
        <v>0</v>
      </c>
      <c r="BL32" s="88">
        <f>IF(COUNTIF(CAPA3_EXPANSION!$D$56:BL$56,"&gt;="&amp;25)=0,0,SUP_CONTROL!$C$8*IF($B32="V",1,IF($B32="D",(1+SUP_VOLUMEN!$C$26),(1+SUP_VOLUMEN!$C$27)))*INDEX(SUP_C3_EXPANSION!$C$6:$F$6,MIN(4,COUNTIF(CAPA3_EXPANSION!$D$56:BL$56,"&gt;="&amp;25)))*CAPA3_EXPANSION!BL$36)</f>
        <v>0</v>
      </c>
      <c r="BM32" s="88">
        <f>IF(COUNTIF(CAPA3_EXPANSION!$D$56:BM$56,"&gt;="&amp;25)=0,0,SUP_CONTROL!$C$8*IF($B32="V",1,IF($B32="D",(1+SUP_VOLUMEN!$C$26),(1+SUP_VOLUMEN!$C$27)))*INDEX(SUP_C3_EXPANSION!$C$6:$F$6,MIN(4,COUNTIF(CAPA3_EXPANSION!$D$56:BM$56,"&gt;="&amp;25)))*CAPA3_EXPANSION!BM$36)</f>
        <v>0</v>
      </c>
      <c r="BN32" s="88">
        <f>IF(COUNTIF(CAPA3_EXPANSION!$D$56:BN$56,"&gt;="&amp;25)=0,0,SUP_CONTROL!$C$8*IF($B32="V",1,IF($B32="D",(1+SUP_VOLUMEN!$C$26),(1+SUP_VOLUMEN!$C$27)))*INDEX(SUP_C3_EXPANSION!$C$6:$F$6,MIN(4,COUNTIF(CAPA3_EXPANSION!$D$56:BN$56,"&gt;="&amp;25)))*CAPA3_EXPANSION!BN$36)</f>
        <v>2503.7012000000004</v>
      </c>
      <c r="BO32" s="88">
        <f>IF(COUNTIF(CAPA3_EXPANSION!$D$56:BO$56,"&gt;="&amp;25)=0,0,SUP_CONTROL!$C$8*IF($B32="V",1,IF($B32="D",(1+SUP_VOLUMEN!$C$26),(1+SUP_VOLUMEN!$C$27)))*INDEX(SUP_C3_EXPANSION!$C$6:$F$6,MIN(4,COUNTIF(CAPA3_EXPANSION!$D$56:BO$56,"&gt;="&amp;25)))*CAPA3_EXPANSION!BO$36)</f>
        <v>3081.4784000000004</v>
      </c>
      <c r="BP32" s="88">
        <f>IF(COUNTIF(CAPA3_EXPANSION!$D$56:BP$56,"&gt;="&amp;25)=0,0,SUP_CONTROL!$C$8*IF($B32="V",1,IF($B32="D",(1+SUP_VOLUMEN!$C$26),(1+SUP_VOLUMEN!$C$27)))*INDEX(SUP_C3_EXPANSION!$C$6:$F$6,MIN(4,COUNTIF(CAPA3_EXPANSION!$D$56:BP$56,"&gt;="&amp;25)))*CAPA3_EXPANSION!BP$36)</f>
        <v>3407.5723500000004</v>
      </c>
      <c r="BQ32" s="88">
        <f>IF(COUNTIF(CAPA3_EXPANSION!$D$56:BQ$56,"&gt;="&amp;25)=0,0,SUP_CONTROL!$C$8*IF($B32="V",1,IF($B32="D",(1+SUP_VOLUMEN!$C$26),(1+SUP_VOLUMEN!$C$27)))*INDEX(SUP_C3_EXPANSION!$C$6:$F$6,MIN(4,COUNTIF(CAPA3_EXPANSION!$D$56:BQ$56,"&gt;="&amp;25)))*CAPA3_EXPANSION!BQ$36)</f>
        <v>3786.1915000000004</v>
      </c>
      <c r="BR32" s="88">
        <f>IF(COUNTIF(CAPA3_EXPANSION!$D$56:BR$56,"&gt;="&amp;25)=0,0,SUP_CONTROL!$C$8*IF($B32="V",1,IF($B32="D",(1+SUP_VOLUMEN!$C$26),(1+SUP_VOLUMEN!$C$27)))*INDEX(SUP_C3_EXPANSION!$C$6:$F$6,MIN(4,COUNTIF(CAPA3_EXPANSION!$D$56:BR$56,"&gt;="&amp;25)))*CAPA3_EXPANSION!BR$36)</f>
        <v>3786.1915000000004</v>
      </c>
      <c r="BS32" s="88">
        <f>IF(COUNTIF(CAPA3_EXPANSION!$D$56:BS$56,"&gt;="&amp;25)=0,0,SUP_CONTROL!$C$8*IF($B32="V",1,IF($B32="D",(1+SUP_VOLUMEN!$C$26),(1+SUP_VOLUMEN!$C$27)))*INDEX(SUP_C3_EXPANSION!$C$6:$F$6,MIN(4,COUNTIF(CAPA3_EXPANSION!$D$56:BS$56,"&gt;="&amp;25)))*CAPA3_EXPANSION!BS$36)</f>
        <v>3786.1915000000004</v>
      </c>
      <c r="BT32" s="88">
        <f>IF(COUNTIF(CAPA3_EXPANSION!$D$56:BT$56,"&gt;="&amp;25)=0,0,SUP_CONTROL!$C$8*IF($B32="V",1,IF($B32="D",(1+SUP_VOLUMEN!$C$26),(1+SUP_VOLUMEN!$C$27)))*INDEX(SUP_C3_EXPANSION!$C$6:$F$6,MIN(4,COUNTIF(CAPA3_EXPANSION!$D$56:BT$56,"&gt;="&amp;25)))*CAPA3_EXPANSION!BT$36)</f>
        <v>3786.1915000000004</v>
      </c>
      <c r="BU32" s="88">
        <f>IF(COUNTIF(CAPA3_EXPANSION!$D$56:BU$56,"&gt;="&amp;25)=0,0,SUP_CONTROL!$C$8*IF($B32="V",1,IF($B32="D",(1+SUP_VOLUMEN!$C$26),(1+SUP_VOLUMEN!$C$27)))*INDEX(SUP_C3_EXPANSION!$C$6:$F$6,MIN(4,COUNTIF(CAPA3_EXPANSION!$D$56:BU$56,"&gt;="&amp;25)))*CAPA3_EXPANSION!BU$36)</f>
        <v>3720.5350000000003</v>
      </c>
      <c r="BV32" s="88">
        <f>IF(COUNTIF(CAPA3_EXPANSION!$D$56:BV$56,"&gt;="&amp;25)=0,0,SUP_CONTROL!$C$8*IF($B32="V",1,IF($B32="D",(1+SUP_VOLUMEN!$C$26),(1+SUP_VOLUMEN!$C$27)))*INDEX(SUP_C3_EXPANSION!$C$6:$F$6,MIN(4,COUNTIF(CAPA3_EXPANSION!$D$56:BV$56,"&gt;="&amp;25)))*CAPA3_EXPANSION!BV$36)</f>
        <v>3720.5350000000003</v>
      </c>
      <c r="BW32" s="88">
        <f>IF(COUNTIF(CAPA3_EXPANSION!$D$56:BW$56,"&gt;="&amp;25)=0,0,SUP_CONTROL!$C$8*IF($B32="V",1,IF($B32="D",(1+SUP_VOLUMEN!$C$26),(1+SUP_VOLUMEN!$C$27)))*INDEX(SUP_C3_EXPANSION!$C$6:$F$6,MIN(4,COUNTIF(CAPA3_EXPANSION!$D$56:BW$56,"&gt;="&amp;25)))*CAPA3_EXPANSION!BW$36)</f>
        <v>3720.5350000000003</v>
      </c>
      <c r="BX32" s="88">
        <f>IF(COUNTIF(CAPA3_EXPANSION!$D$56:BX$56,"&gt;="&amp;25)=0,0,SUP_CONTROL!$C$8*IF($B32="V",1,IF($B32="D",(1+SUP_VOLUMEN!$C$26),(1+SUP_VOLUMEN!$C$27)))*INDEX(SUP_C3_EXPANSION!$C$6:$F$6,MIN(4,COUNTIF(CAPA3_EXPANSION!$D$56:BX$56,"&gt;="&amp;25)))*CAPA3_EXPANSION!BX$36)</f>
        <v>3720.5350000000003</v>
      </c>
      <c r="BY32" s="88">
        <f>IF(COUNTIF(CAPA3_EXPANSION!$D$56:BY$56,"&gt;="&amp;25)=0,0,SUP_CONTROL!$C$8*IF($B32="V",1,IF($B32="D",(1+SUP_VOLUMEN!$C$26),(1+SUP_VOLUMEN!$C$27)))*INDEX(SUP_C3_EXPANSION!$C$6:$F$6,MIN(4,COUNTIF(CAPA3_EXPANSION!$D$56:BY$56,"&gt;="&amp;25)))*CAPA3_EXPANSION!BY$36)</f>
        <v>3720.5350000000003</v>
      </c>
      <c r="BZ32" s="88">
        <f>IF(COUNTIF(CAPA3_EXPANSION!$D$56:BZ$56,"&gt;="&amp;25)=0,0,SUP_CONTROL!$C$8*IF($B32="V",1,IF($B32="D",(1+SUP_VOLUMEN!$C$26),(1+SUP_VOLUMEN!$C$27)))*INDEX(SUP_C3_EXPANSION!$C$6:$F$6,MIN(4,COUNTIF(CAPA3_EXPANSION!$D$56:BZ$56,"&gt;="&amp;25)))*CAPA3_EXPANSION!BZ$36)</f>
        <v>3676.7640000000001</v>
      </c>
      <c r="CA32" s="88">
        <f>IF(COUNTIF(CAPA3_EXPANSION!$D$56:CA$56,"&gt;="&amp;25)=0,0,SUP_CONTROL!$C$8*IF($B32="V",1,IF($B32="D",(1+SUP_VOLUMEN!$C$26),(1+SUP_VOLUMEN!$C$27)))*INDEX(SUP_C3_EXPANSION!$C$6:$F$6,MIN(4,COUNTIF(CAPA3_EXPANSION!$D$56:CA$56,"&gt;="&amp;25)))*CAPA3_EXPANSION!CA$36)</f>
        <v>3676.7640000000001</v>
      </c>
      <c r="CB32" s="88">
        <f>IF(COUNTIF(CAPA3_EXPANSION!$D$56:CB$56,"&gt;="&amp;25)=0,0,SUP_CONTROL!$C$8*IF($B32="V",1,IF($B32="D",(1+SUP_VOLUMEN!$C$26),(1+SUP_VOLUMEN!$C$27)))*INDEX(SUP_C3_EXPANSION!$C$6:$F$6,MIN(4,COUNTIF(CAPA3_EXPANSION!$D$56:CB$56,"&gt;="&amp;25)))*CAPA3_EXPANSION!CB$36)</f>
        <v>3676.7640000000001</v>
      </c>
      <c r="CC32" s="88">
        <f>IF(COUNTIF(CAPA3_EXPANSION!$D$56:CC$56,"&gt;="&amp;25)=0,0,SUP_CONTROL!$C$8*IF($B32="V",1,IF($B32="D",(1+SUP_VOLUMEN!$C$26),(1+SUP_VOLUMEN!$C$27)))*INDEX(SUP_C3_EXPANSION!$C$6:$F$6,MIN(4,COUNTIF(CAPA3_EXPANSION!$D$56:CC$56,"&gt;="&amp;25)))*CAPA3_EXPANSION!CC$36)</f>
        <v>3676.7640000000001</v>
      </c>
      <c r="CD32" s="88">
        <f>IF(COUNTIF(CAPA3_EXPANSION!$D$56:CD$56,"&gt;="&amp;25)=0,0,SUP_CONTROL!$C$8*IF($B32="V",1,IF($B32="D",(1+SUP_VOLUMEN!$C$26),(1+SUP_VOLUMEN!$C$27)))*INDEX(SUP_C3_EXPANSION!$C$6:$F$6,MIN(4,COUNTIF(CAPA3_EXPANSION!$D$56:CD$56,"&gt;="&amp;25)))*CAPA3_EXPANSION!CD$36)</f>
        <v>3676.7640000000001</v>
      </c>
      <c r="CE32" s="88">
        <f>IF(COUNTIF(CAPA3_EXPANSION!$D$56:CE$56,"&gt;="&amp;25)=0,0,SUP_CONTROL!$C$8*IF($B32="V",1,IF($B32="D",(1+SUP_VOLUMEN!$C$26),(1+SUP_VOLUMEN!$C$27)))*INDEX(SUP_C3_EXPANSION!$C$6:$F$6,MIN(4,COUNTIF(CAPA3_EXPANSION!$D$56:CE$56,"&gt;="&amp;25)))*CAPA3_EXPANSION!CE$36)</f>
        <v>3676.7640000000001</v>
      </c>
      <c r="CF32" s="88">
        <f>IF(COUNTIF(CAPA3_EXPANSION!$D$56:CF$56,"&gt;="&amp;25)=0,0,SUP_CONTROL!$C$8*IF($B32="V",1,IF($B32="D",(1+SUP_VOLUMEN!$C$26),(1+SUP_VOLUMEN!$C$27)))*INDEX(SUP_C3_EXPANSION!$C$6:$F$6,MIN(4,COUNTIF(CAPA3_EXPANSION!$D$56:CF$56,"&gt;="&amp;25)))*CAPA3_EXPANSION!CF$36)</f>
        <v>3676.7640000000001</v>
      </c>
      <c r="CG32" s="88">
        <f>IF(COUNTIF(CAPA3_EXPANSION!$D$56:CG$56,"&gt;="&amp;25)=0,0,SUP_CONTROL!$C$8*IF($B32="V",1,IF($B32="D",(1+SUP_VOLUMEN!$C$26),(1+SUP_VOLUMEN!$C$27)))*INDEX(SUP_C3_EXPANSION!$C$6:$F$6,MIN(4,COUNTIF(CAPA3_EXPANSION!$D$56:CG$56,"&gt;="&amp;25)))*CAPA3_EXPANSION!CG$36)</f>
        <v>3676.7640000000001</v>
      </c>
      <c r="CH32" s="88">
        <f>IF(COUNTIF(CAPA3_EXPANSION!$D$56:CH$56,"&gt;="&amp;25)=0,0,SUP_CONTROL!$C$8*IF($B32="V",1,IF($B32="D",(1+SUP_VOLUMEN!$C$26),(1+SUP_VOLUMEN!$C$27)))*INDEX(SUP_C3_EXPANSION!$C$6:$F$6,MIN(4,COUNTIF(CAPA3_EXPANSION!$D$56:CH$56,"&gt;="&amp;25)))*CAPA3_EXPANSION!CH$36)</f>
        <v>3676.7640000000001</v>
      </c>
      <c r="CI32" s="88">
        <f>IF(COUNTIF(CAPA3_EXPANSION!$D$56:CI$56,"&gt;="&amp;25)=0,0,SUP_CONTROL!$C$8*IF($B32="V",1,IF($B32="D",(1+SUP_VOLUMEN!$C$26),(1+SUP_VOLUMEN!$C$27)))*INDEX(SUP_C3_EXPANSION!$C$6:$F$6,MIN(4,COUNTIF(CAPA3_EXPANSION!$D$56:CI$56,"&gt;="&amp;25)))*CAPA3_EXPANSION!CI$36)</f>
        <v>3676.7640000000001</v>
      </c>
      <c r="CJ32" s="88">
        <f>IF(COUNTIF(CAPA3_EXPANSION!$D$56:CJ$56,"&gt;="&amp;25)=0,0,SUP_CONTROL!$C$8*IF($B32="V",1,IF($B32="D",(1+SUP_VOLUMEN!$C$26),(1+SUP_VOLUMEN!$C$27)))*INDEX(SUP_C3_EXPANSION!$C$6:$F$6,MIN(4,COUNTIF(CAPA3_EXPANSION!$D$56:CJ$56,"&gt;="&amp;25)))*CAPA3_EXPANSION!CJ$36)</f>
        <v>3676.7640000000001</v>
      </c>
      <c r="CK32" s="88">
        <f>IF(COUNTIF(CAPA3_EXPANSION!$D$56:CK$56,"&gt;="&amp;25)=0,0,SUP_CONTROL!$C$8*IF($B32="V",1,IF($B32="D",(1+SUP_VOLUMEN!$C$26),(1+SUP_VOLUMEN!$C$27)))*INDEX(SUP_C3_EXPANSION!$C$6:$F$6,MIN(4,COUNTIF(CAPA3_EXPANSION!$D$56:CK$56,"&gt;="&amp;25)))*CAPA3_EXPANSION!CK$36)</f>
        <v>3676.7640000000001</v>
      </c>
      <c r="CL32" s="88">
        <f>IF(COUNTIF(CAPA3_EXPANSION!$D$56:CL$56,"&gt;="&amp;25)=0,0,SUP_CONTROL!$C$8*IF($B32="V",1,IF($B32="D",(1+SUP_VOLUMEN!$C$26),(1+SUP_VOLUMEN!$C$27)))*INDEX(SUP_C3_EXPANSION!$C$6:$F$6,MIN(4,COUNTIF(CAPA3_EXPANSION!$D$56:CL$56,"&gt;="&amp;25)))*CAPA3_EXPANSION!CL$36)</f>
        <v>3676.7640000000001</v>
      </c>
      <c r="CM32" s="88">
        <f>IF(COUNTIF(CAPA3_EXPANSION!$D$56:CM$56,"&gt;="&amp;25)=0,0,SUP_CONTROL!$C$8*IF($B32="V",1,IF($B32="D",(1+SUP_VOLUMEN!$C$26),(1+SUP_VOLUMEN!$C$27)))*INDEX(SUP_C3_EXPANSION!$C$6:$F$6,MIN(4,COUNTIF(CAPA3_EXPANSION!$D$56:CM$56,"&gt;="&amp;25)))*CAPA3_EXPANSION!CM$36)</f>
        <v>3676.7640000000001</v>
      </c>
      <c r="CN32" s="88">
        <f>IF(COUNTIF(CAPA3_EXPANSION!$D$56:CN$56,"&gt;="&amp;25)=0,0,SUP_CONTROL!$C$8*IF($B32="V",1,IF($B32="D",(1+SUP_VOLUMEN!$C$26),(1+SUP_VOLUMEN!$C$27)))*INDEX(SUP_C3_EXPANSION!$C$6:$F$6,MIN(4,COUNTIF(CAPA3_EXPANSION!$D$56:CN$56,"&gt;="&amp;25)))*CAPA3_EXPANSION!CN$36)</f>
        <v>3676.7640000000001</v>
      </c>
      <c r="CO32" s="88">
        <f>IF(COUNTIF(CAPA3_EXPANSION!$D$56:CO$56,"&gt;="&amp;25)=0,0,SUP_CONTROL!$C$8*IF($B32="V",1,IF($B32="D",(1+SUP_VOLUMEN!$C$26),(1+SUP_VOLUMEN!$C$27)))*INDEX(SUP_C3_EXPANSION!$C$6:$F$6,MIN(4,COUNTIF(CAPA3_EXPANSION!$D$56:CO$56,"&gt;="&amp;25)))*CAPA3_EXPANSION!CO$36)</f>
        <v>3676.7640000000001</v>
      </c>
      <c r="CP32" s="88">
        <f>IF(COUNTIF(CAPA3_EXPANSION!$D$56:CP$56,"&gt;="&amp;25)=0,0,SUP_CONTROL!$C$8*IF($B32="V",1,IF($B32="D",(1+SUP_VOLUMEN!$C$26),(1+SUP_VOLUMEN!$C$27)))*INDEX(SUP_C3_EXPANSION!$C$6:$F$6,MIN(4,COUNTIF(CAPA3_EXPANSION!$D$56:CP$56,"&gt;="&amp;25)))*CAPA3_EXPANSION!CP$36)</f>
        <v>3676.7640000000001</v>
      </c>
      <c r="CQ32" s="88">
        <f>IF(COUNTIF(CAPA3_EXPANSION!$D$56:CQ$56,"&gt;="&amp;25)=0,0,SUP_CONTROL!$C$8*IF($B32="V",1,IF($B32="D",(1+SUP_VOLUMEN!$C$26),(1+SUP_VOLUMEN!$C$27)))*INDEX(SUP_C3_EXPANSION!$C$6:$F$6,MIN(4,COUNTIF(CAPA3_EXPANSION!$D$56:CQ$56,"&gt;="&amp;25)))*CAPA3_EXPANSION!CQ$36)</f>
        <v>3676.7640000000001</v>
      </c>
      <c r="CR32" s="88">
        <f>IF(COUNTIF(CAPA3_EXPANSION!$D$56:CR$56,"&gt;="&amp;25)=0,0,SUP_CONTROL!$C$8*IF($B32="V",1,IF($B32="D",(1+SUP_VOLUMEN!$C$26),(1+SUP_VOLUMEN!$C$27)))*INDEX(SUP_C3_EXPANSION!$C$6:$F$6,MIN(4,COUNTIF(CAPA3_EXPANSION!$D$56:CR$56,"&gt;="&amp;25)))*CAPA3_EXPANSION!CR$36)</f>
        <v>3676.7640000000001</v>
      </c>
      <c r="CS32" s="88">
        <f>IF(COUNTIF(CAPA3_EXPANSION!$D$56:CS$56,"&gt;="&amp;25)=0,0,SUP_CONTROL!$C$8*IF($B32="V",1,IF($B32="D",(1+SUP_VOLUMEN!$C$26),(1+SUP_VOLUMEN!$C$27)))*INDEX(SUP_C3_EXPANSION!$C$6:$F$6,MIN(4,COUNTIF(CAPA3_EXPANSION!$D$56:CS$56,"&gt;="&amp;25)))*CAPA3_EXPANSION!CS$36)</f>
        <v>3676.7640000000001</v>
      </c>
      <c r="CT32" s="88">
        <f>IF(COUNTIF(CAPA3_EXPANSION!$D$56:CT$56,"&gt;="&amp;25)=0,0,SUP_CONTROL!$C$8*IF($B32="V",1,IF($B32="D",(1+SUP_VOLUMEN!$C$26),(1+SUP_VOLUMEN!$C$27)))*INDEX(SUP_C3_EXPANSION!$C$6:$F$6,MIN(4,COUNTIF(CAPA3_EXPANSION!$D$56:CT$56,"&gt;="&amp;25)))*CAPA3_EXPANSION!CT$36)</f>
        <v>3676.7640000000001</v>
      </c>
      <c r="CU32" s="88">
        <f>IF(COUNTIF(CAPA3_EXPANSION!$D$56:CU$56,"&gt;="&amp;25)=0,0,SUP_CONTROL!$C$8*IF($B32="V",1,IF($B32="D",(1+SUP_VOLUMEN!$C$26),(1+SUP_VOLUMEN!$C$27)))*INDEX(SUP_C3_EXPANSION!$C$6:$F$6,MIN(4,COUNTIF(CAPA3_EXPANSION!$D$56:CU$56,"&gt;="&amp;25)))*CAPA3_EXPANSION!CU$36)</f>
        <v>3676.7640000000001</v>
      </c>
      <c r="CV32" s="88">
        <f>IF(COUNTIF(CAPA3_EXPANSION!$D$56:CV$56,"&gt;="&amp;25)=0,0,SUP_CONTROL!$C$8*IF($B32="V",1,IF($B32="D",(1+SUP_VOLUMEN!$C$26),(1+SUP_VOLUMEN!$C$27)))*INDEX(SUP_C3_EXPANSION!$C$6:$F$6,MIN(4,COUNTIF(CAPA3_EXPANSION!$D$56:CV$56,"&gt;="&amp;25)))*CAPA3_EXPANSION!CV$36)</f>
        <v>3676.7640000000001</v>
      </c>
      <c r="CW32" s="88">
        <f>IF(COUNTIF(CAPA3_EXPANSION!$D$56:CW$56,"&gt;="&amp;25)=0,0,SUP_CONTROL!$C$8*IF($B32="V",1,IF($B32="D",(1+SUP_VOLUMEN!$C$26),(1+SUP_VOLUMEN!$C$27)))*INDEX(SUP_C3_EXPANSION!$C$6:$F$6,MIN(4,COUNTIF(CAPA3_EXPANSION!$D$56:CW$56,"&gt;="&amp;25)))*CAPA3_EXPANSION!CW$36)</f>
        <v>3676.7640000000001</v>
      </c>
      <c r="CX32" s="88">
        <f>IF(COUNTIF(CAPA3_EXPANSION!$D$56:CX$56,"&gt;="&amp;25)=0,0,SUP_CONTROL!$C$8*IF($B32="V",1,IF($B32="D",(1+SUP_VOLUMEN!$C$26),(1+SUP_VOLUMEN!$C$27)))*INDEX(SUP_C3_EXPANSION!$C$6:$F$6,MIN(4,COUNTIF(CAPA3_EXPANSION!$D$56:CX$56,"&gt;="&amp;25)))*CAPA3_EXPANSION!CX$36)</f>
        <v>3676.7640000000001</v>
      </c>
      <c r="CY32" s="88">
        <f>IF(COUNTIF(CAPA3_EXPANSION!$D$56:CY$56,"&gt;="&amp;25)=0,0,SUP_CONTROL!$C$8*IF($B32="V",1,IF($B32="D",(1+SUP_VOLUMEN!$C$26),(1+SUP_VOLUMEN!$C$27)))*INDEX(SUP_C3_EXPANSION!$C$6:$F$6,MIN(4,COUNTIF(CAPA3_EXPANSION!$D$56:CY$56,"&gt;="&amp;25)))*CAPA3_EXPANSION!CY$36)</f>
        <v>3676.7640000000001</v>
      </c>
      <c r="CZ32" s="88">
        <f>IF(COUNTIF(CAPA3_EXPANSION!$D$56:CZ$56,"&gt;="&amp;25)=0,0,SUP_CONTROL!$C$8*IF($B32="V",1,IF($B32="D",(1+SUP_VOLUMEN!$C$26),(1+SUP_VOLUMEN!$C$27)))*INDEX(SUP_C3_EXPANSION!$C$6:$F$6,MIN(4,COUNTIF(CAPA3_EXPANSION!$D$56:CZ$56,"&gt;="&amp;25)))*CAPA3_EXPANSION!CZ$36)</f>
        <v>3676.7640000000001</v>
      </c>
      <c r="DA32" s="88">
        <f>IF(COUNTIF(CAPA3_EXPANSION!$D$56:DA$56,"&gt;="&amp;25)=0,0,SUP_CONTROL!$C$8*IF($B32="V",1,IF($B32="D",(1+SUP_VOLUMEN!$C$26),(1+SUP_VOLUMEN!$C$27)))*INDEX(SUP_C3_EXPANSION!$C$6:$F$6,MIN(4,COUNTIF(CAPA3_EXPANSION!$D$56:DA$56,"&gt;="&amp;25)))*CAPA3_EXPANSION!DA$36)</f>
        <v>3676.7640000000001</v>
      </c>
      <c r="DB32" s="88">
        <f>IF(COUNTIF(CAPA3_EXPANSION!$D$56:DB$56,"&gt;="&amp;25)=0,0,SUP_CONTROL!$C$8*IF($B32="V",1,IF($B32="D",(1+SUP_VOLUMEN!$C$26),(1+SUP_VOLUMEN!$C$27)))*INDEX(SUP_C3_EXPANSION!$C$6:$F$6,MIN(4,COUNTIF(CAPA3_EXPANSION!$D$56:DB$56,"&gt;="&amp;25)))*CAPA3_EXPANSION!DB$36)</f>
        <v>3676.7640000000001</v>
      </c>
      <c r="DC32" s="88">
        <f>IF(COUNTIF(CAPA3_EXPANSION!$D$56:DC$56,"&gt;="&amp;25)=0,0,SUP_CONTROL!$C$8*IF($B32="V",1,IF($B32="D",(1+SUP_VOLUMEN!$C$26),(1+SUP_VOLUMEN!$C$27)))*INDEX(SUP_C3_EXPANSION!$C$6:$F$6,MIN(4,COUNTIF(CAPA3_EXPANSION!$D$56:DC$56,"&gt;="&amp;25)))*CAPA3_EXPANSION!DC$36)</f>
        <v>3676.7640000000001</v>
      </c>
      <c r="DD32" s="88">
        <f>IF(COUNTIF(CAPA3_EXPANSION!$D$56:DD$56,"&gt;="&amp;25)=0,0,SUP_CONTROL!$C$8*IF($B32="V",1,IF($B32="D",(1+SUP_VOLUMEN!$C$26),(1+SUP_VOLUMEN!$C$27)))*INDEX(SUP_C3_EXPANSION!$C$6:$F$6,MIN(4,COUNTIF(CAPA3_EXPANSION!$D$56:DD$56,"&gt;="&amp;25)))*CAPA3_EXPANSION!DD$36)</f>
        <v>3676.7640000000001</v>
      </c>
      <c r="DE32" s="88">
        <f>IF(COUNTIF(CAPA3_EXPANSION!$D$56:DE$56,"&gt;="&amp;25)=0,0,SUP_CONTROL!$C$8*IF($B32="V",1,IF($B32="D",(1+SUP_VOLUMEN!$C$26),(1+SUP_VOLUMEN!$C$27)))*INDEX(SUP_C3_EXPANSION!$C$6:$F$6,MIN(4,COUNTIF(CAPA3_EXPANSION!$D$56:DE$56,"&gt;="&amp;25)))*CAPA3_EXPANSION!DE$36)</f>
        <v>3676.7640000000001</v>
      </c>
      <c r="DF32" s="88">
        <f>IF(COUNTIF(CAPA3_EXPANSION!$D$56:DF$56,"&gt;="&amp;25)=0,0,SUP_CONTROL!$C$8*IF($B32="V",1,IF($B32="D",(1+SUP_VOLUMEN!$C$26),(1+SUP_VOLUMEN!$C$27)))*INDEX(SUP_C3_EXPANSION!$C$6:$F$6,MIN(4,COUNTIF(CAPA3_EXPANSION!$D$56:DF$56,"&gt;="&amp;25)))*CAPA3_EXPANSION!DF$36)</f>
        <v>3676.7640000000001</v>
      </c>
      <c r="DG32" s="88">
        <f>IF(COUNTIF(CAPA3_EXPANSION!$D$56:DG$56,"&gt;="&amp;25)=0,0,SUP_CONTROL!$C$8*IF($B32="V",1,IF($B32="D",(1+SUP_VOLUMEN!$C$26),(1+SUP_VOLUMEN!$C$27)))*INDEX(SUP_C3_EXPANSION!$C$6:$F$6,MIN(4,COUNTIF(CAPA3_EXPANSION!$D$56:DG$56,"&gt;="&amp;25)))*CAPA3_EXPANSION!DG$36)</f>
        <v>3676.7640000000001</v>
      </c>
      <c r="DH32" s="88">
        <f>IF(COUNTIF(CAPA3_EXPANSION!$D$56:DH$56,"&gt;="&amp;25)=0,0,SUP_CONTROL!$C$8*IF($B32="V",1,IF($B32="D",(1+SUP_VOLUMEN!$C$26),(1+SUP_VOLUMEN!$C$27)))*INDEX(SUP_C3_EXPANSION!$C$6:$F$6,MIN(4,COUNTIF(CAPA3_EXPANSION!$D$56:DH$56,"&gt;="&amp;25)))*CAPA3_EXPANSION!DH$36)</f>
        <v>3676.7640000000001</v>
      </c>
      <c r="DI32" s="88">
        <f>IF(COUNTIF(CAPA3_EXPANSION!$D$56:DI$56,"&gt;="&amp;25)=0,0,SUP_CONTROL!$C$8*IF($B32="V",1,IF($B32="D",(1+SUP_VOLUMEN!$C$26),(1+SUP_VOLUMEN!$C$27)))*INDEX(SUP_C3_EXPANSION!$C$6:$F$6,MIN(4,COUNTIF(CAPA3_EXPANSION!$D$56:DI$56,"&gt;="&amp;25)))*CAPA3_EXPANSION!DI$36)</f>
        <v>3676.7640000000001</v>
      </c>
      <c r="DJ32" s="88">
        <f>IF(COUNTIF(CAPA3_EXPANSION!$D$56:DJ$56,"&gt;="&amp;25)=0,0,SUP_CONTROL!$C$8*IF($B32="V",1,IF($B32="D",(1+SUP_VOLUMEN!$C$26),(1+SUP_VOLUMEN!$C$27)))*INDEX(SUP_C3_EXPANSION!$C$6:$F$6,MIN(4,COUNTIF(CAPA3_EXPANSION!$D$56:DJ$56,"&gt;="&amp;25)))*CAPA3_EXPANSION!DJ$36)</f>
        <v>3676.7640000000001</v>
      </c>
      <c r="DK32" s="88">
        <f>IF(COUNTIF(CAPA3_EXPANSION!$D$56:DK$56,"&gt;="&amp;25)=0,0,SUP_CONTROL!$C$8*IF($B32="V",1,IF($B32="D",(1+SUP_VOLUMEN!$C$26),(1+SUP_VOLUMEN!$C$27)))*INDEX(SUP_C3_EXPANSION!$C$6:$F$6,MIN(4,COUNTIF(CAPA3_EXPANSION!$D$56:DK$56,"&gt;="&amp;25)))*CAPA3_EXPANSION!DK$36)</f>
        <v>3676.7640000000001</v>
      </c>
      <c r="DL32" s="88">
        <f>IF(COUNTIF(CAPA3_EXPANSION!$D$56:DL$56,"&gt;="&amp;25)=0,0,SUP_CONTROL!$C$8*IF($B32="V",1,IF($B32="D",(1+SUP_VOLUMEN!$C$26),(1+SUP_VOLUMEN!$C$27)))*INDEX(SUP_C3_EXPANSION!$C$6:$F$6,MIN(4,COUNTIF(CAPA3_EXPANSION!$D$56:DL$56,"&gt;="&amp;25)))*CAPA3_EXPANSION!DL$36)</f>
        <v>3676.7640000000001</v>
      </c>
      <c r="DM32" s="88">
        <f>IF(COUNTIF(CAPA3_EXPANSION!$D$56:DM$56,"&gt;="&amp;25)=0,0,SUP_CONTROL!$C$8*IF($B32="V",1,IF($B32="D",(1+SUP_VOLUMEN!$C$26),(1+SUP_VOLUMEN!$C$27)))*INDEX(SUP_C3_EXPANSION!$C$6:$F$6,MIN(4,COUNTIF(CAPA3_EXPANSION!$D$56:DM$56,"&gt;="&amp;25)))*CAPA3_EXPANSION!DM$36)</f>
        <v>3676.7640000000001</v>
      </c>
      <c r="DN32" s="88">
        <f>IF(COUNTIF(CAPA3_EXPANSION!$D$56:DN$56,"&gt;="&amp;25)=0,0,SUP_CONTROL!$C$8*IF($B32="V",1,IF($B32="D",(1+SUP_VOLUMEN!$C$26),(1+SUP_VOLUMEN!$C$27)))*INDEX(SUP_C3_EXPANSION!$C$6:$F$6,MIN(4,COUNTIF(CAPA3_EXPANSION!$D$56:DN$56,"&gt;="&amp;25)))*CAPA3_EXPANSION!DN$36)</f>
        <v>3676.7640000000001</v>
      </c>
      <c r="DO32" s="88">
        <f>IF(COUNTIF(CAPA3_EXPANSION!$D$56:DO$56,"&gt;="&amp;25)=0,0,SUP_CONTROL!$C$8*IF($B32="V",1,IF($B32="D",(1+SUP_VOLUMEN!$C$26),(1+SUP_VOLUMEN!$C$27)))*INDEX(SUP_C3_EXPANSION!$C$6:$F$6,MIN(4,COUNTIF(CAPA3_EXPANSION!$D$56:DO$56,"&gt;="&amp;25)))*CAPA3_EXPANSION!DO$36)</f>
        <v>3676.7640000000001</v>
      </c>
      <c r="DP32" s="88">
        <f>IF(COUNTIF(CAPA3_EXPANSION!$D$56:DP$56,"&gt;="&amp;25)=0,0,SUP_CONTROL!$C$8*IF($B32="V",1,IF($B32="D",(1+SUP_VOLUMEN!$C$26),(1+SUP_VOLUMEN!$C$27)))*INDEX(SUP_C3_EXPANSION!$C$6:$F$6,MIN(4,COUNTIF(CAPA3_EXPANSION!$D$56:DP$56,"&gt;="&amp;25)))*CAPA3_EXPANSION!DP$36)</f>
        <v>3676.7640000000001</v>
      </c>
      <c r="DQ32" s="88">
        <f>IF(COUNTIF(CAPA3_EXPANSION!$D$56:DQ$56,"&gt;="&amp;25)=0,0,SUP_CONTROL!$C$8*IF($B32="V",1,IF($B32="D",(1+SUP_VOLUMEN!$C$26),(1+SUP_VOLUMEN!$C$27)))*INDEX(SUP_C3_EXPANSION!$C$6:$F$6,MIN(4,COUNTIF(CAPA3_EXPANSION!$D$56:DQ$56,"&gt;="&amp;25)))*CAPA3_EXPANSION!DQ$36)</f>
        <v>3676.7640000000001</v>
      </c>
      <c r="DR32" s="88">
        <f>IF(COUNTIF(CAPA3_EXPANSION!$D$56:DR$56,"&gt;="&amp;25)=0,0,SUP_CONTROL!$C$8*IF($B32="V",1,IF($B32="D",(1+SUP_VOLUMEN!$C$26),(1+SUP_VOLUMEN!$C$27)))*INDEX(SUP_C3_EXPANSION!$C$6:$F$6,MIN(4,COUNTIF(CAPA3_EXPANSION!$D$56:DR$56,"&gt;="&amp;25)))*CAPA3_EXPANSION!DR$36)</f>
        <v>3676.7640000000001</v>
      </c>
      <c r="DS32" s="88">
        <f>IF(COUNTIF(CAPA3_EXPANSION!$D$56:DS$56,"&gt;="&amp;25)=0,0,SUP_CONTROL!$C$8*IF($B32="V",1,IF($B32="D",(1+SUP_VOLUMEN!$C$26),(1+SUP_VOLUMEN!$C$27)))*INDEX(SUP_C3_EXPANSION!$C$6:$F$6,MIN(4,COUNTIF(CAPA3_EXPANSION!$D$56:DS$56,"&gt;="&amp;25)))*CAPA3_EXPANSION!DS$36)</f>
        <v>3676.7640000000001</v>
      </c>
    </row>
    <row r="33" spans="1:123" ht="15" customHeight="1" x14ac:dyDescent="0.2">
      <c r="A33" s="88">
        <v>36</v>
      </c>
      <c r="B33" s="104" t="str">
        <f>SUP_C3_EXPANSION!B45</f>
        <v>V</v>
      </c>
      <c r="C33" s="73">
        <f>SUP_C3_EXPANSION!G45</f>
        <v>61</v>
      </c>
      <c r="D33" s="88">
        <f>IF(COUNTIF(CAPA3_EXPANSION!$D$56:D$56,"&gt;="&amp;26)=0,0,SUP_CONTROL!$C$8*IF($B33="V",1,IF($B33="D",(1+SUP_VOLUMEN!$C$26),(1+SUP_VOLUMEN!$C$27)))*INDEX(SUP_C3_EXPANSION!$C$6:$F$6,MIN(4,COUNTIF(CAPA3_EXPANSION!$D$56:D$56,"&gt;="&amp;26)))*CAPA3_EXPANSION!D$36)</f>
        <v>0</v>
      </c>
      <c r="E33" s="88">
        <f>IF(COUNTIF(CAPA3_EXPANSION!$D$56:E$56,"&gt;="&amp;26)=0,0,SUP_CONTROL!$C$8*IF($B33="V",1,IF($B33="D",(1+SUP_VOLUMEN!$C$26),(1+SUP_VOLUMEN!$C$27)))*INDEX(SUP_C3_EXPANSION!$C$6:$F$6,MIN(4,COUNTIF(CAPA3_EXPANSION!$D$56:E$56,"&gt;="&amp;26)))*CAPA3_EXPANSION!E$36)</f>
        <v>0</v>
      </c>
      <c r="F33" s="88">
        <f>IF(COUNTIF(CAPA3_EXPANSION!$D$56:F$56,"&gt;="&amp;26)=0,0,SUP_CONTROL!$C$8*IF($B33="V",1,IF($B33="D",(1+SUP_VOLUMEN!$C$26),(1+SUP_VOLUMEN!$C$27)))*INDEX(SUP_C3_EXPANSION!$C$6:$F$6,MIN(4,COUNTIF(CAPA3_EXPANSION!$D$56:F$56,"&gt;="&amp;26)))*CAPA3_EXPANSION!F$36)</f>
        <v>0</v>
      </c>
      <c r="G33" s="88">
        <f>IF(COUNTIF(CAPA3_EXPANSION!$D$56:G$56,"&gt;="&amp;26)=0,0,SUP_CONTROL!$C$8*IF($B33="V",1,IF($B33="D",(1+SUP_VOLUMEN!$C$26),(1+SUP_VOLUMEN!$C$27)))*INDEX(SUP_C3_EXPANSION!$C$6:$F$6,MIN(4,COUNTIF(CAPA3_EXPANSION!$D$56:G$56,"&gt;="&amp;26)))*CAPA3_EXPANSION!G$36)</f>
        <v>0</v>
      </c>
      <c r="H33" s="88">
        <f>IF(COUNTIF(CAPA3_EXPANSION!$D$56:H$56,"&gt;="&amp;26)=0,0,SUP_CONTROL!$C$8*IF($B33="V",1,IF($B33="D",(1+SUP_VOLUMEN!$C$26),(1+SUP_VOLUMEN!$C$27)))*INDEX(SUP_C3_EXPANSION!$C$6:$F$6,MIN(4,COUNTIF(CAPA3_EXPANSION!$D$56:H$56,"&gt;="&amp;26)))*CAPA3_EXPANSION!H$36)</f>
        <v>0</v>
      </c>
      <c r="I33" s="88">
        <f>IF(COUNTIF(CAPA3_EXPANSION!$D$56:I$56,"&gt;="&amp;26)=0,0,SUP_CONTROL!$C$8*IF($B33="V",1,IF($B33="D",(1+SUP_VOLUMEN!$C$26),(1+SUP_VOLUMEN!$C$27)))*INDEX(SUP_C3_EXPANSION!$C$6:$F$6,MIN(4,COUNTIF(CAPA3_EXPANSION!$D$56:I$56,"&gt;="&amp;26)))*CAPA3_EXPANSION!I$36)</f>
        <v>0</v>
      </c>
      <c r="J33" s="88">
        <f>IF(COUNTIF(CAPA3_EXPANSION!$D$56:J$56,"&gt;="&amp;26)=0,0,SUP_CONTROL!$C$8*IF($B33="V",1,IF($B33="D",(1+SUP_VOLUMEN!$C$26),(1+SUP_VOLUMEN!$C$27)))*INDEX(SUP_C3_EXPANSION!$C$6:$F$6,MIN(4,COUNTIF(CAPA3_EXPANSION!$D$56:J$56,"&gt;="&amp;26)))*CAPA3_EXPANSION!J$36)</f>
        <v>0</v>
      </c>
      <c r="K33" s="88">
        <f>IF(COUNTIF(CAPA3_EXPANSION!$D$56:K$56,"&gt;="&amp;26)=0,0,SUP_CONTROL!$C$8*IF($B33="V",1,IF($B33="D",(1+SUP_VOLUMEN!$C$26),(1+SUP_VOLUMEN!$C$27)))*INDEX(SUP_C3_EXPANSION!$C$6:$F$6,MIN(4,COUNTIF(CAPA3_EXPANSION!$D$56:K$56,"&gt;="&amp;26)))*CAPA3_EXPANSION!K$36)</f>
        <v>0</v>
      </c>
      <c r="L33" s="88">
        <f>IF(COUNTIF(CAPA3_EXPANSION!$D$56:L$56,"&gt;="&amp;26)=0,0,SUP_CONTROL!$C$8*IF($B33="V",1,IF($B33="D",(1+SUP_VOLUMEN!$C$26),(1+SUP_VOLUMEN!$C$27)))*INDEX(SUP_C3_EXPANSION!$C$6:$F$6,MIN(4,COUNTIF(CAPA3_EXPANSION!$D$56:L$56,"&gt;="&amp;26)))*CAPA3_EXPANSION!L$36)</f>
        <v>0</v>
      </c>
      <c r="M33" s="88">
        <f>IF(COUNTIF(CAPA3_EXPANSION!$D$56:M$56,"&gt;="&amp;26)=0,0,SUP_CONTROL!$C$8*IF($B33="V",1,IF($B33="D",(1+SUP_VOLUMEN!$C$26),(1+SUP_VOLUMEN!$C$27)))*INDEX(SUP_C3_EXPANSION!$C$6:$F$6,MIN(4,COUNTIF(CAPA3_EXPANSION!$D$56:M$56,"&gt;="&amp;26)))*CAPA3_EXPANSION!M$36)</f>
        <v>0</v>
      </c>
      <c r="N33" s="88">
        <f>IF(COUNTIF(CAPA3_EXPANSION!$D$56:N$56,"&gt;="&amp;26)=0,0,SUP_CONTROL!$C$8*IF($B33="V",1,IF($B33="D",(1+SUP_VOLUMEN!$C$26),(1+SUP_VOLUMEN!$C$27)))*INDEX(SUP_C3_EXPANSION!$C$6:$F$6,MIN(4,COUNTIF(CAPA3_EXPANSION!$D$56:N$56,"&gt;="&amp;26)))*CAPA3_EXPANSION!N$36)</f>
        <v>0</v>
      </c>
      <c r="O33" s="88">
        <f>IF(COUNTIF(CAPA3_EXPANSION!$D$56:O$56,"&gt;="&amp;26)=0,0,SUP_CONTROL!$C$8*IF($B33="V",1,IF($B33="D",(1+SUP_VOLUMEN!$C$26),(1+SUP_VOLUMEN!$C$27)))*INDEX(SUP_C3_EXPANSION!$C$6:$F$6,MIN(4,COUNTIF(CAPA3_EXPANSION!$D$56:O$56,"&gt;="&amp;26)))*CAPA3_EXPANSION!O$36)</f>
        <v>0</v>
      </c>
      <c r="P33" s="88">
        <f>IF(COUNTIF(CAPA3_EXPANSION!$D$56:P$56,"&gt;="&amp;26)=0,0,SUP_CONTROL!$C$8*IF($B33="V",1,IF($B33="D",(1+SUP_VOLUMEN!$C$26),(1+SUP_VOLUMEN!$C$27)))*INDEX(SUP_C3_EXPANSION!$C$6:$F$6,MIN(4,COUNTIF(CAPA3_EXPANSION!$D$56:P$56,"&gt;="&amp;26)))*CAPA3_EXPANSION!P$36)</f>
        <v>0</v>
      </c>
      <c r="Q33" s="88">
        <f>IF(COUNTIF(CAPA3_EXPANSION!$D$56:Q$56,"&gt;="&amp;26)=0,0,SUP_CONTROL!$C$8*IF($B33="V",1,IF($B33="D",(1+SUP_VOLUMEN!$C$26),(1+SUP_VOLUMEN!$C$27)))*INDEX(SUP_C3_EXPANSION!$C$6:$F$6,MIN(4,COUNTIF(CAPA3_EXPANSION!$D$56:Q$56,"&gt;="&amp;26)))*CAPA3_EXPANSION!Q$36)</f>
        <v>0</v>
      </c>
      <c r="R33" s="88">
        <f>IF(COUNTIF(CAPA3_EXPANSION!$D$56:R$56,"&gt;="&amp;26)=0,0,SUP_CONTROL!$C$8*IF($B33="V",1,IF($B33="D",(1+SUP_VOLUMEN!$C$26),(1+SUP_VOLUMEN!$C$27)))*INDEX(SUP_C3_EXPANSION!$C$6:$F$6,MIN(4,COUNTIF(CAPA3_EXPANSION!$D$56:R$56,"&gt;="&amp;26)))*CAPA3_EXPANSION!R$36)</f>
        <v>0</v>
      </c>
      <c r="S33" s="88">
        <f>IF(COUNTIF(CAPA3_EXPANSION!$D$56:S$56,"&gt;="&amp;26)=0,0,SUP_CONTROL!$C$8*IF($B33="V",1,IF($B33="D",(1+SUP_VOLUMEN!$C$26),(1+SUP_VOLUMEN!$C$27)))*INDEX(SUP_C3_EXPANSION!$C$6:$F$6,MIN(4,COUNTIF(CAPA3_EXPANSION!$D$56:S$56,"&gt;="&amp;26)))*CAPA3_EXPANSION!S$36)</f>
        <v>0</v>
      </c>
      <c r="T33" s="88">
        <f>IF(COUNTIF(CAPA3_EXPANSION!$D$56:T$56,"&gt;="&amp;26)=0,0,SUP_CONTROL!$C$8*IF($B33="V",1,IF($B33="D",(1+SUP_VOLUMEN!$C$26),(1+SUP_VOLUMEN!$C$27)))*INDEX(SUP_C3_EXPANSION!$C$6:$F$6,MIN(4,COUNTIF(CAPA3_EXPANSION!$D$56:T$56,"&gt;="&amp;26)))*CAPA3_EXPANSION!T$36)</f>
        <v>0</v>
      </c>
      <c r="U33" s="88">
        <f>IF(COUNTIF(CAPA3_EXPANSION!$D$56:U$56,"&gt;="&amp;26)=0,0,SUP_CONTROL!$C$8*IF($B33="V",1,IF($B33="D",(1+SUP_VOLUMEN!$C$26),(1+SUP_VOLUMEN!$C$27)))*INDEX(SUP_C3_EXPANSION!$C$6:$F$6,MIN(4,COUNTIF(CAPA3_EXPANSION!$D$56:U$56,"&gt;="&amp;26)))*CAPA3_EXPANSION!U$36)</f>
        <v>0</v>
      </c>
      <c r="V33" s="88">
        <f>IF(COUNTIF(CAPA3_EXPANSION!$D$56:V$56,"&gt;="&amp;26)=0,0,SUP_CONTROL!$C$8*IF($B33="V",1,IF($B33="D",(1+SUP_VOLUMEN!$C$26),(1+SUP_VOLUMEN!$C$27)))*INDEX(SUP_C3_EXPANSION!$C$6:$F$6,MIN(4,COUNTIF(CAPA3_EXPANSION!$D$56:V$56,"&gt;="&amp;26)))*CAPA3_EXPANSION!V$36)</f>
        <v>0</v>
      </c>
      <c r="W33" s="88">
        <f>IF(COUNTIF(CAPA3_EXPANSION!$D$56:W$56,"&gt;="&amp;26)=0,0,SUP_CONTROL!$C$8*IF($B33="V",1,IF($B33="D",(1+SUP_VOLUMEN!$C$26),(1+SUP_VOLUMEN!$C$27)))*INDEX(SUP_C3_EXPANSION!$C$6:$F$6,MIN(4,COUNTIF(CAPA3_EXPANSION!$D$56:W$56,"&gt;="&amp;26)))*CAPA3_EXPANSION!W$36)</f>
        <v>0</v>
      </c>
      <c r="X33" s="88">
        <f>IF(COUNTIF(CAPA3_EXPANSION!$D$56:X$56,"&gt;="&amp;26)=0,0,SUP_CONTROL!$C$8*IF($B33="V",1,IF($B33="D",(1+SUP_VOLUMEN!$C$26),(1+SUP_VOLUMEN!$C$27)))*INDEX(SUP_C3_EXPANSION!$C$6:$F$6,MIN(4,COUNTIF(CAPA3_EXPANSION!$D$56:X$56,"&gt;="&amp;26)))*CAPA3_EXPANSION!X$36)</f>
        <v>0</v>
      </c>
      <c r="Y33" s="88">
        <f>IF(COUNTIF(CAPA3_EXPANSION!$D$56:Y$56,"&gt;="&amp;26)=0,0,SUP_CONTROL!$C$8*IF($B33="V",1,IF($B33="D",(1+SUP_VOLUMEN!$C$26),(1+SUP_VOLUMEN!$C$27)))*INDEX(SUP_C3_EXPANSION!$C$6:$F$6,MIN(4,COUNTIF(CAPA3_EXPANSION!$D$56:Y$56,"&gt;="&amp;26)))*CAPA3_EXPANSION!Y$36)</f>
        <v>0</v>
      </c>
      <c r="Z33" s="88">
        <f>IF(COUNTIF(CAPA3_EXPANSION!$D$56:Z$56,"&gt;="&amp;26)=0,0,SUP_CONTROL!$C$8*IF($B33="V",1,IF($B33="D",(1+SUP_VOLUMEN!$C$26),(1+SUP_VOLUMEN!$C$27)))*INDEX(SUP_C3_EXPANSION!$C$6:$F$6,MIN(4,COUNTIF(CAPA3_EXPANSION!$D$56:Z$56,"&gt;="&amp;26)))*CAPA3_EXPANSION!Z$36)</f>
        <v>0</v>
      </c>
      <c r="AA33" s="88">
        <f>IF(COUNTIF(CAPA3_EXPANSION!$D$56:AA$56,"&gt;="&amp;26)=0,0,SUP_CONTROL!$C$8*IF($B33="V",1,IF($B33="D",(1+SUP_VOLUMEN!$C$26),(1+SUP_VOLUMEN!$C$27)))*INDEX(SUP_C3_EXPANSION!$C$6:$F$6,MIN(4,COUNTIF(CAPA3_EXPANSION!$D$56:AA$56,"&gt;="&amp;26)))*CAPA3_EXPANSION!AA$36)</f>
        <v>0</v>
      </c>
      <c r="AB33" s="88">
        <f>IF(COUNTIF(CAPA3_EXPANSION!$D$56:AB$56,"&gt;="&amp;26)=0,0,SUP_CONTROL!$C$8*IF($B33="V",1,IF($B33="D",(1+SUP_VOLUMEN!$C$26),(1+SUP_VOLUMEN!$C$27)))*INDEX(SUP_C3_EXPANSION!$C$6:$F$6,MIN(4,COUNTIF(CAPA3_EXPANSION!$D$56:AB$56,"&gt;="&amp;26)))*CAPA3_EXPANSION!AB$36)</f>
        <v>0</v>
      </c>
      <c r="AC33" s="88">
        <f>IF(COUNTIF(CAPA3_EXPANSION!$D$56:AC$56,"&gt;="&amp;26)=0,0,SUP_CONTROL!$C$8*IF($B33="V",1,IF($B33="D",(1+SUP_VOLUMEN!$C$26),(1+SUP_VOLUMEN!$C$27)))*INDEX(SUP_C3_EXPANSION!$C$6:$F$6,MIN(4,COUNTIF(CAPA3_EXPANSION!$D$56:AC$56,"&gt;="&amp;26)))*CAPA3_EXPANSION!AC$36)</f>
        <v>0</v>
      </c>
      <c r="AD33" s="88">
        <f>IF(COUNTIF(CAPA3_EXPANSION!$D$56:AD$56,"&gt;="&amp;26)=0,0,SUP_CONTROL!$C$8*IF($B33="V",1,IF($B33="D",(1+SUP_VOLUMEN!$C$26),(1+SUP_VOLUMEN!$C$27)))*INDEX(SUP_C3_EXPANSION!$C$6:$F$6,MIN(4,COUNTIF(CAPA3_EXPANSION!$D$56:AD$56,"&gt;="&amp;26)))*CAPA3_EXPANSION!AD$36)</f>
        <v>0</v>
      </c>
      <c r="AE33" s="88">
        <f>IF(COUNTIF(CAPA3_EXPANSION!$D$56:AE$56,"&gt;="&amp;26)=0,0,SUP_CONTROL!$C$8*IF($B33="V",1,IF($B33="D",(1+SUP_VOLUMEN!$C$26),(1+SUP_VOLUMEN!$C$27)))*INDEX(SUP_C3_EXPANSION!$C$6:$F$6,MIN(4,COUNTIF(CAPA3_EXPANSION!$D$56:AE$56,"&gt;="&amp;26)))*CAPA3_EXPANSION!AE$36)</f>
        <v>0</v>
      </c>
      <c r="AF33" s="88">
        <f>IF(COUNTIF(CAPA3_EXPANSION!$D$56:AF$56,"&gt;="&amp;26)=0,0,SUP_CONTROL!$C$8*IF($B33="V",1,IF($B33="D",(1+SUP_VOLUMEN!$C$26),(1+SUP_VOLUMEN!$C$27)))*INDEX(SUP_C3_EXPANSION!$C$6:$F$6,MIN(4,COUNTIF(CAPA3_EXPANSION!$D$56:AF$56,"&gt;="&amp;26)))*CAPA3_EXPANSION!AF$36)</f>
        <v>0</v>
      </c>
      <c r="AG33" s="88">
        <f>IF(COUNTIF(CAPA3_EXPANSION!$D$56:AG$56,"&gt;="&amp;26)=0,0,SUP_CONTROL!$C$8*IF($B33="V",1,IF($B33="D",(1+SUP_VOLUMEN!$C$26),(1+SUP_VOLUMEN!$C$27)))*INDEX(SUP_C3_EXPANSION!$C$6:$F$6,MIN(4,COUNTIF(CAPA3_EXPANSION!$D$56:AG$56,"&gt;="&amp;26)))*CAPA3_EXPANSION!AG$36)</f>
        <v>0</v>
      </c>
      <c r="AH33" s="88">
        <f>IF(COUNTIF(CAPA3_EXPANSION!$D$56:AH$56,"&gt;="&amp;26)=0,0,SUP_CONTROL!$C$8*IF($B33="V",1,IF($B33="D",(1+SUP_VOLUMEN!$C$26),(1+SUP_VOLUMEN!$C$27)))*INDEX(SUP_C3_EXPANSION!$C$6:$F$6,MIN(4,COUNTIF(CAPA3_EXPANSION!$D$56:AH$56,"&gt;="&amp;26)))*CAPA3_EXPANSION!AH$36)</f>
        <v>0</v>
      </c>
      <c r="AI33" s="88">
        <f>IF(COUNTIF(CAPA3_EXPANSION!$D$56:AI$56,"&gt;="&amp;26)=0,0,SUP_CONTROL!$C$8*IF($B33="V",1,IF($B33="D",(1+SUP_VOLUMEN!$C$26),(1+SUP_VOLUMEN!$C$27)))*INDEX(SUP_C3_EXPANSION!$C$6:$F$6,MIN(4,COUNTIF(CAPA3_EXPANSION!$D$56:AI$56,"&gt;="&amp;26)))*CAPA3_EXPANSION!AI$36)</f>
        <v>0</v>
      </c>
      <c r="AJ33" s="88">
        <f>IF(COUNTIF(CAPA3_EXPANSION!$D$56:AJ$56,"&gt;="&amp;26)=0,0,SUP_CONTROL!$C$8*IF($B33="V",1,IF($B33="D",(1+SUP_VOLUMEN!$C$26),(1+SUP_VOLUMEN!$C$27)))*INDEX(SUP_C3_EXPANSION!$C$6:$F$6,MIN(4,COUNTIF(CAPA3_EXPANSION!$D$56:AJ$56,"&gt;="&amp;26)))*CAPA3_EXPANSION!AJ$36)</f>
        <v>0</v>
      </c>
      <c r="AK33" s="88">
        <f>IF(COUNTIF(CAPA3_EXPANSION!$D$56:AK$56,"&gt;="&amp;26)=0,0,SUP_CONTROL!$C$8*IF($B33="V",1,IF($B33="D",(1+SUP_VOLUMEN!$C$26),(1+SUP_VOLUMEN!$C$27)))*INDEX(SUP_C3_EXPANSION!$C$6:$F$6,MIN(4,COUNTIF(CAPA3_EXPANSION!$D$56:AK$56,"&gt;="&amp;26)))*CAPA3_EXPANSION!AK$36)</f>
        <v>0</v>
      </c>
      <c r="AL33" s="88">
        <f>IF(COUNTIF(CAPA3_EXPANSION!$D$56:AL$56,"&gt;="&amp;26)=0,0,SUP_CONTROL!$C$8*IF($B33="V",1,IF($B33="D",(1+SUP_VOLUMEN!$C$26),(1+SUP_VOLUMEN!$C$27)))*INDEX(SUP_C3_EXPANSION!$C$6:$F$6,MIN(4,COUNTIF(CAPA3_EXPANSION!$D$56:AL$56,"&gt;="&amp;26)))*CAPA3_EXPANSION!AL$36)</f>
        <v>0</v>
      </c>
      <c r="AM33" s="88">
        <f>IF(COUNTIF(CAPA3_EXPANSION!$D$56:AM$56,"&gt;="&amp;26)=0,0,SUP_CONTROL!$C$8*IF($B33="V",1,IF($B33="D",(1+SUP_VOLUMEN!$C$26),(1+SUP_VOLUMEN!$C$27)))*INDEX(SUP_C3_EXPANSION!$C$6:$F$6,MIN(4,COUNTIF(CAPA3_EXPANSION!$D$56:AM$56,"&gt;="&amp;26)))*CAPA3_EXPANSION!AM$36)</f>
        <v>0</v>
      </c>
      <c r="AN33" s="88">
        <f>IF(COUNTIF(CAPA3_EXPANSION!$D$56:AN$56,"&gt;="&amp;26)=0,0,SUP_CONTROL!$C$8*IF($B33="V",1,IF($B33="D",(1+SUP_VOLUMEN!$C$26),(1+SUP_VOLUMEN!$C$27)))*INDEX(SUP_C3_EXPANSION!$C$6:$F$6,MIN(4,COUNTIF(CAPA3_EXPANSION!$D$56:AN$56,"&gt;="&amp;26)))*CAPA3_EXPANSION!AN$36)</f>
        <v>0</v>
      </c>
      <c r="AO33" s="88">
        <f>IF(COUNTIF(CAPA3_EXPANSION!$D$56:AO$56,"&gt;="&amp;26)=0,0,SUP_CONTROL!$C$8*IF($B33="V",1,IF($B33="D",(1+SUP_VOLUMEN!$C$26),(1+SUP_VOLUMEN!$C$27)))*INDEX(SUP_C3_EXPANSION!$C$6:$F$6,MIN(4,COUNTIF(CAPA3_EXPANSION!$D$56:AO$56,"&gt;="&amp;26)))*CAPA3_EXPANSION!AO$36)</f>
        <v>0</v>
      </c>
      <c r="AP33" s="88">
        <f>IF(COUNTIF(CAPA3_EXPANSION!$D$56:AP$56,"&gt;="&amp;26)=0,0,SUP_CONTROL!$C$8*IF($B33="V",1,IF($B33="D",(1+SUP_VOLUMEN!$C$26),(1+SUP_VOLUMEN!$C$27)))*INDEX(SUP_C3_EXPANSION!$C$6:$F$6,MIN(4,COUNTIF(CAPA3_EXPANSION!$D$56:AP$56,"&gt;="&amp;26)))*CAPA3_EXPANSION!AP$36)</f>
        <v>0</v>
      </c>
      <c r="AQ33" s="88">
        <f>IF(COUNTIF(CAPA3_EXPANSION!$D$56:AQ$56,"&gt;="&amp;26)=0,0,SUP_CONTROL!$C$8*IF($B33="V",1,IF($B33="D",(1+SUP_VOLUMEN!$C$26),(1+SUP_VOLUMEN!$C$27)))*INDEX(SUP_C3_EXPANSION!$C$6:$F$6,MIN(4,COUNTIF(CAPA3_EXPANSION!$D$56:AQ$56,"&gt;="&amp;26)))*CAPA3_EXPANSION!AQ$36)</f>
        <v>0</v>
      </c>
      <c r="AR33" s="88">
        <f>IF(COUNTIF(CAPA3_EXPANSION!$D$56:AR$56,"&gt;="&amp;26)=0,0,SUP_CONTROL!$C$8*IF($B33="V",1,IF($B33="D",(1+SUP_VOLUMEN!$C$26),(1+SUP_VOLUMEN!$C$27)))*INDEX(SUP_C3_EXPANSION!$C$6:$F$6,MIN(4,COUNTIF(CAPA3_EXPANSION!$D$56:AR$56,"&gt;="&amp;26)))*CAPA3_EXPANSION!AR$36)</f>
        <v>0</v>
      </c>
      <c r="AS33" s="88">
        <f>IF(COUNTIF(CAPA3_EXPANSION!$D$56:AS$56,"&gt;="&amp;26)=0,0,SUP_CONTROL!$C$8*IF($B33="V",1,IF($B33="D",(1+SUP_VOLUMEN!$C$26),(1+SUP_VOLUMEN!$C$27)))*INDEX(SUP_C3_EXPANSION!$C$6:$F$6,MIN(4,COUNTIF(CAPA3_EXPANSION!$D$56:AS$56,"&gt;="&amp;26)))*CAPA3_EXPANSION!AS$36)</f>
        <v>0</v>
      </c>
      <c r="AT33" s="88">
        <f>IF(COUNTIF(CAPA3_EXPANSION!$D$56:AT$56,"&gt;="&amp;26)=0,0,SUP_CONTROL!$C$8*IF($B33="V",1,IF($B33="D",(1+SUP_VOLUMEN!$C$26),(1+SUP_VOLUMEN!$C$27)))*INDEX(SUP_C3_EXPANSION!$C$6:$F$6,MIN(4,COUNTIF(CAPA3_EXPANSION!$D$56:AT$56,"&gt;="&amp;26)))*CAPA3_EXPANSION!AT$36)</f>
        <v>0</v>
      </c>
      <c r="AU33" s="88">
        <f>IF(COUNTIF(CAPA3_EXPANSION!$D$56:AU$56,"&gt;="&amp;26)=0,0,SUP_CONTROL!$C$8*IF($B33="V",1,IF($B33="D",(1+SUP_VOLUMEN!$C$26),(1+SUP_VOLUMEN!$C$27)))*INDEX(SUP_C3_EXPANSION!$C$6:$F$6,MIN(4,COUNTIF(CAPA3_EXPANSION!$D$56:AU$56,"&gt;="&amp;26)))*CAPA3_EXPANSION!AU$36)</f>
        <v>0</v>
      </c>
      <c r="AV33" s="88">
        <f>IF(COUNTIF(CAPA3_EXPANSION!$D$56:AV$56,"&gt;="&amp;26)=0,0,SUP_CONTROL!$C$8*IF($B33="V",1,IF($B33="D",(1+SUP_VOLUMEN!$C$26),(1+SUP_VOLUMEN!$C$27)))*INDEX(SUP_C3_EXPANSION!$C$6:$F$6,MIN(4,COUNTIF(CAPA3_EXPANSION!$D$56:AV$56,"&gt;="&amp;26)))*CAPA3_EXPANSION!AV$36)</f>
        <v>0</v>
      </c>
      <c r="AW33" s="88">
        <f>IF(COUNTIF(CAPA3_EXPANSION!$D$56:AW$56,"&gt;="&amp;26)=0,0,SUP_CONTROL!$C$8*IF($B33="V",1,IF($B33="D",(1+SUP_VOLUMEN!$C$26),(1+SUP_VOLUMEN!$C$27)))*INDEX(SUP_C3_EXPANSION!$C$6:$F$6,MIN(4,COUNTIF(CAPA3_EXPANSION!$D$56:AW$56,"&gt;="&amp;26)))*CAPA3_EXPANSION!AW$36)</f>
        <v>0</v>
      </c>
      <c r="AX33" s="88">
        <f>IF(COUNTIF(CAPA3_EXPANSION!$D$56:AX$56,"&gt;="&amp;26)=0,0,SUP_CONTROL!$C$8*IF($B33="V",1,IF($B33="D",(1+SUP_VOLUMEN!$C$26),(1+SUP_VOLUMEN!$C$27)))*INDEX(SUP_C3_EXPANSION!$C$6:$F$6,MIN(4,COUNTIF(CAPA3_EXPANSION!$D$56:AX$56,"&gt;="&amp;26)))*CAPA3_EXPANSION!AX$36)</f>
        <v>0</v>
      </c>
      <c r="AY33" s="88">
        <f>IF(COUNTIF(CAPA3_EXPANSION!$D$56:AY$56,"&gt;="&amp;26)=0,0,SUP_CONTROL!$C$8*IF($B33="V",1,IF($B33="D",(1+SUP_VOLUMEN!$C$26),(1+SUP_VOLUMEN!$C$27)))*INDEX(SUP_C3_EXPANSION!$C$6:$F$6,MIN(4,COUNTIF(CAPA3_EXPANSION!$D$56:AY$56,"&gt;="&amp;26)))*CAPA3_EXPANSION!AY$36)</f>
        <v>0</v>
      </c>
      <c r="AZ33" s="88">
        <f>IF(COUNTIF(CAPA3_EXPANSION!$D$56:AZ$56,"&gt;="&amp;26)=0,0,SUP_CONTROL!$C$8*IF($B33="V",1,IF($B33="D",(1+SUP_VOLUMEN!$C$26),(1+SUP_VOLUMEN!$C$27)))*INDEX(SUP_C3_EXPANSION!$C$6:$F$6,MIN(4,COUNTIF(CAPA3_EXPANSION!$D$56:AZ$56,"&gt;="&amp;26)))*CAPA3_EXPANSION!AZ$36)</f>
        <v>0</v>
      </c>
      <c r="BA33" s="88">
        <f>IF(COUNTIF(CAPA3_EXPANSION!$D$56:BA$56,"&gt;="&amp;26)=0,0,SUP_CONTROL!$C$8*IF($B33="V",1,IF($B33="D",(1+SUP_VOLUMEN!$C$26),(1+SUP_VOLUMEN!$C$27)))*INDEX(SUP_C3_EXPANSION!$C$6:$F$6,MIN(4,COUNTIF(CAPA3_EXPANSION!$D$56:BA$56,"&gt;="&amp;26)))*CAPA3_EXPANSION!BA$36)</f>
        <v>0</v>
      </c>
      <c r="BB33" s="88">
        <f>IF(COUNTIF(CAPA3_EXPANSION!$D$56:BB$56,"&gt;="&amp;26)=0,0,SUP_CONTROL!$C$8*IF($B33="V",1,IF($B33="D",(1+SUP_VOLUMEN!$C$26),(1+SUP_VOLUMEN!$C$27)))*INDEX(SUP_C3_EXPANSION!$C$6:$F$6,MIN(4,COUNTIF(CAPA3_EXPANSION!$D$56:BB$56,"&gt;="&amp;26)))*CAPA3_EXPANSION!BB$36)</f>
        <v>0</v>
      </c>
      <c r="BC33" s="88">
        <f>IF(COUNTIF(CAPA3_EXPANSION!$D$56:BC$56,"&gt;="&amp;26)=0,0,SUP_CONTROL!$C$8*IF($B33="V",1,IF($B33="D",(1+SUP_VOLUMEN!$C$26),(1+SUP_VOLUMEN!$C$27)))*INDEX(SUP_C3_EXPANSION!$C$6:$F$6,MIN(4,COUNTIF(CAPA3_EXPANSION!$D$56:BC$56,"&gt;="&amp;26)))*CAPA3_EXPANSION!BC$36)</f>
        <v>0</v>
      </c>
      <c r="BD33" s="88">
        <f>IF(COUNTIF(CAPA3_EXPANSION!$D$56:BD$56,"&gt;="&amp;26)=0,0,SUP_CONTROL!$C$8*IF($B33="V",1,IF($B33="D",(1+SUP_VOLUMEN!$C$26),(1+SUP_VOLUMEN!$C$27)))*INDEX(SUP_C3_EXPANSION!$C$6:$F$6,MIN(4,COUNTIF(CAPA3_EXPANSION!$D$56:BD$56,"&gt;="&amp;26)))*CAPA3_EXPANSION!BD$36)</f>
        <v>0</v>
      </c>
      <c r="BE33" s="88">
        <f>IF(COUNTIF(CAPA3_EXPANSION!$D$56:BE$56,"&gt;="&amp;26)=0,0,SUP_CONTROL!$C$8*IF($B33="V",1,IF($B33="D",(1+SUP_VOLUMEN!$C$26),(1+SUP_VOLUMEN!$C$27)))*INDEX(SUP_C3_EXPANSION!$C$6:$F$6,MIN(4,COUNTIF(CAPA3_EXPANSION!$D$56:BE$56,"&gt;="&amp;26)))*CAPA3_EXPANSION!BE$36)</f>
        <v>0</v>
      </c>
      <c r="BF33" s="88">
        <f>IF(COUNTIF(CAPA3_EXPANSION!$D$56:BF$56,"&gt;="&amp;26)=0,0,SUP_CONTROL!$C$8*IF($B33="V",1,IF($B33="D",(1+SUP_VOLUMEN!$C$26),(1+SUP_VOLUMEN!$C$27)))*INDEX(SUP_C3_EXPANSION!$C$6:$F$6,MIN(4,COUNTIF(CAPA3_EXPANSION!$D$56:BF$56,"&gt;="&amp;26)))*CAPA3_EXPANSION!BF$36)</f>
        <v>0</v>
      </c>
      <c r="BG33" s="88">
        <f>IF(COUNTIF(CAPA3_EXPANSION!$D$56:BG$56,"&gt;="&amp;26)=0,0,SUP_CONTROL!$C$8*IF($B33="V",1,IF($B33="D",(1+SUP_VOLUMEN!$C$26),(1+SUP_VOLUMEN!$C$27)))*INDEX(SUP_C3_EXPANSION!$C$6:$F$6,MIN(4,COUNTIF(CAPA3_EXPANSION!$D$56:BG$56,"&gt;="&amp;26)))*CAPA3_EXPANSION!BG$36)</f>
        <v>0</v>
      </c>
      <c r="BH33" s="88">
        <f>IF(COUNTIF(CAPA3_EXPANSION!$D$56:BH$56,"&gt;="&amp;26)=0,0,SUP_CONTROL!$C$8*IF($B33="V",1,IF($B33="D",(1+SUP_VOLUMEN!$C$26),(1+SUP_VOLUMEN!$C$27)))*INDEX(SUP_C3_EXPANSION!$C$6:$F$6,MIN(4,COUNTIF(CAPA3_EXPANSION!$D$56:BH$56,"&gt;="&amp;26)))*CAPA3_EXPANSION!BH$36)</f>
        <v>0</v>
      </c>
      <c r="BI33" s="88">
        <f>IF(COUNTIF(CAPA3_EXPANSION!$D$56:BI$56,"&gt;="&amp;26)=0,0,SUP_CONTROL!$C$8*IF($B33="V",1,IF($B33="D",(1+SUP_VOLUMEN!$C$26),(1+SUP_VOLUMEN!$C$27)))*INDEX(SUP_C3_EXPANSION!$C$6:$F$6,MIN(4,COUNTIF(CAPA3_EXPANSION!$D$56:BI$56,"&gt;="&amp;26)))*CAPA3_EXPANSION!BI$36)</f>
        <v>0</v>
      </c>
      <c r="BJ33" s="88">
        <f>IF(COUNTIF(CAPA3_EXPANSION!$D$56:BJ$56,"&gt;="&amp;26)=0,0,SUP_CONTROL!$C$8*IF($B33="V",1,IF($B33="D",(1+SUP_VOLUMEN!$C$26),(1+SUP_VOLUMEN!$C$27)))*INDEX(SUP_C3_EXPANSION!$C$6:$F$6,MIN(4,COUNTIF(CAPA3_EXPANSION!$D$56:BJ$56,"&gt;="&amp;26)))*CAPA3_EXPANSION!BJ$36)</f>
        <v>0</v>
      </c>
      <c r="BK33" s="88">
        <f>IF(COUNTIF(CAPA3_EXPANSION!$D$56:BK$56,"&gt;="&amp;26)=0,0,SUP_CONTROL!$C$8*IF($B33="V",1,IF($B33="D",(1+SUP_VOLUMEN!$C$26),(1+SUP_VOLUMEN!$C$27)))*INDEX(SUP_C3_EXPANSION!$C$6:$F$6,MIN(4,COUNTIF(CAPA3_EXPANSION!$D$56:BK$56,"&gt;="&amp;26)))*CAPA3_EXPANSION!BK$36)</f>
        <v>0</v>
      </c>
      <c r="BL33" s="88">
        <f>IF(COUNTIF(CAPA3_EXPANSION!$D$56:BL$56,"&gt;="&amp;26)=0,0,SUP_CONTROL!$C$8*IF($B33="V",1,IF($B33="D",(1+SUP_VOLUMEN!$C$26),(1+SUP_VOLUMEN!$C$27)))*INDEX(SUP_C3_EXPANSION!$C$6:$F$6,MIN(4,COUNTIF(CAPA3_EXPANSION!$D$56:BL$56,"&gt;="&amp;26)))*CAPA3_EXPANSION!BL$36)</f>
        <v>0</v>
      </c>
      <c r="BM33" s="88">
        <f>IF(COUNTIF(CAPA3_EXPANSION!$D$56:BM$56,"&gt;="&amp;26)=0,0,SUP_CONTROL!$C$8*IF($B33="V",1,IF($B33="D",(1+SUP_VOLUMEN!$C$26),(1+SUP_VOLUMEN!$C$27)))*INDEX(SUP_C3_EXPANSION!$C$6:$F$6,MIN(4,COUNTIF(CAPA3_EXPANSION!$D$56:BM$56,"&gt;="&amp;26)))*CAPA3_EXPANSION!BM$36)</f>
        <v>0</v>
      </c>
      <c r="BN33" s="88">
        <f>IF(COUNTIF(CAPA3_EXPANSION!$D$56:BN$56,"&gt;="&amp;26)=0,0,SUP_CONTROL!$C$8*IF($B33="V",1,IF($B33="D",(1+SUP_VOLUMEN!$C$26),(1+SUP_VOLUMEN!$C$27)))*INDEX(SUP_C3_EXPANSION!$C$6:$F$6,MIN(4,COUNTIF(CAPA3_EXPANSION!$D$56:BN$56,"&gt;="&amp;26)))*CAPA3_EXPANSION!BN$36)</f>
        <v>0</v>
      </c>
      <c r="BO33" s="88">
        <f>IF(COUNTIF(CAPA3_EXPANSION!$D$56:BO$56,"&gt;="&amp;26)=0,0,SUP_CONTROL!$C$8*IF($B33="V",1,IF($B33="D",(1+SUP_VOLUMEN!$C$26),(1+SUP_VOLUMEN!$C$27)))*INDEX(SUP_C3_EXPANSION!$C$6:$F$6,MIN(4,COUNTIF(CAPA3_EXPANSION!$D$56:BO$56,"&gt;="&amp;26)))*CAPA3_EXPANSION!BO$36)</f>
        <v>1925.9240000000002</v>
      </c>
      <c r="BP33" s="88">
        <f>IF(COUNTIF(CAPA3_EXPANSION!$D$56:BP$56,"&gt;="&amp;26)=0,0,SUP_CONTROL!$C$8*IF($B33="V",1,IF($B33="D",(1+SUP_VOLUMEN!$C$26),(1+SUP_VOLUMEN!$C$27)))*INDEX(SUP_C3_EXPANSION!$C$6:$F$6,MIN(4,COUNTIF(CAPA3_EXPANSION!$D$56:BP$56,"&gt;="&amp;26)))*CAPA3_EXPANSION!BP$36)</f>
        <v>2329.9640000000004</v>
      </c>
      <c r="BQ33" s="88">
        <f>IF(COUNTIF(CAPA3_EXPANSION!$D$56:BQ$56,"&gt;="&amp;26)=0,0,SUP_CONTROL!$C$8*IF($B33="V",1,IF($B33="D",(1+SUP_VOLUMEN!$C$26),(1+SUP_VOLUMEN!$C$27)))*INDEX(SUP_C3_EXPANSION!$C$6:$F$6,MIN(4,COUNTIF(CAPA3_EXPANSION!$D$56:BQ$56,"&gt;="&amp;26)))*CAPA3_EXPANSION!BQ$36)</f>
        <v>2621.2094999999999</v>
      </c>
      <c r="BR33" s="88">
        <f>IF(COUNTIF(CAPA3_EXPANSION!$D$56:BR$56,"&gt;="&amp;26)=0,0,SUP_CONTROL!$C$8*IF($B33="V",1,IF($B33="D",(1+SUP_VOLUMEN!$C$26),(1+SUP_VOLUMEN!$C$27)))*INDEX(SUP_C3_EXPANSION!$C$6:$F$6,MIN(4,COUNTIF(CAPA3_EXPANSION!$D$56:BR$56,"&gt;="&amp;26)))*CAPA3_EXPANSION!BR$36)</f>
        <v>2912.4549999999999</v>
      </c>
      <c r="BS33" s="88">
        <f>IF(COUNTIF(CAPA3_EXPANSION!$D$56:BS$56,"&gt;="&amp;26)=0,0,SUP_CONTROL!$C$8*IF($B33="V",1,IF($B33="D",(1+SUP_VOLUMEN!$C$26),(1+SUP_VOLUMEN!$C$27)))*INDEX(SUP_C3_EXPANSION!$C$6:$F$6,MIN(4,COUNTIF(CAPA3_EXPANSION!$D$56:BS$56,"&gt;="&amp;26)))*CAPA3_EXPANSION!BS$36)</f>
        <v>2912.4549999999999</v>
      </c>
      <c r="BT33" s="88">
        <f>IF(COUNTIF(CAPA3_EXPANSION!$D$56:BT$56,"&gt;="&amp;26)=0,0,SUP_CONTROL!$C$8*IF($B33="V",1,IF($B33="D",(1+SUP_VOLUMEN!$C$26),(1+SUP_VOLUMEN!$C$27)))*INDEX(SUP_C3_EXPANSION!$C$6:$F$6,MIN(4,COUNTIF(CAPA3_EXPANSION!$D$56:BT$56,"&gt;="&amp;26)))*CAPA3_EXPANSION!BT$36)</f>
        <v>2912.4549999999999</v>
      </c>
      <c r="BU33" s="88">
        <f>IF(COUNTIF(CAPA3_EXPANSION!$D$56:BU$56,"&gt;="&amp;26)=0,0,SUP_CONTROL!$C$8*IF($B33="V",1,IF($B33="D",(1+SUP_VOLUMEN!$C$26),(1+SUP_VOLUMEN!$C$27)))*INDEX(SUP_C3_EXPANSION!$C$6:$F$6,MIN(4,COUNTIF(CAPA3_EXPANSION!$D$56:BU$56,"&gt;="&amp;26)))*CAPA3_EXPANSION!BU$36)</f>
        <v>2861.95</v>
      </c>
      <c r="BV33" s="88">
        <f>IF(COUNTIF(CAPA3_EXPANSION!$D$56:BV$56,"&gt;="&amp;26)=0,0,SUP_CONTROL!$C$8*IF($B33="V",1,IF($B33="D",(1+SUP_VOLUMEN!$C$26),(1+SUP_VOLUMEN!$C$27)))*INDEX(SUP_C3_EXPANSION!$C$6:$F$6,MIN(4,COUNTIF(CAPA3_EXPANSION!$D$56:BV$56,"&gt;="&amp;26)))*CAPA3_EXPANSION!BV$36)</f>
        <v>2861.95</v>
      </c>
      <c r="BW33" s="88">
        <f>IF(COUNTIF(CAPA3_EXPANSION!$D$56:BW$56,"&gt;="&amp;26)=0,0,SUP_CONTROL!$C$8*IF($B33="V",1,IF($B33="D",(1+SUP_VOLUMEN!$C$26),(1+SUP_VOLUMEN!$C$27)))*INDEX(SUP_C3_EXPANSION!$C$6:$F$6,MIN(4,COUNTIF(CAPA3_EXPANSION!$D$56:BW$56,"&gt;="&amp;26)))*CAPA3_EXPANSION!BW$36)</f>
        <v>2861.95</v>
      </c>
      <c r="BX33" s="88">
        <f>IF(COUNTIF(CAPA3_EXPANSION!$D$56:BX$56,"&gt;="&amp;26)=0,0,SUP_CONTROL!$C$8*IF($B33="V",1,IF($B33="D",(1+SUP_VOLUMEN!$C$26),(1+SUP_VOLUMEN!$C$27)))*INDEX(SUP_C3_EXPANSION!$C$6:$F$6,MIN(4,COUNTIF(CAPA3_EXPANSION!$D$56:BX$56,"&gt;="&amp;26)))*CAPA3_EXPANSION!BX$36)</f>
        <v>2861.95</v>
      </c>
      <c r="BY33" s="88">
        <f>IF(COUNTIF(CAPA3_EXPANSION!$D$56:BY$56,"&gt;="&amp;26)=0,0,SUP_CONTROL!$C$8*IF($B33="V",1,IF($B33="D",(1+SUP_VOLUMEN!$C$26),(1+SUP_VOLUMEN!$C$27)))*INDEX(SUP_C3_EXPANSION!$C$6:$F$6,MIN(4,COUNTIF(CAPA3_EXPANSION!$D$56:BY$56,"&gt;="&amp;26)))*CAPA3_EXPANSION!BY$36)</f>
        <v>2861.95</v>
      </c>
      <c r="BZ33" s="88">
        <f>IF(COUNTIF(CAPA3_EXPANSION!$D$56:BZ$56,"&gt;="&amp;26)=0,0,SUP_CONTROL!$C$8*IF($B33="V",1,IF($B33="D",(1+SUP_VOLUMEN!$C$26),(1+SUP_VOLUMEN!$C$27)))*INDEX(SUP_C3_EXPANSION!$C$6:$F$6,MIN(4,COUNTIF(CAPA3_EXPANSION!$D$56:BZ$56,"&gt;="&amp;26)))*CAPA3_EXPANSION!BZ$36)</f>
        <v>2828.2799999999997</v>
      </c>
      <c r="CA33" s="88">
        <f>IF(COUNTIF(CAPA3_EXPANSION!$D$56:CA$56,"&gt;="&amp;26)=0,0,SUP_CONTROL!$C$8*IF($B33="V",1,IF($B33="D",(1+SUP_VOLUMEN!$C$26),(1+SUP_VOLUMEN!$C$27)))*INDEX(SUP_C3_EXPANSION!$C$6:$F$6,MIN(4,COUNTIF(CAPA3_EXPANSION!$D$56:CA$56,"&gt;="&amp;26)))*CAPA3_EXPANSION!CA$36)</f>
        <v>2828.2799999999997</v>
      </c>
      <c r="CB33" s="88">
        <f>IF(COUNTIF(CAPA3_EXPANSION!$D$56:CB$56,"&gt;="&amp;26)=0,0,SUP_CONTROL!$C$8*IF($B33="V",1,IF($B33="D",(1+SUP_VOLUMEN!$C$26),(1+SUP_VOLUMEN!$C$27)))*INDEX(SUP_C3_EXPANSION!$C$6:$F$6,MIN(4,COUNTIF(CAPA3_EXPANSION!$D$56:CB$56,"&gt;="&amp;26)))*CAPA3_EXPANSION!CB$36)</f>
        <v>2828.2799999999997</v>
      </c>
      <c r="CC33" s="88">
        <f>IF(COUNTIF(CAPA3_EXPANSION!$D$56:CC$56,"&gt;="&amp;26)=0,0,SUP_CONTROL!$C$8*IF($B33="V",1,IF($B33="D",(1+SUP_VOLUMEN!$C$26),(1+SUP_VOLUMEN!$C$27)))*INDEX(SUP_C3_EXPANSION!$C$6:$F$6,MIN(4,COUNTIF(CAPA3_EXPANSION!$D$56:CC$56,"&gt;="&amp;26)))*CAPA3_EXPANSION!CC$36)</f>
        <v>2828.2799999999997</v>
      </c>
      <c r="CD33" s="88">
        <f>IF(COUNTIF(CAPA3_EXPANSION!$D$56:CD$56,"&gt;="&amp;26)=0,0,SUP_CONTROL!$C$8*IF($B33="V",1,IF($B33="D",(1+SUP_VOLUMEN!$C$26),(1+SUP_VOLUMEN!$C$27)))*INDEX(SUP_C3_EXPANSION!$C$6:$F$6,MIN(4,COUNTIF(CAPA3_EXPANSION!$D$56:CD$56,"&gt;="&amp;26)))*CAPA3_EXPANSION!CD$36)</f>
        <v>2828.2799999999997</v>
      </c>
      <c r="CE33" s="88">
        <f>IF(COUNTIF(CAPA3_EXPANSION!$D$56:CE$56,"&gt;="&amp;26)=0,0,SUP_CONTROL!$C$8*IF($B33="V",1,IF($B33="D",(1+SUP_VOLUMEN!$C$26),(1+SUP_VOLUMEN!$C$27)))*INDEX(SUP_C3_EXPANSION!$C$6:$F$6,MIN(4,COUNTIF(CAPA3_EXPANSION!$D$56:CE$56,"&gt;="&amp;26)))*CAPA3_EXPANSION!CE$36)</f>
        <v>2828.2799999999997</v>
      </c>
      <c r="CF33" s="88">
        <f>IF(COUNTIF(CAPA3_EXPANSION!$D$56:CF$56,"&gt;="&amp;26)=0,0,SUP_CONTROL!$C$8*IF($B33="V",1,IF($B33="D",(1+SUP_VOLUMEN!$C$26),(1+SUP_VOLUMEN!$C$27)))*INDEX(SUP_C3_EXPANSION!$C$6:$F$6,MIN(4,COUNTIF(CAPA3_EXPANSION!$D$56:CF$56,"&gt;="&amp;26)))*CAPA3_EXPANSION!CF$36)</f>
        <v>2828.2799999999997</v>
      </c>
      <c r="CG33" s="88">
        <f>IF(COUNTIF(CAPA3_EXPANSION!$D$56:CG$56,"&gt;="&amp;26)=0,0,SUP_CONTROL!$C$8*IF($B33="V",1,IF($B33="D",(1+SUP_VOLUMEN!$C$26),(1+SUP_VOLUMEN!$C$27)))*INDEX(SUP_C3_EXPANSION!$C$6:$F$6,MIN(4,COUNTIF(CAPA3_EXPANSION!$D$56:CG$56,"&gt;="&amp;26)))*CAPA3_EXPANSION!CG$36)</f>
        <v>2828.2799999999997</v>
      </c>
      <c r="CH33" s="88">
        <f>IF(COUNTIF(CAPA3_EXPANSION!$D$56:CH$56,"&gt;="&amp;26)=0,0,SUP_CONTROL!$C$8*IF($B33="V",1,IF($B33="D",(1+SUP_VOLUMEN!$C$26),(1+SUP_VOLUMEN!$C$27)))*INDEX(SUP_C3_EXPANSION!$C$6:$F$6,MIN(4,COUNTIF(CAPA3_EXPANSION!$D$56:CH$56,"&gt;="&amp;26)))*CAPA3_EXPANSION!CH$36)</f>
        <v>2828.2799999999997</v>
      </c>
      <c r="CI33" s="88">
        <f>IF(COUNTIF(CAPA3_EXPANSION!$D$56:CI$56,"&gt;="&amp;26)=0,0,SUP_CONTROL!$C$8*IF($B33="V",1,IF($B33="D",(1+SUP_VOLUMEN!$C$26),(1+SUP_VOLUMEN!$C$27)))*INDEX(SUP_C3_EXPANSION!$C$6:$F$6,MIN(4,COUNTIF(CAPA3_EXPANSION!$D$56:CI$56,"&gt;="&amp;26)))*CAPA3_EXPANSION!CI$36)</f>
        <v>2828.2799999999997</v>
      </c>
      <c r="CJ33" s="88">
        <f>IF(COUNTIF(CAPA3_EXPANSION!$D$56:CJ$56,"&gt;="&amp;26)=0,0,SUP_CONTROL!$C$8*IF($B33="V",1,IF($B33="D",(1+SUP_VOLUMEN!$C$26),(1+SUP_VOLUMEN!$C$27)))*INDEX(SUP_C3_EXPANSION!$C$6:$F$6,MIN(4,COUNTIF(CAPA3_EXPANSION!$D$56:CJ$56,"&gt;="&amp;26)))*CAPA3_EXPANSION!CJ$36)</f>
        <v>2828.2799999999997</v>
      </c>
      <c r="CK33" s="88">
        <f>IF(COUNTIF(CAPA3_EXPANSION!$D$56:CK$56,"&gt;="&amp;26)=0,0,SUP_CONTROL!$C$8*IF($B33="V",1,IF($B33="D",(1+SUP_VOLUMEN!$C$26),(1+SUP_VOLUMEN!$C$27)))*INDEX(SUP_C3_EXPANSION!$C$6:$F$6,MIN(4,COUNTIF(CAPA3_EXPANSION!$D$56:CK$56,"&gt;="&amp;26)))*CAPA3_EXPANSION!CK$36)</f>
        <v>2828.2799999999997</v>
      </c>
      <c r="CL33" s="88">
        <f>IF(COUNTIF(CAPA3_EXPANSION!$D$56:CL$56,"&gt;="&amp;26)=0,0,SUP_CONTROL!$C$8*IF($B33="V",1,IF($B33="D",(1+SUP_VOLUMEN!$C$26),(1+SUP_VOLUMEN!$C$27)))*INDEX(SUP_C3_EXPANSION!$C$6:$F$6,MIN(4,COUNTIF(CAPA3_EXPANSION!$D$56:CL$56,"&gt;="&amp;26)))*CAPA3_EXPANSION!CL$36)</f>
        <v>2828.2799999999997</v>
      </c>
      <c r="CM33" s="88">
        <f>IF(COUNTIF(CAPA3_EXPANSION!$D$56:CM$56,"&gt;="&amp;26)=0,0,SUP_CONTROL!$C$8*IF($B33="V",1,IF($B33="D",(1+SUP_VOLUMEN!$C$26),(1+SUP_VOLUMEN!$C$27)))*INDEX(SUP_C3_EXPANSION!$C$6:$F$6,MIN(4,COUNTIF(CAPA3_EXPANSION!$D$56:CM$56,"&gt;="&amp;26)))*CAPA3_EXPANSION!CM$36)</f>
        <v>2828.2799999999997</v>
      </c>
      <c r="CN33" s="88">
        <f>IF(COUNTIF(CAPA3_EXPANSION!$D$56:CN$56,"&gt;="&amp;26)=0,0,SUP_CONTROL!$C$8*IF($B33="V",1,IF($B33="D",(1+SUP_VOLUMEN!$C$26),(1+SUP_VOLUMEN!$C$27)))*INDEX(SUP_C3_EXPANSION!$C$6:$F$6,MIN(4,COUNTIF(CAPA3_EXPANSION!$D$56:CN$56,"&gt;="&amp;26)))*CAPA3_EXPANSION!CN$36)</f>
        <v>2828.2799999999997</v>
      </c>
      <c r="CO33" s="88">
        <f>IF(COUNTIF(CAPA3_EXPANSION!$D$56:CO$56,"&gt;="&amp;26)=0,0,SUP_CONTROL!$C$8*IF($B33="V",1,IF($B33="D",(1+SUP_VOLUMEN!$C$26),(1+SUP_VOLUMEN!$C$27)))*INDEX(SUP_C3_EXPANSION!$C$6:$F$6,MIN(4,COUNTIF(CAPA3_EXPANSION!$D$56:CO$56,"&gt;="&amp;26)))*CAPA3_EXPANSION!CO$36)</f>
        <v>2828.2799999999997</v>
      </c>
      <c r="CP33" s="88">
        <f>IF(COUNTIF(CAPA3_EXPANSION!$D$56:CP$56,"&gt;="&amp;26)=0,0,SUP_CONTROL!$C$8*IF($B33="V",1,IF($B33="D",(1+SUP_VOLUMEN!$C$26),(1+SUP_VOLUMEN!$C$27)))*INDEX(SUP_C3_EXPANSION!$C$6:$F$6,MIN(4,COUNTIF(CAPA3_EXPANSION!$D$56:CP$56,"&gt;="&amp;26)))*CAPA3_EXPANSION!CP$36)</f>
        <v>2828.2799999999997</v>
      </c>
      <c r="CQ33" s="88">
        <f>IF(COUNTIF(CAPA3_EXPANSION!$D$56:CQ$56,"&gt;="&amp;26)=0,0,SUP_CONTROL!$C$8*IF($B33="V",1,IF($B33="D",(1+SUP_VOLUMEN!$C$26),(1+SUP_VOLUMEN!$C$27)))*INDEX(SUP_C3_EXPANSION!$C$6:$F$6,MIN(4,COUNTIF(CAPA3_EXPANSION!$D$56:CQ$56,"&gt;="&amp;26)))*CAPA3_EXPANSION!CQ$36)</f>
        <v>2828.2799999999997</v>
      </c>
      <c r="CR33" s="88">
        <f>IF(COUNTIF(CAPA3_EXPANSION!$D$56:CR$56,"&gt;="&amp;26)=0,0,SUP_CONTROL!$C$8*IF($B33="V",1,IF($B33="D",(1+SUP_VOLUMEN!$C$26),(1+SUP_VOLUMEN!$C$27)))*INDEX(SUP_C3_EXPANSION!$C$6:$F$6,MIN(4,COUNTIF(CAPA3_EXPANSION!$D$56:CR$56,"&gt;="&amp;26)))*CAPA3_EXPANSION!CR$36)</f>
        <v>2828.2799999999997</v>
      </c>
      <c r="CS33" s="88">
        <f>IF(COUNTIF(CAPA3_EXPANSION!$D$56:CS$56,"&gt;="&amp;26)=0,0,SUP_CONTROL!$C$8*IF($B33="V",1,IF($B33="D",(1+SUP_VOLUMEN!$C$26),(1+SUP_VOLUMEN!$C$27)))*INDEX(SUP_C3_EXPANSION!$C$6:$F$6,MIN(4,COUNTIF(CAPA3_EXPANSION!$D$56:CS$56,"&gt;="&amp;26)))*CAPA3_EXPANSION!CS$36)</f>
        <v>2828.2799999999997</v>
      </c>
      <c r="CT33" s="88">
        <f>IF(COUNTIF(CAPA3_EXPANSION!$D$56:CT$56,"&gt;="&amp;26)=0,0,SUP_CONTROL!$C$8*IF($B33="V",1,IF($B33="D",(1+SUP_VOLUMEN!$C$26),(1+SUP_VOLUMEN!$C$27)))*INDEX(SUP_C3_EXPANSION!$C$6:$F$6,MIN(4,COUNTIF(CAPA3_EXPANSION!$D$56:CT$56,"&gt;="&amp;26)))*CAPA3_EXPANSION!CT$36)</f>
        <v>2828.2799999999997</v>
      </c>
      <c r="CU33" s="88">
        <f>IF(COUNTIF(CAPA3_EXPANSION!$D$56:CU$56,"&gt;="&amp;26)=0,0,SUP_CONTROL!$C$8*IF($B33="V",1,IF($B33="D",(1+SUP_VOLUMEN!$C$26),(1+SUP_VOLUMEN!$C$27)))*INDEX(SUP_C3_EXPANSION!$C$6:$F$6,MIN(4,COUNTIF(CAPA3_EXPANSION!$D$56:CU$56,"&gt;="&amp;26)))*CAPA3_EXPANSION!CU$36)</f>
        <v>2828.2799999999997</v>
      </c>
      <c r="CV33" s="88">
        <f>IF(COUNTIF(CAPA3_EXPANSION!$D$56:CV$56,"&gt;="&amp;26)=0,0,SUP_CONTROL!$C$8*IF($B33="V",1,IF($B33="D",(1+SUP_VOLUMEN!$C$26),(1+SUP_VOLUMEN!$C$27)))*INDEX(SUP_C3_EXPANSION!$C$6:$F$6,MIN(4,COUNTIF(CAPA3_EXPANSION!$D$56:CV$56,"&gt;="&amp;26)))*CAPA3_EXPANSION!CV$36)</f>
        <v>2828.2799999999997</v>
      </c>
      <c r="CW33" s="88">
        <f>IF(COUNTIF(CAPA3_EXPANSION!$D$56:CW$56,"&gt;="&amp;26)=0,0,SUP_CONTROL!$C$8*IF($B33="V",1,IF($B33="D",(1+SUP_VOLUMEN!$C$26),(1+SUP_VOLUMEN!$C$27)))*INDEX(SUP_C3_EXPANSION!$C$6:$F$6,MIN(4,COUNTIF(CAPA3_EXPANSION!$D$56:CW$56,"&gt;="&amp;26)))*CAPA3_EXPANSION!CW$36)</f>
        <v>2828.2799999999997</v>
      </c>
      <c r="CX33" s="88">
        <f>IF(COUNTIF(CAPA3_EXPANSION!$D$56:CX$56,"&gt;="&amp;26)=0,0,SUP_CONTROL!$C$8*IF($B33="V",1,IF($B33="D",(1+SUP_VOLUMEN!$C$26),(1+SUP_VOLUMEN!$C$27)))*INDEX(SUP_C3_EXPANSION!$C$6:$F$6,MIN(4,COUNTIF(CAPA3_EXPANSION!$D$56:CX$56,"&gt;="&amp;26)))*CAPA3_EXPANSION!CX$36)</f>
        <v>2828.2799999999997</v>
      </c>
      <c r="CY33" s="88">
        <f>IF(COUNTIF(CAPA3_EXPANSION!$D$56:CY$56,"&gt;="&amp;26)=0,0,SUP_CONTROL!$C$8*IF($B33="V",1,IF($B33="D",(1+SUP_VOLUMEN!$C$26),(1+SUP_VOLUMEN!$C$27)))*INDEX(SUP_C3_EXPANSION!$C$6:$F$6,MIN(4,COUNTIF(CAPA3_EXPANSION!$D$56:CY$56,"&gt;="&amp;26)))*CAPA3_EXPANSION!CY$36)</f>
        <v>2828.2799999999997</v>
      </c>
      <c r="CZ33" s="88">
        <f>IF(COUNTIF(CAPA3_EXPANSION!$D$56:CZ$56,"&gt;="&amp;26)=0,0,SUP_CONTROL!$C$8*IF($B33="V",1,IF($B33="D",(1+SUP_VOLUMEN!$C$26),(1+SUP_VOLUMEN!$C$27)))*INDEX(SUP_C3_EXPANSION!$C$6:$F$6,MIN(4,COUNTIF(CAPA3_EXPANSION!$D$56:CZ$56,"&gt;="&amp;26)))*CAPA3_EXPANSION!CZ$36)</f>
        <v>2828.2799999999997</v>
      </c>
      <c r="DA33" s="88">
        <f>IF(COUNTIF(CAPA3_EXPANSION!$D$56:DA$56,"&gt;="&amp;26)=0,0,SUP_CONTROL!$C$8*IF($B33="V",1,IF($B33="D",(1+SUP_VOLUMEN!$C$26),(1+SUP_VOLUMEN!$C$27)))*INDEX(SUP_C3_EXPANSION!$C$6:$F$6,MIN(4,COUNTIF(CAPA3_EXPANSION!$D$56:DA$56,"&gt;="&amp;26)))*CAPA3_EXPANSION!DA$36)</f>
        <v>2828.2799999999997</v>
      </c>
      <c r="DB33" s="88">
        <f>IF(COUNTIF(CAPA3_EXPANSION!$D$56:DB$56,"&gt;="&amp;26)=0,0,SUP_CONTROL!$C$8*IF($B33="V",1,IF($B33="D",(1+SUP_VOLUMEN!$C$26),(1+SUP_VOLUMEN!$C$27)))*INDEX(SUP_C3_EXPANSION!$C$6:$F$6,MIN(4,COUNTIF(CAPA3_EXPANSION!$D$56:DB$56,"&gt;="&amp;26)))*CAPA3_EXPANSION!DB$36)</f>
        <v>2828.2799999999997</v>
      </c>
      <c r="DC33" s="88">
        <f>IF(COUNTIF(CAPA3_EXPANSION!$D$56:DC$56,"&gt;="&amp;26)=0,0,SUP_CONTROL!$C$8*IF($B33="V",1,IF($B33="D",(1+SUP_VOLUMEN!$C$26),(1+SUP_VOLUMEN!$C$27)))*INDEX(SUP_C3_EXPANSION!$C$6:$F$6,MIN(4,COUNTIF(CAPA3_EXPANSION!$D$56:DC$56,"&gt;="&amp;26)))*CAPA3_EXPANSION!DC$36)</f>
        <v>2828.2799999999997</v>
      </c>
      <c r="DD33" s="88">
        <f>IF(COUNTIF(CAPA3_EXPANSION!$D$56:DD$56,"&gt;="&amp;26)=0,0,SUP_CONTROL!$C$8*IF($B33="V",1,IF($B33="D",(1+SUP_VOLUMEN!$C$26),(1+SUP_VOLUMEN!$C$27)))*INDEX(SUP_C3_EXPANSION!$C$6:$F$6,MIN(4,COUNTIF(CAPA3_EXPANSION!$D$56:DD$56,"&gt;="&amp;26)))*CAPA3_EXPANSION!DD$36)</f>
        <v>2828.2799999999997</v>
      </c>
      <c r="DE33" s="88">
        <f>IF(COUNTIF(CAPA3_EXPANSION!$D$56:DE$56,"&gt;="&amp;26)=0,0,SUP_CONTROL!$C$8*IF($B33="V",1,IF($B33="D",(1+SUP_VOLUMEN!$C$26),(1+SUP_VOLUMEN!$C$27)))*INDEX(SUP_C3_EXPANSION!$C$6:$F$6,MIN(4,COUNTIF(CAPA3_EXPANSION!$D$56:DE$56,"&gt;="&amp;26)))*CAPA3_EXPANSION!DE$36)</f>
        <v>2828.2799999999997</v>
      </c>
      <c r="DF33" s="88">
        <f>IF(COUNTIF(CAPA3_EXPANSION!$D$56:DF$56,"&gt;="&amp;26)=0,0,SUP_CONTROL!$C$8*IF($B33="V",1,IF($B33="D",(1+SUP_VOLUMEN!$C$26),(1+SUP_VOLUMEN!$C$27)))*INDEX(SUP_C3_EXPANSION!$C$6:$F$6,MIN(4,COUNTIF(CAPA3_EXPANSION!$D$56:DF$56,"&gt;="&amp;26)))*CAPA3_EXPANSION!DF$36)</f>
        <v>2828.2799999999997</v>
      </c>
      <c r="DG33" s="88">
        <f>IF(COUNTIF(CAPA3_EXPANSION!$D$56:DG$56,"&gt;="&amp;26)=0,0,SUP_CONTROL!$C$8*IF($B33="V",1,IF($B33="D",(1+SUP_VOLUMEN!$C$26),(1+SUP_VOLUMEN!$C$27)))*INDEX(SUP_C3_EXPANSION!$C$6:$F$6,MIN(4,COUNTIF(CAPA3_EXPANSION!$D$56:DG$56,"&gt;="&amp;26)))*CAPA3_EXPANSION!DG$36)</f>
        <v>2828.2799999999997</v>
      </c>
      <c r="DH33" s="88">
        <f>IF(COUNTIF(CAPA3_EXPANSION!$D$56:DH$56,"&gt;="&amp;26)=0,0,SUP_CONTROL!$C$8*IF($B33="V",1,IF($B33="D",(1+SUP_VOLUMEN!$C$26),(1+SUP_VOLUMEN!$C$27)))*INDEX(SUP_C3_EXPANSION!$C$6:$F$6,MIN(4,COUNTIF(CAPA3_EXPANSION!$D$56:DH$56,"&gt;="&amp;26)))*CAPA3_EXPANSION!DH$36)</f>
        <v>2828.2799999999997</v>
      </c>
      <c r="DI33" s="88">
        <f>IF(COUNTIF(CAPA3_EXPANSION!$D$56:DI$56,"&gt;="&amp;26)=0,0,SUP_CONTROL!$C$8*IF($B33="V",1,IF($B33="D",(1+SUP_VOLUMEN!$C$26),(1+SUP_VOLUMEN!$C$27)))*INDEX(SUP_C3_EXPANSION!$C$6:$F$6,MIN(4,COUNTIF(CAPA3_EXPANSION!$D$56:DI$56,"&gt;="&amp;26)))*CAPA3_EXPANSION!DI$36)</f>
        <v>2828.2799999999997</v>
      </c>
      <c r="DJ33" s="88">
        <f>IF(COUNTIF(CAPA3_EXPANSION!$D$56:DJ$56,"&gt;="&amp;26)=0,0,SUP_CONTROL!$C$8*IF($B33="V",1,IF($B33="D",(1+SUP_VOLUMEN!$C$26),(1+SUP_VOLUMEN!$C$27)))*INDEX(SUP_C3_EXPANSION!$C$6:$F$6,MIN(4,COUNTIF(CAPA3_EXPANSION!$D$56:DJ$56,"&gt;="&amp;26)))*CAPA3_EXPANSION!DJ$36)</f>
        <v>2828.2799999999997</v>
      </c>
      <c r="DK33" s="88">
        <f>IF(COUNTIF(CAPA3_EXPANSION!$D$56:DK$56,"&gt;="&amp;26)=0,0,SUP_CONTROL!$C$8*IF($B33="V",1,IF($B33="D",(1+SUP_VOLUMEN!$C$26),(1+SUP_VOLUMEN!$C$27)))*INDEX(SUP_C3_EXPANSION!$C$6:$F$6,MIN(4,COUNTIF(CAPA3_EXPANSION!$D$56:DK$56,"&gt;="&amp;26)))*CAPA3_EXPANSION!DK$36)</f>
        <v>2828.2799999999997</v>
      </c>
      <c r="DL33" s="88">
        <f>IF(COUNTIF(CAPA3_EXPANSION!$D$56:DL$56,"&gt;="&amp;26)=0,0,SUP_CONTROL!$C$8*IF($B33="V",1,IF($B33="D",(1+SUP_VOLUMEN!$C$26),(1+SUP_VOLUMEN!$C$27)))*INDEX(SUP_C3_EXPANSION!$C$6:$F$6,MIN(4,COUNTIF(CAPA3_EXPANSION!$D$56:DL$56,"&gt;="&amp;26)))*CAPA3_EXPANSION!DL$36)</f>
        <v>2828.2799999999997</v>
      </c>
      <c r="DM33" s="88">
        <f>IF(COUNTIF(CAPA3_EXPANSION!$D$56:DM$56,"&gt;="&amp;26)=0,0,SUP_CONTROL!$C$8*IF($B33="V",1,IF($B33="D",(1+SUP_VOLUMEN!$C$26),(1+SUP_VOLUMEN!$C$27)))*INDEX(SUP_C3_EXPANSION!$C$6:$F$6,MIN(4,COUNTIF(CAPA3_EXPANSION!$D$56:DM$56,"&gt;="&amp;26)))*CAPA3_EXPANSION!DM$36)</f>
        <v>2828.2799999999997</v>
      </c>
      <c r="DN33" s="88">
        <f>IF(COUNTIF(CAPA3_EXPANSION!$D$56:DN$56,"&gt;="&amp;26)=0,0,SUP_CONTROL!$C$8*IF($B33="V",1,IF($B33="D",(1+SUP_VOLUMEN!$C$26),(1+SUP_VOLUMEN!$C$27)))*INDEX(SUP_C3_EXPANSION!$C$6:$F$6,MIN(4,COUNTIF(CAPA3_EXPANSION!$D$56:DN$56,"&gt;="&amp;26)))*CAPA3_EXPANSION!DN$36)</f>
        <v>2828.2799999999997</v>
      </c>
      <c r="DO33" s="88">
        <f>IF(COUNTIF(CAPA3_EXPANSION!$D$56:DO$56,"&gt;="&amp;26)=0,0,SUP_CONTROL!$C$8*IF($B33="V",1,IF($B33="D",(1+SUP_VOLUMEN!$C$26),(1+SUP_VOLUMEN!$C$27)))*INDEX(SUP_C3_EXPANSION!$C$6:$F$6,MIN(4,COUNTIF(CAPA3_EXPANSION!$D$56:DO$56,"&gt;="&amp;26)))*CAPA3_EXPANSION!DO$36)</f>
        <v>2828.2799999999997</v>
      </c>
      <c r="DP33" s="88">
        <f>IF(COUNTIF(CAPA3_EXPANSION!$D$56:DP$56,"&gt;="&amp;26)=0,0,SUP_CONTROL!$C$8*IF($B33="V",1,IF($B33="D",(1+SUP_VOLUMEN!$C$26),(1+SUP_VOLUMEN!$C$27)))*INDEX(SUP_C3_EXPANSION!$C$6:$F$6,MIN(4,COUNTIF(CAPA3_EXPANSION!$D$56:DP$56,"&gt;="&amp;26)))*CAPA3_EXPANSION!DP$36)</f>
        <v>2828.2799999999997</v>
      </c>
      <c r="DQ33" s="88">
        <f>IF(COUNTIF(CAPA3_EXPANSION!$D$56:DQ$56,"&gt;="&amp;26)=0,0,SUP_CONTROL!$C$8*IF($B33="V",1,IF($B33="D",(1+SUP_VOLUMEN!$C$26),(1+SUP_VOLUMEN!$C$27)))*INDEX(SUP_C3_EXPANSION!$C$6:$F$6,MIN(4,COUNTIF(CAPA3_EXPANSION!$D$56:DQ$56,"&gt;="&amp;26)))*CAPA3_EXPANSION!DQ$36)</f>
        <v>2828.2799999999997</v>
      </c>
      <c r="DR33" s="88">
        <f>IF(COUNTIF(CAPA3_EXPANSION!$D$56:DR$56,"&gt;="&amp;26)=0,0,SUP_CONTROL!$C$8*IF($B33="V",1,IF($B33="D",(1+SUP_VOLUMEN!$C$26),(1+SUP_VOLUMEN!$C$27)))*INDEX(SUP_C3_EXPANSION!$C$6:$F$6,MIN(4,COUNTIF(CAPA3_EXPANSION!$D$56:DR$56,"&gt;="&amp;26)))*CAPA3_EXPANSION!DR$36)</f>
        <v>2828.2799999999997</v>
      </c>
      <c r="DS33" s="88">
        <f>IF(COUNTIF(CAPA3_EXPANSION!$D$56:DS$56,"&gt;="&amp;26)=0,0,SUP_CONTROL!$C$8*IF($B33="V",1,IF($B33="D",(1+SUP_VOLUMEN!$C$26),(1+SUP_VOLUMEN!$C$27)))*INDEX(SUP_C3_EXPANSION!$C$6:$F$6,MIN(4,COUNTIF(CAPA3_EXPANSION!$D$56:DS$56,"&gt;="&amp;26)))*CAPA3_EXPANSION!DS$36)</f>
        <v>2828.2799999999997</v>
      </c>
    </row>
    <row r="34" spans="1:123" ht="15" customHeight="1" x14ac:dyDescent="0.2">
      <c r="A34" s="88">
        <v>37</v>
      </c>
      <c r="B34" s="104" t="str">
        <f>SUP_C3_EXPANSION!B46</f>
        <v>V</v>
      </c>
      <c r="C34" s="73">
        <f>SUP_C3_EXPANSION!G46</f>
        <v>62</v>
      </c>
      <c r="D34" s="88">
        <f>IF(COUNTIF(CAPA3_EXPANSION!$D$56:D$56,"&gt;="&amp;27)=0,0,SUP_CONTROL!$C$8*IF($B34="V",1,IF($B34="D",(1+SUP_VOLUMEN!$C$26),(1+SUP_VOLUMEN!$C$27)))*INDEX(SUP_C3_EXPANSION!$C$6:$F$6,MIN(4,COUNTIF(CAPA3_EXPANSION!$D$56:D$56,"&gt;="&amp;27)))*CAPA3_EXPANSION!D$36)</f>
        <v>0</v>
      </c>
      <c r="E34" s="88">
        <f>IF(COUNTIF(CAPA3_EXPANSION!$D$56:E$56,"&gt;="&amp;27)=0,0,SUP_CONTROL!$C$8*IF($B34="V",1,IF($B34="D",(1+SUP_VOLUMEN!$C$26),(1+SUP_VOLUMEN!$C$27)))*INDEX(SUP_C3_EXPANSION!$C$6:$F$6,MIN(4,COUNTIF(CAPA3_EXPANSION!$D$56:E$56,"&gt;="&amp;27)))*CAPA3_EXPANSION!E$36)</f>
        <v>0</v>
      </c>
      <c r="F34" s="88">
        <f>IF(COUNTIF(CAPA3_EXPANSION!$D$56:F$56,"&gt;="&amp;27)=0,0,SUP_CONTROL!$C$8*IF($B34="V",1,IF($B34="D",(1+SUP_VOLUMEN!$C$26),(1+SUP_VOLUMEN!$C$27)))*INDEX(SUP_C3_EXPANSION!$C$6:$F$6,MIN(4,COUNTIF(CAPA3_EXPANSION!$D$56:F$56,"&gt;="&amp;27)))*CAPA3_EXPANSION!F$36)</f>
        <v>0</v>
      </c>
      <c r="G34" s="88">
        <f>IF(COUNTIF(CAPA3_EXPANSION!$D$56:G$56,"&gt;="&amp;27)=0,0,SUP_CONTROL!$C$8*IF($B34="V",1,IF($B34="D",(1+SUP_VOLUMEN!$C$26),(1+SUP_VOLUMEN!$C$27)))*INDEX(SUP_C3_EXPANSION!$C$6:$F$6,MIN(4,COUNTIF(CAPA3_EXPANSION!$D$56:G$56,"&gt;="&amp;27)))*CAPA3_EXPANSION!G$36)</f>
        <v>0</v>
      </c>
      <c r="H34" s="88">
        <f>IF(COUNTIF(CAPA3_EXPANSION!$D$56:H$56,"&gt;="&amp;27)=0,0,SUP_CONTROL!$C$8*IF($B34="V",1,IF($B34="D",(1+SUP_VOLUMEN!$C$26),(1+SUP_VOLUMEN!$C$27)))*INDEX(SUP_C3_EXPANSION!$C$6:$F$6,MIN(4,COUNTIF(CAPA3_EXPANSION!$D$56:H$56,"&gt;="&amp;27)))*CAPA3_EXPANSION!H$36)</f>
        <v>0</v>
      </c>
      <c r="I34" s="88">
        <f>IF(COUNTIF(CAPA3_EXPANSION!$D$56:I$56,"&gt;="&amp;27)=0,0,SUP_CONTROL!$C$8*IF($B34="V",1,IF($B34="D",(1+SUP_VOLUMEN!$C$26),(1+SUP_VOLUMEN!$C$27)))*INDEX(SUP_C3_EXPANSION!$C$6:$F$6,MIN(4,COUNTIF(CAPA3_EXPANSION!$D$56:I$56,"&gt;="&amp;27)))*CAPA3_EXPANSION!I$36)</f>
        <v>0</v>
      </c>
      <c r="J34" s="88">
        <f>IF(COUNTIF(CAPA3_EXPANSION!$D$56:J$56,"&gt;="&amp;27)=0,0,SUP_CONTROL!$C$8*IF($B34="V",1,IF($B34="D",(1+SUP_VOLUMEN!$C$26),(1+SUP_VOLUMEN!$C$27)))*INDEX(SUP_C3_EXPANSION!$C$6:$F$6,MIN(4,COUNTIF(CAPA3_EXPANSION!$D$56:J$56,"&gt;="&amp;27)))*CAPA3_EXPANSION!J$36)</f>
        <v>0</v>
      </c>
      <c r="K34" s="88">
        <f>IF(COUNTIF(CAPA3_EXPANSION!$D$56:K$56,"&gt;="&amp;27)=0,0,SUP_CONTROL!$C$8*IF($B34="V",1,IF($B34="D",(1+SUP_VOLUMEN!$C$26),(1+SUP_VOLUMEN!$C$27)))*INDEX(SUP_C3_EXPANSION!$C$6:$F$6,MIN(4,COUNTIF(CAPA3_EXPANSION!$D$56:K$56,"&gt;="&amp;27)))*CAPA3_EXPANSION!K$36)</f>
        <v>0</v>
      </c>
      <c r="L34" s="88">
        <f>IF(COUNTIF(CAPA3_EXPANSION!$D$56:L$56,"&gt;="&amp;27)=0,0,SUP_CONTROL!$C$8*IF($B34="V",1,IF($B34="D",(1+SUP_VOLUMEN!$C$26),(1+SUP_VOLUMEN!$C$27)))*INDEX(SUP_C3_EXPANSION!$C$6:$F$6,MIN(4,COUNTIF(CAPA3_EXPANSION!$D$56:L$56,"&gt;="&amp;27)))*CAPA3_EXPANSION!L$36)</f>
        <v>0</v>
      </c>
      <c r="M34" s="88">
        <f>IF(COUNTIF(CAPA3_EXPANSION!$D$56:M$56,"&gt;="&amp;27)=0,0,SUP_CONTROL!$C$8*IF($B34="V",1,IF($B34="D",(1+SUP_VOLUMEN!$C$26),(1+SUP_VOLUMEN!$C$27)))*INDEX(SUP_C3_EXPANSION!$C$6:$F$6,MIN(4,COUNTIF(CAPA3_EXPANSION!$D$56:M$56,"&gt;="&amp;27)))*CAPA3_EXPANSION!M$36)</f>
        <v>0</v>
      </c>
      <c r="N34" s="88">
        <f>IF(COUNTIF(CAPA3_EXPANSION!$D$56:N$56,"&gt;="&amp;27)=0,0,SUP_CONTROL!$C$8*IF($B34="V",1,IF($B34="D",(1+SUP_VOLUMEN!$C$26),(1+SUP_VOLUMEN!$C$27)))*INDEX(SUP_C3_EXPANSION!$C$6:$F$6,MIN(4,COUNTIF(CAPA3_EXPANSION!$D$56:N$56,"&gt;="&amp;27)))*CAPA3_EXPANSION!N$36)</f>
        <v>0</v>
      </c>
      <c r="O34" s="88">
        <f>IF(COUNTIF(CAPA3_EXPANSION!$D$56:O$56,"&gt;="&amp;27)=0,0,SUP_CONTROL!$C$8*IF($B34="V",1,IF($B34="D",(1+SUP_VOLUMEN!$C$26),(1+SUP_VOLUMEN!$C$27)))*INDEX(SUP_C3_EXPANSION!$C$6:$F$6,MIN(4,COUNTIF(CAPA3_EXPANSION!$D$56:O$56,"&gt;="&amp;27)))*CAPA3_EXPANSION!O$36)</f>
        <v>0</v>
      </c>
      <c r="P34" s="88">
        <f>IF(COUNTIF(CAPA3_EXPANSION!$D$56:P$56,"&gt;="&amp;27)=0,0,SUP_CONTROL!$C$8*IF($B34="V",1,IF($B34="D",(1+SUP_VOLUMEN!$C$26),(1+SUP_VOLUMEN!$C$27)))*INDEX(SUP_C3_EXPANSION!$C$6:$F$6,MIN(4,COUNTIF(CAPA3_EXPANSION!$D$56:P$56,"&gt;="&amp;27)))*CAPA3_EXPANSION!P$36)</f>
        <v>0</v>
      </c>
      <c r="Q34" s="88">
        <f>IF(COUNTIF(CAPA3_EXPANSION!$D$56:Q$56,"&gt;="&amp;27)=0,0,SUP_CONTROL!$C$8*IF($B34="V",1,IF($B34="D",(1+SUP_VOLUMEN!$C$26),(1+SUP_VOLUMEN!$C$27)))*INDEX(SUP_C3_EXPANSION!$C$6:$F$6,MIN(4,COUNTIF(CAPA3_EXPANSION!$D$56:Q$56,"&gt;="&amp;27)))*CAPA3_EXPANSION!Q$36)</f>
        <v>0</v>
      </c>
      <c r="R34" s="88">
        <f>IF(COUNTIF(CAPA3_EXPANSION!$D$56:R$56,"&gt;="&amp;27)=0,0,SUP_CONTROL!$C$8*IF($B34="V",1,IF($B34="D",(1+SUP_VOLUMEN!$C$26),(1+SUP_VOLUMEN!$C$27)))*INDEX(SUP_C3_EXPANSION!$C$6:$F$6,MIN(4,COUNTIF(CAPA3_EXPANSION!$D$56:R$56,"&gt;="&amp;27)))*CAPA3_EXPANSION!R$36)</f>
        <v>0</v>
      </c>
      <c r="S34" s="88">
        <f>IF(COUNTIF(CAPA3_EXPANSION!$D$56:S$56,"&gt;="&amp;27)=0,0,SUP_CONTROL!$C$8*IF($B34="V",1,IF($B34="D",(1+SUP_VOLUMEN!$C$26),(1+SUP_VOLUMEN!$C$27)))*INDEX(SUP_C3_EXPANSION!$C$6:$F$6,MIN(4,COUNTIF(CAPA3_EXPANSION!$D$56:S$56,"&gt;="&amp;27)))*CAPA3_EXPANSION!S$36)</f>
        <v>0</v>
      </c>
      <c r="T34" s="88">
        <f>IF(COUNTIF(CAPA3_EXPANSION!$D$56:T$56,"&gt;="&amp;27)=0,0,SUP_CONTROL!$C$8*IF($B34="V",1,IF($B34="D",(1+SUP_VOLUMEN!$C$26),(1+SUP_VOLUMEN!$C$27)))*INDEX(SUP_C3_EXPANSION!$C$6:$F$6,MIN(4,COUNTIF(CAPA3_EXPANSION!$D$56:T$56,"&gt;="&amp;27)))*CAPA3_EXPANSION!T$36)</f>
        <v>0</v>
      </c>
      <c r="U34" s="88">
        <f>IF(COUNTIF(CAPA3_EXPANSION!$D$56:U$56,"&gt;="&amp;27)=0,0,SUP_CONTROL!$C$8*IF($B34="V",1,IF($B34="D",(1+SUP_VOLUMEN!$C$26),(1+SUP_VOLUMEN!$C$27)))*INDEX(SUP_C3_EXPANSION!$C$6:$F$6,MIN(4,COUNTIF(CAPA3_EXPANSION!$D$56:U$56,"&gt;="&amp;27)))*CAPA3_EXPANSION!U$36)</f>
        <v>0</v>
      </c>
      <c r="V34" s="88">
        <f>IF(COUNTIF(CAPA3_EXPANSION!$D$56:V$56,"&gt;="&amp;27)=0,0,SUP_CONTROL!$C$8*IF($B34="V",1,IF($B34="D",(1+SUP_VOLUMEN!$C$26),(1+SUP_VOLUMEN!$C$27)))*INDEX(SUP_C3_EXPANSION!$C$6:$F$6,MIN(4,COUNTIF(CAPA3_EXPANSION!$D$56:V$56,"&gt;="&amp;27)))*CAPA3_EXPANSION!V$36)</f>
        <v>0</v>
      </c>
      <c r="W34" s="88">
        <f>IF(COUNTIF(CAPA3_EXPANSION!$D$56:W$56,"&gt;="&amp;27)=0,0,SUP_CONTROL!$C$8*IF($B34="V",1,IF($B34="D",(1+SUP_VOLUMEN!$C$26),(1+SUP_VOLUMEN!$C$27)))*INDEX(SUP_C3_EXPANSION!$C$6:$F$6,MIN(4,COUNTIF(CAPA3_EXPANSION!$D$56:W$56,"&gt;="&amp;27)))*CAPA3_EXPANSION!W$36)</f>
        <v>0</v>
      </c>
      <c r="X34" s="88">
        <f>IF(COUNTIF(CAPA3_EXPANSION!$D$56:X$56,"&gt;="&amp;27)=0,0,SUP_CONTROL!$C$8*IF($B34="V",1,IF($B34="D",(1+SUP_VOLUMEN!$C$26),(1+SUP_VOLUMEN!$C$27)))*INDEX(SUP_C3_EXPANSION!$C$6:$F$6,MIN(4,COUNTIF(CAPA3_EXPANSION!$D$56:X$56,"&gt;="&amp;27)))*CAPA3_EXPANSION!X$36)</f>
        <v>0</v>
      </c>
      <c r="Y34" s="88">
        <f>IF(COUNTIF(CAPA3_EXPANSION!$D$56:Y$56,"&gt;="&amp;27)=0,0,SUP_CONTROL!$C$8*IF($B34="V",1,IF($B34="D",(1+SUP_VOLUMEN!$C$26),(1+SUP_VOLUMEN!$C$27)))*INDEX(SUP_C3_EXPANSION!$C$6:$F$6,MIN(4,COUNTIF(CAPA3_EXPANSION!$D$56:Y$56,"&gt;="&amp;27)))*CAPA3_EXPANSION!Y$36)</f>
        <v>0</v>
      </c>
      <c r="Z34" s="88">
        <f>IF(COUNTIF(CAPA3_EXPANSION!$D$56:Z$56,"&gt;="&amp;27)=0,0,SUP_CONTROL!$C$8*IF($B34="V",1,IF($B34="D",(1+SUP_VOLUMEN!$C$26),(1+SUP_VOLUMEN!$C$27)))*INDEX(SUP_C3_EXPANSION!$C$6:$F$6,MIN(4,COUNTIF(CAPA3_EXPANSION!$D$56:Z$56,"&gt;="&amp;27)))*CAPA3_EXPANSION!Z$36)</f>
        <v>0</v>
      </c>
      <c r="AA34" s="88">
        <f>IF(COUNTIF(CAPA3_EXPANSION!$D$56:AA$56,"&gt;="&amp;27)=0,0,SUP_CONTROL!$C$8*IF($B34="V",1,IF($B34="D",(1+SUP_VOLUMEN!$C$26),(1+SUP_VOLUMEN!$C$27)))*INDEX(SUP_C3_EXPANSION!$C$6:$F$6,MIN(4,COUNTIF(CAPA3_EXPANSION!$D$56:AA$56,"&gt;="&amp;27)))*CAPA3_EXPANSION!AA$36)</f>
        <v>0</v>
      </c>
      <c r="AB34" s="88">
        <f>IF(COUNTIF(CAPA3_EXPANSION!$D$56:AB$56,"&gt;="&amp;27)=0,0,SUP_CONTROL!$C$8*IF($B34="V",1,IF($B34="D",(1+SUP_VOLUMEN!$C$26),(1+SUP_VOLUMEN!$C$27)))*INDEX(SUP_C3_EXPANSION!$C$6:$F$6,MIN(4,COUNTIF(CAPA3_EXPANSION!$D$56:AB$56,"&gt;="&amp;27)))*CAPA3_EXPANSION!AB$36)</f>
        <v>0</v>
      </c>
      <c r="AC34" s="88">
        <f>IF(COUNTIF(CAPA3_EXPANSION!$D$56:AC$56,"&gt;="&amp;27)=0,0,SUP_CONTROL!$C$8*IF($B34="V",1,IF($B34="D",(1+SUP_VOLUMEN!$C$26),(1+SUP_VOLUMEN!$C$27)))*INDEX(SUP_C3_EXPANSION!$C$6:$F$6,MIN(4,COUNTIF(CAPA3_EXPANSION!$D$56:AC$56,"&gt;="&amp;27)))*CAPA3_EXPANSION!AC$36)</f>
        <v>0</v>
      </c>
      <c r="AD34" s="88">
        <f>IF(COUNTIF(CAPA3_EXPANSION!$D$56:AD$56,"&gt;="&amp;27)=0,0,SUP_CONTROL!$C$8*IF($B34="V",1,IF($B34="D",(1+SUP_VOLUMEN!$C$26),(1+SUP_VOLUMEN!$C$27)))*INDEX(SUP_C3_EXPANSION!$C$6:$F$6,MIN(4,COUNTIF(CAPA3_EXPANSION!$D$56:AD$56,"&gt;="&amp;27)))*CAPA3_EXPANSION!AD$36)</f>
        <v>0</v>
      </c>
      <c r="AE34" s="88">
        <f>IF(COUNTIF(CAPA3_EXPANSION!$D$56:AE$56,"&gt;="&amp;27)=0,0,SUP_CONTROL!$C$8*IF($B34="V",1,IF($B34="D",(1+SUP_VOLUMEN!$C$26),(1+SUP_VOLUMEN!$C$27)))*INDEX(SUP_C3_EXPANSION!$C$6:$F$6,MIN(4,COUNTIF(CAPA3_EXPANSION!$D$56:AE$56,"&gt;="&amp;27)))*CAPA3_EXPANSION!AE$36)</f>
        <v>0</v>
      </c>
      <c r="AF34" s="88">
        <f>IF(COUNTIF(CAPA3_EXPANSION!$D$56:AF$56,"&gt;="&amp;27)=0,0,SUP_CONTROL!$C$8*IF($B34="V",1,IF($B34="D",(1+SUP_VOLUMEN!$C$26),(1+SUP_VOLUMEN!$C$27)))*INDEX(SUP_C3_EXPANSION!$C$6:$F$6,MIN(4,COUNTIF(CAPA3_EXPANSION!$D$56:AF$56,"&gt;="&amp;27)))*CAPA3_EXPANSION!AF$36)</f>
        <v>0</v>
      </c>
      <c r="AG34" s="88">
        <f>IF(COUNTIF(CAPA3_EXPANSION!$D$56:AG$56,"&gt;="&amp;27)=0,0,SUP_CONTROL!$C$8*IF($B34="V",1,IF($B34="D",(1+SUP_VOLUMEN!$C$26),(1+SUP_VOLUMEN!$C$27)))*INDEX(SUP_C3_EXPANSION!$C$6:$F$6,MIN(4,COUNTIF(CAPA3_EXPANSION!$D$56:AG$56,"&gt;="&amp;27)))*CAPA3_EXPANSION!AG$36)</f>
        <v>0</v>
      </c>
      <c r="AH34" s="88">
        <f>IF(COUNTIF(CAPA3_EXPANSION!$D$56:AH$56,"&gt;="&amp;27)=0,0,SUP_CONTROL!$C$8*IF($B34="V",1,IF($B34="D",(1+SUP_VOLUMEN!$C$26),(1+SUP_VOLUMEN!$C$27)))*INDEX(SUP_C3_EXPANSION!$C$6:$F$6,MIN(4,COUNTIF(CAPA3_EXPANSION!$D$56:AH$56,"&gt;="&amp;27)))*CAPA3_EXPANSION!AH$36)</f>
        <v>0</v>
      </c>
      <c r="AI34" s="88">
        <f>IF(COUNTIF(CAPA3_EXPANSION!$D$56:AI$56,"&gt;="&amp;27)=0,0,SUP_CONTROL!$C$8*IF($B34="V",1,IF($B34="D",(1+SUP_VOLUMEN!$C$26),(1+SUP_VOLUMEN!$C$27)))*INDEX(SUP_C3_EXPANSION!$C$6:$F$6,MIN(4,COUNTIF(CAPA3_EXPANSION!$D$56:AI$56,"&gt;="&amp;27)))*CAPA3_EXPANSION!AI$36)</f>
        <v>0</v>
      </c>
      <c r="AJ34" s="88">
        <f>IF(COUNTIF(CAPA3_EXPANSION!$D$56:AJ$56,"&gt;="&amp;27)=0,0,SUP_CONTROL!$C$8*IF($B34="V",1,IF($B34="D",(1+SUP_VOLUMEN!$C$26),(1+SUP_VOLUMEN!$C$27)))*INDEX(SUP_C3_EXPANSION!$C$6:$F$6,MIN(4,COUNTIF(CAPA3_EXPANSION!$D$56:AJ$56,"&gt;="&amp;27)))*CAPA3_EXPANSION!AJ$36)</f>
        <v>0</v>
      </c>
      <c r="AK34" s="88">
        <f>IF(COUNTIF(CAPA3_EXPANSION!$D$56:AK$56,"&gt;="&amp;27)=0,0,SUP_CONTROL!$C$8*IF($B34="V",1,IF($B34="D",(1+SUP_VOLUMEN!$C$26),(1+SUP_VOLUMEN!$C$27)))*INDEX(SUP_C3_EXPANSION!$C$6:$F$6,MIN(4,COUNTIF(CAPA3_EXPANSION!$D$56:AK$56,"&gt;="&amp;27)))*CAPA3_EXPANSION!AK$36)</f>
        <v>0</v>
      </c>
      <c r="AL34" s="88">
        <f>IF(COUNTIF(CAPA3_EXPANSION!$D$56:AL$56,"&gt;="&amp;27)=0,0,SUP_CONTROL!$C$8*IF($B34="V",1,IF($B34="D",(1+SUP_VOLUMEN!$C$26),(1+SUP_VOLUMEN!$C$27)))*INDEX(SUP_C3_EXPANSION!$C$6:$F$6,MIN(4,COUNTIF(CAPA3_EXPANSION!$D$56:AL$56,"&gt;="&amp;27)))*CAPA3_EXPANSION!AL$36)</f>
        <v>0</v>
      </c>
      <c r="AM34" s="88">
        <f>IF(COUNTIF(CAPA3_EXPANSION!$D$56:AM$56,"&gt;="&amp;27)=0,0,SUP_CONTROL!$C$8*IF($B34="V",1,IF($B34="D",(1+SUP_VOLUMEN!$C$26),(1+SUP_VOLUMEN!$C$27)))*INDEX(SUP_C3_EXPANSION!$C$6:$F$6,MIN(4,COUNTIF(CAPA3_EXPANSION!$D$56:AM$56,"&gt;="&amp;27)))*CAPA3_EXPANSION!AM$36)</f>
        <v>0</v>
      </c>
      <c r="AN34" s="88">
        <f>IF(COUNTIF(CAPA3_EXPANSION!$D$56:AN$56,"&gt;="&amp;27)=0,0,SUP_CONTROL!$C$8*IF($B34="V",1,IF($B34="D",(1+SUP_VOLUMEN!$C$26),(1+SUP_VOLUMEN!$C$27)))*INDEX(SUP_C3_EXPANSION!$C$6:$F$6,MIN(4,COUNTIF(CAPA3_EXPANSION!$D$56:AN$56,"&gt;="&amp;27)))*CAPA3_EXPANSION!AN$36)</f>
        <v>0</v>
      </c>
      <c r="AO34" s="88">
        <f>IF(COUNTIF(CAPA3_EXPANSION!$D$56:AO$56,"&gt;="&amp;27)=0,0,SUP_CONTROL!$C$8*IF($B34="V",1,IF($B34="D",(1+SUP_VOLUMEN!$C$26),(1+SUP_VOLUMEN!$C$27)))*INDEX(SUP_C3_EXPANSION!$C$6:$F$6,MIN(4,COUNTIF(CAPA3_EXPANSION!$D$56:AO$56,"&gt;="&amp;27)))*CAPA3_EXPANSION!AO$36)</f>
        <v>0</v>
      </c>
      <c r="AP34" s="88">
        <f>IF(COUNTIF(CAPA3_EXPANSION!$D$56:AP$56,"&gt;="&amp;27)=0,0,SUP_CONTROL!$C$8*IF($B34="V",1,IF($B34="D",(1+SUP_VOLUMEN!$C$26),(1+SUP_VOLUMEN!$C$27)))*INDEX(SUP_C3_EXPANSION!$C$6:$F$6,MIN(4,COUNTIF(CAPA3_EXPANSION!$D$56:AP$56,"&gt;="&amp;27)))*CAPA3_EXPANSION!AP$36)</f>
        <v>0</v>
      </c>
      <c r="AQ34" s="88">
        <f>IF(COUNTIF(CAPA3_EXPANSION!$D$56:AQ$56,"&gt;="&amp;27)=0,0,SUP_CONTROL!$C$8*IF($B34="V",1,IF($B34="D",(1+SUP_VOLUMEN!$C$26),(1+SUP_VOLUMEN!$C$27)))*INDEX(SUP_C3_EXPANSION!$C$6:$F$6,MIN(4,COUNTIF(CAPA3_EXPANSION!$D$56:AQ$56,"&gt;="&amp;27)))*CAPA3_EXPANSION!AQ$36)</f>
        <v>0</v>
      </c>
      <c r="AR34" s="88">
        <f>IF(COUNTIF(CAPA3_EXPANSION!$D$56:AR$56,"&gt;="&amp;27)=0,0,SUP_CONTROL!$C$8*IF($B34="V",1,IF($B34="D",(1+SUP_VOLUMEN!$C$26),(1+SUP_VOLUMEN!$C$27)))*INDEX(SUP_C3_EXPANSION!$C$6:$F$6,MIN(4,COUNTIF(CAPA3_EXPANSION!$D$56:AR$56,"&gt;="&amp;27)))*CAPA3_EXPANSION!AR$36)</f>
        <v>0</v>
      </c>
      <c r="AS34" s="88">
        <f>IF(COUNTIF(CAPA3_EXPANSION!$D$56:AS$56,"&gt;="&amp;27)=0,0,SUP_CONTROL!$C$8*IF($B34="V",1,IF($B34="D",(1+SUP_VOLUMEN!$C$26),(1+SUP_VOLUMEN!$C$27)))*INDEX(SUP_C3_EXPANSION!$C$6:$F$6,MIN(4,COUNTIF(CAPA3_EXPANSION!$D$56:AS$56,"&gt;="&amp;27)))*CAPA3_EXPANSION!AS$36)</f>
        <v>0</v>
      </c>
      <c r="AT34" s="88">
        <f>IF(COUNTIF(CAPA3_EXPANSION!$D$56:AT$56,"&gt;="&amp;27)=0,0,SUP_CONTROL!$C$8*IF($B34="V",1,IF($B34="D",(1+SUP_VOLUMEN!$C$26),(1+SUP_VOLUMEN!$C$27)))*INDEX(SUP_C3_EXPANSION!$C$6:$F$6,MIN(4,COUNTIF(CAPA3_EXPANSION!$D$56:AT$56,"&gt;="&amp;27)))*CAPA3_EXPANSION!AT$36)</f>
        <v>0</v>
      </c>
      <c r="AU34" s="88">
        <f>IF(COUNTIF(CAPA3_EXPANSION!$D$56:AU$56,"&gt;="&amp;27)=0,0,SUP_CONTROL!$C$8*IF($B34="V",1,IF($B34="D",(1+SUP_VOLUMEN!$C$26),(1+SUP_VOLUMEN!$C$27)))*INDEX(SUP_C3_EXPANSION!$C$6:$F$6,MIN(4,COUNTIF(CAPA3_EXPANSION!$D$56:AU$56,"&gt;="&amp;27)))*CAPA3_EXPANSION!AU$36)</f>
        <v>0</v>
      </c>
      <c r="AV34" s="88">
        <f>IF(COUNTIF(CAPA3_EXPANSION!$D$56:AV$56,"&gt;="&amp;27)=0,0,SUP_CONTROL!$C$8*IF($B34="V",1,IF($B34="D",(1+SUP_VOLUMEN!$C$26),(1+SUP_VOLUMEN!$C$27)))*INDEX(SUP_C3_EXPANSION!$C$6:$F$6,MIN(4,COUNTIF(CAPA3_EXPANSION!$D$56:AV$56,"&gt;="&amp;27)))*CAPA3_EXPANSION!AV$36)</f>
        <v>0</v>
      </c>
      <c r="AW34" s="88">
        <f>IF(COUNTIF(CAPA3_EXPANSION!$D$56:AW$56,"&gt;="&amp;27)=0,0,SUP_CONTROL!$C$8*IF($B34="V",1,IF($B34="D",(1+SUP_VOLUMEN!$C$26),(1+SUP_VOLUMEN!$C$27)))*INDEX(SUP_C3_EXPANSION!$C$6:$F$6,MIN(4,COUNTIF(CAPA3_EXPANSION!$D$56:AW$56,"&gt;="&amp;27)))*CAPA3_EXPANSION!AW$36)</f>
        <v>0</v>
      </c>
      <c r="AX34" s="88">
        <f>IF(COUNTIF(CAPA3_EXPANSION!$D$56:AX$56,"&gt;="&amp;27)=0,0,SUP_CONTROL!$C$8*IF($B34="V",1,IF($B34="D",(1+SUP_VOLUMEN!$C$26),(1+SUP_VOLUMEN!$C$27)))*INDEX(SUP_C3_EXPANSION!$C$6:$F$6,MIN(4,COUNTIF(CAPA3_EXPANSION!$D$56:AX$56,"&gt;="&amp;27)))*CAPA3_EXPANSION!AX$36)</f>
        <v>0</v>
      </c>
      <c r="AY34" s="88">
        <f>IF(COUNTIF(CAPA3_EXPANSION!$D$56:AY$56,"&gt;="&amp;27)=0,0,SUP_CONTROL!$C$8*IF($B34="V",1,IF($B34="D",(1+SUP_VOLUMEN!$C$26),(1+SUP_VOLUMEN!$C$27)))*INDEX(SUP_C3_EXPANSION!$C$6:$F$6,MIN(4,COUNTIF(CAPA3_EXPANSION!$D$56:AY$56,"&gt;="&amp;27)))*CAPA3_EXPANSION!AY$36)</f>
        <v>0</v>
      </c>
      <c r="AZ34" s="88">
        <f>IF(COUNTIF(CAPA3_EXPANSION!$D$56:AZ$56,"&gt;="&amp;27)=0,0,SUP_CONTROL!$C$8*IF($B34="V",1,IF($B34="D",(1+SUP_VOLUMEN!$C$26),(1+SUP_VOLUMEN!$C$27)))*INDEX(SUP_C3_EXPANSION!$C$6:$F$6,MIN(4,COUNTIF(CAPA3_EXPANSION!$D$56:AZ$56,"&gt;="&amp;27)))*CAPA3_EXPANSION!AZ$36)</f>
        <v>0</v>
      </c>
      <c r="BA34" s="88">
        <f>IF(COUNTIF(CAPA3_EXPANSION!$D$56:BA$56,"&gt;="&amp;27)=0,0,SUP_CONTROL!$C$8*IF($B34="V",1,IF($B34="D",(1+SUP_VOLUMEN!$C$26),(1+SUP_VOLUMEN!$C$27)))*INDEX(SUP_C3_EXPANSION!$C$6:$F$6,MIN(4,COUNTIF(CAPA3_EXPANSION!$D$56:BA$56,"&gt;="&amp;27)))*CAPA3_EXPANSION!BA$36)</f>
        <v>0</v>
      </c>
      <c r="BB34" s="88">
        <f>IF(COUNTIF(CAPA3_EXPANSION!$D$56:BB$56,"&gt;="&amp;27)=0,0,SUP_CONTROL!$C$8*IF($B34="V",1,IF($B34="D",(1+SUP_VOLUMEN!$C$26),(1+SUP_VOLUMEN!$C$27)))*INDEX(SUP_C3_EXPANSION!$C$6:$F$6,MIN(4,COUNTIF(CAPA3_EXPANSION!$D$56:BB$56,"&gt;="&amp;27)))*CAPA3_EXPANSION!BB$36)</f>
        <v>0</v>
      </c>
      <c r="BC34" s="88">
        <f>IF(COUNTIF(CAPA3_EXPANSION!$D$56:BC$56,"&gt;="&amp;27)=0,0,SUP_CONTROL!$C$8*IF($B34="V",1,IF($B34="D",(1+SUP_VOLUMEN!$C$26),(1+SUP_VOLUMEN!$C$27)))*INDEX(SUP_C3_EXPANSION!$C$6:$F$6,MIN(4,COUNTIF(CAPA3_EXPANSION!$D$56:BC$56,"&gt;="&amp;27)))*CAPA3_EXPANSION!BC$36)</f>
        <v>0</v>
      </c>
      <c r="BD34" s="88">
        <f>IF(COUNTIF(CAPA3_EXPANSION!$D$56:BD$56,"&gt;="&amp;27)=0,0,SUP_CONTROL!$C$8*IF($B34="V",1,IF($B34="D",(1+SUP_VOLUMEN!$C$26),(1+SUP_VOLUMEN!$C$27)))*INDEX(SUP_C3_EXPANSION!$C$6:$F$6,MIN(4,COUNTIF(CAPA3_EXPANSION!$D$56:BD$56,"&gt;="&amp;27)))*CAPA3_EXPANSION!BD$36)</f>
        <v>0</v>
      </c>
      <c r="BE34" s="88">
        <f>IF(COUNTIF(CAPA3_EXPANSION!$D$56:BE$56,"&gt;="&amp;27)=0,0,SUP_CONTROL!$C$8*IF($B34="V",1,IF($B34="D",(1+SUP_VOLUMEN!$C$26),(1+SUP_VOLUMEN!$C$27)))*INDEX(SUP_C3_EXPANSION!$C$6:$F$6,MIN(4,COUNTIF(CAPA3_EXPANSION!$D$56:BE$56,"&gt;="&amp;27)))*CAPA3_EXPANSION!BE$36)</f>
        <v>0</v>
      </c>
      <c r="BF34" s="88">
        <f>IF(COUNTIF(CAPA3_EXPANSION!$D$56:BF$56,"&gt;="&amp;27)=0,0,SUP_CONTROL!$C$8*IF($B34="V",1,IF($B34="D",(1+SUP_VOLUMEN!$C$26),(1+SUP_VOLUMEN!$C$27)))*INDEX(SUP_C3_EXPANSION!$C$6:$F$6,MIN(4,COUNTIF(CAPA3_EXPANSION!$D$56:BF$56,"&gt;="&amp;27)))*CAPA3_EXPANSION!BF$36)</f>
        <v>0</v>
      </c>
      <c r="BG34" s="88">
        <f>IF(COUNTIF(CAPA3_EXPANSION!$D$56:BG$56,"&gt;="&amp;27)=0,0,SUP_CONTROL!$C$8*IF($B34="V",1,IF($B34="D",(1+SUP_VOLUMEN!$C$26),(1+SUP_VOLUMEN!$C$27)))*INDEX(SUP_C3_EXPANSION!$C$6:$F$6,MIN(4,COUNTIF(CAPA3_EXPANSION!$D$56:BG$56,"&gt;="&amp;27)))*CAPA3_EXPANSION!BG$36)</f>
        <v>0</v>
      </c>
      <c r="BH34" s="88">
        <f>IF(COUNTIF(CAPA3_EXPANSION!$D$56:BH$56,"&gt;="&amp;27)=0,0,SUP_CONTROL!$C$8*IF($B34="V",1,IF($B34="D",(1+SUP_VOLUMEN!$C$26),(1+SUP_VOLUMEN!$C$27)))*INDEX(SUP_C3_EXPANSION!$C$6:$F$6,MIN(4,COUNTIF(CAPA3_EXPANSION!$D$56:BH$56,"&gt;="&amp;27)))*CAPA3_EXPANSION!BH$36)</f>
        <v>0</v>
      </c>
      <c r="BI34" s="88">
        <f>IF(COUNTIF(CAPA3_EXPANSION!$D$56:BI$56,"&gt;="&amp;27)=0,0,SUP_CONTROL!$C$8*IF($B34="V",1,IF($B34="D",(1+SUP_VOLUMEN!$C$26),(1+SUP_VOLUMEN!$C$27)))*INDEX(SUP_C3_EXPANSION!$C$6:$F$6,MIN(4,COUNTIF(CAPA3_EXPANSION!$D$56:BI$56,"&gt;="&amp;27)))*CAPA3_EXPANSION!BI$36)</f>
        <v>0</v>
      </c>
      <c r="BJ34" s="88">
        <f>IF(COUNTIF(CAPA3_EXPANSION!$D$56:BJ$56,"&gt;="&amp;27)=0,0,SUP_CONTROL!$C$8*IF($B34="V",1,IF($B34="D",(1+SUP_VOLUMEN!$C$26),(1+SUP_VOLUMEN!$C$27)))*INDEX(SUP_C3_EXPANSION!$C$6:$F$6,MIN(4,COUNTIF(CAPA3_EXPANSION!$D$56:BJ$56,"&gt;="&amp;27)))*CAPA3_EXPANSION!BJ$36)</f>
        <v>0</v>
      </c>
      <c r="BK34" s="88">
        <f>IF(COUNTIF(CAPA3_EXPANSION!$D$56:BK$56,"&gt;="&amp;27)=0,0,SUP_CONTROL!$C$8*IF($B34="V",1,IF($B34="D",(1+SUP_VOLUMEN!$C$26),(1+SUP_VOLUMEN!$C$27)))*INDEX(SUP_C3_EXPANSION!$C$6:$F$6,MIN(4,COUNTIF(CAPA3_EXPANSION!$D$56:BK$56,"&gt;="&amp;27)))*CAPA3_EXPANSION!BK$36)</f>
        <v>0</v>
      </c>
      <c r="BL34" s="88">
        <f>IF(COUNTIF(CAPA3_EXPANSION!$D$56:BL$56,"&gt;="&amp;27)=0,0,SUP_CONTROL!$C$8*IF($B34="V",1,IF($B34="D",(1+SUP_VOLUMEN!$C$26),(1+SUP_VOLUMEN!$C$27)))*INDEX(SUP_C3_EXPANSION!$C$6:$F$6,MIN(4,COUNTIF(CAPA3_EXPANSION!$D$56:BL$56,"&gt;="&amp;27)))*CAPA3_EXPANSION!BL$36)</f>
        <v>0</v>
      </c>
      <c r="BM34" s="88">
        <f>IF(COUNTIF(CAPA3_EXPANSION!$D$56:BM$56,"&gt;="&amp;27)=0,0,SUP_CONTROL!$C$8*IF($B34="V",1,IF($B34="D",(1+SUP_VOLUMEN!$C$26),(1+SUP_VOLUMEN!$C$27)))*INDEX(SUP_C3_EXPANSION!$C$6:$F$6,MIN(4,COUNTIF(CAPA3_EXPANSION!$D$56:BM$56,"&gt;="&amp;27)))*CAPA3_EXPANSION!BM$36)</f>
        <v>0</v>
      </c>
      <c r="BN34" s="88">
        <f>IF(COUNTIF(CAPA3_EXPANSION!$D$56:BN$56,"&gt;="&amp;27)=0,0,SUP_CONTROL!$C$8*IF($B34="V",1,IF($B34="D",(1+SUP_VOLUMEN!$C$26),(1+SUP_VOLUMEN!$C$27)))*INDEX(SUP_C3_EXPANSION!$C$6:$F$6,MIN(4,COUNTIF(CAPA3_EXPANSION!$D$56:BN$56,"&gt;="&amp;27)))*CAPA3_EXPANSION!BN$36)</f>
        <v>0</v>
      </c>
      <c r="BO34" s="88">
        <f>IF(COUNTIF(CAPA3_EXPANSION!$D$56:BO$56,"&gt;="&amp;27)=0,0,SUP_CONTROL!$C$8*IF($B34="V",1,IF($B34="D",(1+SUP_VOLUMEN!$C$26),(1+SUP_VOLUMEN!$C$27)))*INDEX(SUP_C3_EXPANSION!$C$6:$F$6,MIN(4,COUNTIF(CAPA3_EXPANSION!$D$56:BO$56,"&gt;="&amp;27)))*CAPA3_EXPANSION!BO$36)</f>
        <v>0</v>
      </c>
      <c r="BP34" s="88">
        <f>IF(COUNTIF(CAPA3_EXPANSION!$D$56:BP$56,"&gt;="&amp;27)=0,0,SUP_CONTROL!$C$8*IF($B34="V",1,IF($B34="D",(1+SUP_VOLUMEN!$C$26),(1+SUP_VOLUMEN!$C$27)))*INDEX(SUP_C3_EXPANSION!$C$6:$F$6,MIN(4,COUNTIF(CAPA3_EXPANSION!$D$56:BP$56,"&gt;="&amp;27)))*CAPA3_EXPANSION!BP$36)</f>
        <v>1893.0957500000002</v>
      </c>
      <c r="BQ34" s="88">
        <f>IF(COUNTIF(CAPA3_EXPANSION!$D$56:BQ$56,"&gt;="&amp;27)=0,0,SUP_CONTROL!$C$8*IF($B34="V",1,IF($B34="D",(1+SUP_VOLUMEN!$C$26),(1+SUP_VOLUMEN!$C$27)))*INDEX(SUP_C3_EXPANSION!$C$6:$F$6,MIN(4,COUNTIF(CAPA3_EXPANSION!$D$56:BQ$56,"&gt;="&amp;27)))*CAPA3_EXPANSION!BQ$36)</f>
        <v>2329.9640000000004</v>
      </c>
      <c r="BR34" s="88">
        <f>IF(COUNTIF(CAPA3_EXPANSION!$D$56:BR$56,"&gt;="&amp;27)=0,0,SUP_CONTROL!$C$8*IF($B34="V",1,IF($B34="D",(1+SUP_VOLUMEN!$C$26),(1+SUP_VOLUMEN!$C$27)))*INDEX(SUP_C3_EXPANSION!$C$6:$F$6,MIN(4,COUNTIF(CAPA3_EXPANSION!$D$56:BR$56,"&gt;="&amp;27)))*CAPA3_EXPANSION!BR$36)</f>
        <v>2621.2094999999999</v>
      </c>
      <c r="BS34" s="88">
        <f>IF(COUNTIF(CAPA3_EXPANSION!$D$56:BS$56,"&gt;="&amp;27)=0,0,SUP_CONTROL!$C$8*IF($B34="V",1,IF($B34="D",(1+SUP_VOLUMEN!$C$26),(1+SUP_VOLUMEN!$C$27)))*INDEX(SUP_C3_EXPANSION!$C$6:$F$6,MIN(4,COUNTIF(CAPA3_EXPANSION!$D$56:BS$56,"&gt;="&amp;27)))*CAPA3_EXPANSION!BS$36)</f>
        <v>2912.4549999999999</v>
      </c>
      <c r="BT34" s="88">
        <f>IF(COUNTIF(CAPA3_EXPANSION!$D$56:BT$56,"&gt;="&amp;27)=0,0,SUP_CONTROL!$C$8*IF($B34="V",1,IF($B34="D",(1+SUP_VOLUMEN!$C$26),(1+SUP_VOLUMEN!$C$27)))*INDEX(SUP_C3_EXPANSION!$C$6:$F$6,MIN(4,COUNTIF(CAPA3_EXPANSION!$D$56:BT$56,"&gt;="&amp;27)))*CAPA3_EXPANSION!BT$36)</f>
        <v>2912.4549999999999</v>
      </c>
      <c r="BU34" s="88">
        <f>IF(COUNTIF(CAPA3_EXPANSION!$D$56:BU$56,"&gt;="&amp;27)=0,0,SUP_CONTROL!$C$8*IF($B34="V",1,IF($B34="D",(1+SUP_VOLUMEN!$C$26),(1+SUP_VOLUMEN!$C$27)))*INDEX(SUP_C3_EXPANSION!$C$6:$F$6,MIN(4,COUNTIF(CAPA3_EXPANSION!$D$56:BU$56,"&gt;="&amp;27)))*CAPA3_EXPANSION!BU$36)</f>
        <v>2861.95</v>
      </c>
      <c r="BV34" s="88">
        <f>IF(COUNTIF(CAPA3_EXPANSION!$D$56:BV$56,"&gt;="&amp;27)=0,0,SUP_CONTROL!$C$8*IF($B34="V",1,IF($B34="D",(1+SUP_VOLUMEN!$C$26),(1+SUP_VOLUMEN!$C$27)))*INDEX(SUP_C3_EXPANSION!$C$6:$F$6,MIN(4,COUNTIF(CAPA3_EXPANSION!$D$56:BV$56,"&gt;="&amp;27)))*CAPA3_EXPANSION!BV$36)</f>
        <v>2861.95</v>
      </c>
      <c r="BW34" s="88">
        <f>IF(COUNTIF(CAPA3_EXPANSION!$D$56:BW$56,"&gt;="&amp;27)=0,0,SUP_CONTROL!$C$8*IF($B34="V",1,IF($B34="D",(1+SUP_VOLUMEN!$C$26),(1+SUP_VOLUMEN!$C$27)))*INDEX(SUP_C3_EXPANSION!$C$6:$F$6,MIN(4,COUNTIF(CAPA3_EXPANSION!$D$56:BW$56,"&gt;="&amp;27)))*CAPA3_EXPANSION!BW$36)</f>
        <v>2861.95</v>
      </c>
      <c r="BX34" s="88">
        <f>IF(COUNTIF(CAPA3_EXPANSION!$D$56:BX$56,"&gt;="&amp;27)=0,0,SUP_CONTROL!$C$8*IF($B34="V",1,IF($B34="D",(1+SUP_VOLUMEN!$C$26),(1+SUP_VOLUMEN!$C$27)))*INDEX(SUP_C3_EXPANSION!$C$6:$F$6,MIN(4,COUNTIF(CAPA3_EXPANSION!$D$56:BX$56,"&gt;="&amp;27)))*CAPA3_EXPANSION!BX$36)</f>
        <v>2861.95</v>
      </c>
      <c r="BY34" s="88">
        <f>IF(COUNTIF(CAPA3_EXPANSION!$D$56:BY$56,"&gt;="&amp;27)=0,0,SUP_CONTROL!$C$8*IF($B34="V",1,IF($B34="D",(1+SUP_VOLUMEN!$C$26),(1+SUP_VOLUMEN!$C$27)))*INDEX(SUP_C3_EXPANSION!$C$6:$F$6,MIN(4,COUNTIF(CAPA3_EXPANSION!$D$56:BY$56,"&gt;="&amp;27)))*CAPA3_EXPANSION!BY$36)</f>
        <v>2861.95</v>
      </c>
      <c r="BZ34" s="88">
        <f>IF(COUNTIF(CAPA3_EXPANSION!$D$56:BZ$56,"&gt;="&amp;27)=0,0,SUP_CONTROL!$C$8*IF($B34="V",1,IF($B34="D",(1+SUP_VOLUMEN!$C$26),(1+SUP_VOLUMEN!$C$27)))*INDEX(SUP_C3_EXPANSION!$C$6:$F$6,MIN(4,COUNTIF(CAPA3_EXPANSION!$D$56:BZ$56,"&gt;="&amp;27)))*CAPA3_EXPANSION!BZ$36)</f>
        <v>2828.2799999999997</v>
      </c>
      <c r="CA34" s="88">
        <f>IF(COUNTIF(CAPA3_EXPANSION!$D$56:CA$56,"&gt;="&amp;27)=0,0,SUP_CONTROL!$C$8*IF($B34="V",1,IF($B34="D",(1+SUP_VOLUMEN!$C$26),(1+SUP_VOLUMEN!$C$27)))*INDEX(SUP_C3_EXPANSION!$C$6:$F$6,MIN(4,COUNTIF(CAPA3_EXPANSION!$D$56:CA$56,"&gt;="&amp;27)))*CAPA3_EXPANSION!CA$36)</f>
        <v>2828.2799999999997</v>
      </c>
      <c r="CB34" s="88">
        <f>IF(COUNTIF(CAPA3_EXPANSION!$D$56:CB$56,"&gt;="&amp;27)=0,0,SUP_CONTROL!$C$8*IF($B34="V",1,IF($B34="D",(1+SUP_VOLUMEN!$C$26),(1+SUP_VOLUMEN!$C$27)))*INDEX(SUP_C3_EXPANSION!$C$6:$F$6,MIN(4,COUNTIF(CAPA3_EXPANSION!$D$56:CB$56,"&gt;="&amp;27)))*CAPA3_EXPANSION!CB$36)</f>
        <v>2828.2799999999997</v>
      </c>
      <c r="CC34" s="88">
        <f>IF(COUNTIF(CAPA3_EXPANSION!$D$56:CC$56,"&gt;="&amp;27)=0,0,SUP_CONTROL!$C$8*IF($B34="V",1,IF($B34="D",(1+SUP_VOLUMEN!$C$26),(1+SUP_VOLUMEN!$C$27)))*INDEX(SUP_C3_EXPANSION!$C$6:$F$6,MIN(4,COUNTIF(CAPA3_EXPANSION!$D$56:CC$56,"&gt;="&amp;27)))*CAPA3_EXPANSION!CC$36)</f>
        <v>2828.2799999999997</v>
      </c>
      <c r="CD34" s="88">
        <f>IF(COUNTIF(CAPA3_EXPANSION!$D$56:CD$56,"&gt;="&amp;27)=0,0,SUP_CONTROL!$C$8*IF($B34="V",1,IF($B34="D",(1+SUP_VOLUMEN!$C$26),(1+SUP_VOLUMEN!$C$27)))*INDEX(SUP_C3_EXPANSION!$C$6:$F$6,MIN(4,COUNTIF(CAPA3_EXPANSION!$D$56:CD$56,"&gt;="&amp;27)))*CAPA3_EXPANSION!CD$36)</f>
        <v>2828.2799999999997</v>
      </c>
      <c r="CE34" s="88">
        <f>IF(COUNTIF(CAPA3_EXPANSION!$D$56:CE$56,"&gt;="&amp;27)=0,0,SUP_CONTROL!$C$8*IF($B34="V",1,IF($B34="D",(1+SUP_VOLUMEN!$C$26),(1+SUP_VOLUMEN!$C$27)))*INDEX(SUP_C3_EXPANSION!$C$6:$F$6,MIN(4,COUNTIF(CAPA3_EXPANSION!$D$56:CE$56,"&gt;="&amp;27)))*CAPA3_EXPANSION!CE$36)</f>
        <v>2828.2799999999997</v>
      </c>
      <c r="CF34" s="88">
        <f>IF(COUNTIF(CAPA3_EXPANSION!$D$56:CF$56,"&gt;="&amp;27)=0,0,SUP_CONTROL!$C$8*IF($B34="V",1,IF($B34="D",(1+SUP_VOLUMEN!$C$26),(1+SUP_VOLUMEN!$C$27)))*INDEX(SUP_C3_EXPANSION!$C$6:$F$6,MIN(4,COUNTIF(CAPA3_EXPANSION!$D$56:CF$56,"&gt;="&amp;27)))*CAPA3_EXPANSION!CF$36)</f>
        <v>2828.2799999999997</v>
      </c>
      <c r="CG34" s="88">
        <f>IF(COUNTIF(CAPA3_EXPANSION!$D$56:CG$56,"&gt;="&amp;27)=0,0,SUP_CONTROL!$C$8*IF($B34="V",1,IF($B34="D",(1+SUP_VOLUMEN!$C$26),(1+SUP_VOLUMEN!$C$27)))*INDEX(SUP_C3_EXPANSION!$C$6:$F$6,MIN(4,COUNTIF(CAPA3_EXPANSION!$D$56:CG$56,"&gt;="&amp;27)))*CAPA3_EXPANSION!CG$36)</f>
        <v>2828.2799999999997</v>
      </c>
      <c r="CH34" s="88">
        <f>IF(COUNTIF(CAPA3_EXPANSION!$D$56:CH$56,"&gt;="&amp;27)=0,0,SUP_CONTROL!$C$8*IF($B34="V",1,IF($B34="D",(1+SUP_VOLUMEN!$C$26),(1+SUP_VOLUMEN!$C$27)))*INDEX(SUP_C3_EXPANSION!$C$6:$F$6,MIN(4,COUNTIF(CAPA3_EXPANSION!$D$56:CH$56,"&gt;="&amp;27)))*CAPA3_EXPANSION!CH$36)</f>
        <v>2828.2799999999997</v>
      </c>
      <c r="CI34" s="88">
        <f>IF(COUNTIF(CAPA3_EXPANSION!$D$56:CI$56,"&gt;="&amp;27)=0,0,SUP_CONTROL!$C$8*IF($B34="V",1,IF($B34="D",(1+SUP_VOLUMEN!$C$26),(1+SUP_VOLUMEN!$C$27)))*INDEX(SUP_C3_EXPANSION!$C$6:$F$6,MIN(4,COUNTIF(CAPA3_EXPANSION!$D$56:CI$56,"&gt;="&amp;27)))*CAPA3_EXPANSION!CI$36)</f>
        <v>2828.2799999999997</v>
      </c>
      <c r="CJ34" s="88">
        <f>IF(COUNTIF(CAPA3_EXPANSION!$D$56:CJ$56,"&gt;="&amp;27)=0,0,SUP_CONTROL!$C$8*IF($B34="V",1,IF($B34="D",(1+SUP_VOLUMEN!$C$26),(1+SUP_VOLUMEN!$C$27)))*INDEX(SUP_C3_EXPANSION!$C$6:$F$6,MIN(4,COUNTIF(CAPA3_EXPANSION!$D$56:CJ$56,"&gt;="&amp;27)))*CAPA3_EXPANSION!CJ$36)</f>
        <v>2828.2799999999997</v>
      </c>
      <c r="CK34" s="88">
        <f>IF(COUNTIF(CAPA3_EXPANSION!$D$56:CK$56,"&gt;="&amp;27)=0,0,SUP_CONTROL!$C$8*IF($B34="V",1,IF($B34="D",(1+SUP_VOLUMEN!$C$26),(1+SUP_VOLUMEN!$C$27)))*INDEX(SUP_C3_EXPANSION!$C$6:$F$6,MIN(4,COUNTIF(CAPA3_EXPANSION!$D$56:CK$56,"&gt;="&amp;27)))*CAPA3_EXPANSION!CK$36)</f>
        <v>2828.2799999999997</v>
      </c>
      <c r="CL34" s="88">
        <f>IF(COUNTIF(CAPA3_EXPANSION!$D$56:CL$56,"&gt;="&amp;27)=0,0,SUP_CONTROL!$C$8*IF($B34="V",1,IF($B34="D",(1+SUP_VOLUMEN!$C$26),(1+SUP_VOLUMEN!$C$27)))*INDEX(SUP_C3_EXPANSION!$C$6:$F$6,MIN(4,COUNTIF(CAPA3_EXPANSION!$D$56:CL$56,"&gt;="&amp;27)))*CAPA3_EXPANSION!CL$36)</f>
        <v>2828.2799999999997</v>
      </c>
      <c r="CM34" s="88">
        <f>IF(COUNTIF(CAPA3_EXPANSION!$D$56:CM$56,"&gt;="&amp;27)=0,0,SUP_CONTROL!$C$8*IF($B34="V",1,IF($B34="D",(1+SUP_VOLUMEN!$C$26),(1+SUP_VOLUMEN!$C$27)))*INDEX(SUP_C3_EXPANSION!$C$6:$F$6,MIN(4,COUNTIF(CAPA3_EXPANSION!$D$56:CM$56,"&gt;="&amp;27)))*CAPA3_EXPANSION!CM$36)</f>
        <v>2828.2799999999997</v>
      </c>
      <c r="CN34" s="88">
        <f>IF(COUNTIF(CAPA3_EXPANSION!$D$56:CN$56,"&gt;="&amp;27)=0,0,SUP_CONTROL!$C$8*IF($B34="V",1,IF($B34="D",(1+SUP_VOLUMEN!$C$26),(1+SUP_VOLUMEN!$C$27)))*INDEX(SUP_C3_EXPANSION!$C$6:$F$6,MIN(4,COUNTIF(CAPA3_EXPANSION!$D$56:CN$56,"&gt;="&amp;27)))*CAPA3_EXPANSION!CN$36)</f>
        <v>2828.2799999999997</v>
      </c>
      <c r="CO34" s="88">
        <f>IF(COUNTIF(CAPA3_EXPANSION!$D$56:CO$56,"&gt;="&amp;27)=0,0,SUP_CONTROL!$C$8*IF($B34="V",1,IF($B34="D",(1+SUP_VOLUMEN!$C$26),(1+SUP_VOLUMEN!$C$27)))*INDEX(SUP_C3_EXPANSION!$C$6:$F$6,MIN(4,COUNTIF(CAPA3_EXPANSION!$D$56:CO$56,"&gt;="&amp;27)))*CAPA3_EXPANSION!CO$36)</f>
        <v>2828.2799999999997</v>
      </c>
      <c r="CP34" s="88">
        <f>IF(COUNTIF(CAPA3_EXPANSION!$D$56:CP$56,"&gt;="&amp;27)=0,0,SUP_CONTROL!$C$8*IF($B34="V",1,IF($B34="D",(1+SUP_VOLUMEN!$C$26),(1+SUP_VOLUMEN!$C$27)))*INDEX(SUP_C3_EXPANSION!$C$6:$F$6,MIN(4,COUNTIF(CAPA3_EXPANSION!$D$56:CP$56,"&gt;="&amp;27)))*CAPA3_EXPANSION!CP$36)</f>
        <v>2828.2799999999997</v>
      </c>
      <c r="CQ34" s="88">
        <f>IF(COUNTIF(CAPA3_EXPANSION!$D$56:CQ$56,"&gt;="&amp;27)=0,0,SUP_CONTROL!$C$8*IF($B34="V",1,IF($B34="D",(1+SUP_VOLUMEN!$C$26),(1+SUP_VOLUMEN!$C$27)))*INDEX(SUP_C3_EXPANSION!$C$6:$F$6,MIN(4,COUNTIF(CAPA3_EXPANSION!$D$56:CQ$56,"&gt;="&amp;27)))*CAPA3_EXPANSION!CQ$36)</f>
        <v>2828.2799999999997</v>
      </c>
      <c r="CR34" s="88">
        <f>IF(COUNTIF(CAPA3_EXPANSION!$D$56:CR$56,"&gt;="&amp;27)=0,0,SUP_CONTROL!$C$8*IF($B34="V",1,IF($B34="D",(1+SUP_VOLUMEN!$C$26),(1+SUP_VOLUMEN!$C$27)))*INDEX(SUP_C3_EXPANSION!$C$6:$F$6,MIN(4,COUNTIF(CAPA3_EXPANSION!$D$56:CR$56,"&gt;="&amp;27)))*CAPA3_EXPANSION!CR$36)</f>
        <v>2828.2799999999997</v>
      </c>
      <c r="CS34" s="88">
        <f>IF(COUNTIF(CAPA3_EXPANSION!$D$56:CS$56,"&gt;="&amp;27)=0,0,SUP_CONTROL!$C$8*IF($B34="V",1,IF($B34="D",(1+SUP_VOLUMEN!$C$26),(1+SUP_VOLUMEN!$C$27)))*INDEX(SUP_C3_EXPANSION!$C$6:$F$6,MIN(4,COUNTIF(CAPA3_EXPANSION!$D$56:CS$56,"&gt;="&amp;27)))*CAPA3_EXPANSION!CS$36)</f>
        <v>2828.2799999999997</v>
      </c>
      <c r="CT34" s="88">
        <f>IF(COUNTIF(CAPA3_EXPANSION!$D$56:CT$56,"&gt;="&amp;27)=0,0,SUP_CONTROL!$C$8*IF($B34="V",1,IF($B34="D",(1+SUP_VOLUMEN!$C$26),(1+SUP_VOLUMEN!$C$27)))*INDEX(SUP_C3_EXPANSION!$C$6:$F$6,MIN(4,COUNTIF(CAPA3_EXPANSION!$D$56:CT$56,"&gt;="&amp;27)))*CAPA3_EXPANSION!CT$36)</f>
        <v>2828.2799999999997</v>
      </c>
      <c r="CU34" s="88">
        <f>IF(COUNTIF(CAPA3_EXPANSION!$D$56:CU$56,"&gt;="&amp;27)=0,0,SUP_CONTROL!$C$8*IF($B34="V",1,IF($B34="D",(1+SUP_VOLUMEN!$C$26),(1+SUP_VOLUMEN!$C$27)))*INDEX(SUP_C3_EXPANSION!$C$6:$F$6,MIN(4,COUNTIF(CAPA3_EXPANSION!$D$56:CU$56,"&gt;="&amp;27)))*CAPA3_EXPANSION!CU$36)</f>
        <v>2828.2799999999997</v>
      </c>
      <c r="CV34" s="88">
        <f>IF(COUNTIF(CAPA3_EXPANSION!$D$56:CV$56,"&gt;="&amp;27)=0,0,SUP_CONTROL!$C$8*IF($B34="V",1,IF($B34="D",(1+SUP_VOLUMEN!$C$26),(1+SUP_VOLUMEN!$C$27)))*INDEX(SUP_C3_EXPANSION!$C$6:$F$6,MIN(4,COUNTIF(CAPA3_EXPANSION!$D$56:CV$56,"&gt;="&amp;27)))*CAPA3_EXPANSION!CV$36)</f>
        <v>2828.2799999999997</v>
      </c>
      <c r="CW34" s="88">
        <f>IF(COUNTIF(CAPA3_EXPANSION!$D$56:CW$56,"&gt;="&amp;27)=0,0,SUP_CONTROL!$C$8*IF($B34="V",1,IF($B34="D",(1+SUP_VOLUMEN!$C$26),(1+SUP_VOLUMEN!$C$27)))*INDEX(SUP_C3_EXPANSION!$C$6:$F$6,MIN(4,COUNTIF(CAPA3_EXPANSION!$D$56:CW$56,"&gt;="&amp;27)))*CAPA3_EXPANSION!CW$36)</f>
        <v>2828.2799999999997</v>
      </c>
      <c r="CX34" s="88">
        <f>IF(COUNTIF(CAPA3_EXPANSION!$D$56:CX$56,"&gt;="&amp;27)=0,0,SUP_CONTROL!$C$8*IF($B34="V",1,IF($B34="D",(1+SUP_VOLUMEN!$C$26),(1+SUP_VOLUMEN!$C$27)))*INDEX(SUP_C3_EXPANSION!$C$6:$F$6,MIN(4,COUNTIF(CAPA3_EXPANSION!$D$56:CX$56,"&gt;="&amp;27)))*CAPA3_EXPANSION!CX$36)</f>
        <v>2828.2799999999997</v>
      </c>
      <c r="CY34" s="88">
        <f>IF(COUNTIF(CAPA3_EXPANSION!$D$56:CY$56,"&gt;="&amp;27)=0,0,SUP_CONTROL!$C$8*IF($B34="V",1,IF($B34="D",(1+SUP_VOLUMEN!$C$26),(1+SUP_VOLUMEN!$C$27)))*INDEX(SUP_C3_EXPANSION!$C$6:$F$6,MIN(4,COUNTIF(CAPA3_EXPANSION!$D$56:CY$56,"&gt;="&amp;27)))*CAPA3_EXPANSION!CY$36)</f>
        <v>2828.2799999999997</v>
      </c>
      <c r="CZ34" s="88">
        <f>IF(COUNTIF(CAPA3_EXPANSION!$D$56:CZ$56,"&gt;="&amp;27)=0,0,SUP_CONTROL!$C$8*IF($B34="V",1,IF($B34="D",(1+SUP_VOLUMEN!$C$26),(1+SUP_VOLUMEN!$C$27)))*INDEX(SUP_C3_EXPANSION!$C$6:$F$6,MIN(4,COUNTIF(CAPA3_EXPANSION!$D$56:CZ$56,"&gt;="&amp;27)))*CAPA3_EXPANSION!CZ$36)</f>
        <v>2828.2799999999997</v>
      </c>
      <c r="DA34" s="88">
        <f>IF(COUNTIF(CAPA3_EXPANSION!$D$56:DA$56,"&gt;="&amp;27)=0,0,SUP_CONTROL!$C$8*IF($B34="V",1,IF($B34="D",(1+SUP_VOLUMEN!$C$26),(1+SUP_VOLUMEN!$C$27)))*INDEX(SUP_C3_EXPANSION!$C$6:$F$6,MIN(4,COUNTIF(CAPA3_EXPANSION!$D$56:DA$56,"&gt;="&amp;27)))*CAPA3_EXPANSION!DA$36)</f>
        <v>2828.2799999999997</v>
      </c>
      <c r="DB34" s="88">
        <f>IF(COUNTIF(CAPA3_EXPANSION!$D$56:DB$56,"&gt;="&amp;27)=0,0,SUP_CONTROL!$C$8*IF($B34="V",1,IF($B34="D",(1+SUP_VOLUMEN!$C$26),(1+SUP_VOLUMEN!$C$27)))*INDEX(SUP_C3_EXPANSION!$C$6:$F$6,MIN(4,COUNTIF(CAPA3_EXPANSION!$D$56:DB$56,"&gt;="&amp;27)))*CAPA3_EXPANSION!DB$36)</f>
        <v>2828.2799999999997</v>
      </c>
      <c r="DC34" s="88">
        <f>IF(COUNTIF(CAPA3_EXPANSION!$D$56:DC$56,"&gt;="&amp;27)=0,0,SUP_CONTROL!$C$8*IF($B34="V",1,IF($B34="D",(1+SUP_VOLUMEN!$C$26),(1+SUP_VOLUMEN!$C$27)))*INDEX(SUP_C3_EXPANSION!$C$6:$F$6,MIN(4,COUNTIF(CAPA3_EXPANSION!$D$56:DC$56,"&gt;="&amp;27)))*CAPA3_EXPANSION!DC$36)</f>
        <v>2828.2799999999997</v>
      </c>
      <c r="DD34" s="88">
        <f>IF(COUNTIF(CAPA3_EXPANSION!$D$56:DD$56,"&gt;="&amp;27)=0,0,SUP_CONTROL!$C$8*IF($B34="V",1,IF($B34="D",(1+SUP_VOLUMEN!$C$26),(1+SUP_VOLUMEN!$C$27)))*INDEX(SUP_C3_EXPANSION!$C$6:$F$6,MIN(4,COUNTIF(CAPA3_EXPANSION!$D$56:DD$56,"&gt;="&amp;27)))*CAPA3_EXPANSION!DD$36)</f>
        <v>2828.2799999999997</v>
      </c>
      <c r="DE34" s="88">
        <f>IF(COUNTIF(CAPA3_EXPANSION!$D$56:DE$56,"&gt;="&amp;27)=0,0,SUP_CONTROL!$C$8*IF($B34="V",1,IF($B34="D",(1+SUP_VOLUMEN!$C$26),(1+SUP_VOLUMEN!$C$27)))*INDEX(SUP_C3_EXPANSION!$C$6:$F$6,MIN(4,COUNTIF(CAPA3_EXPANSION!$D$56:DE$56,"&gt;="&amp;27)))*CAPA3_EXPANSION!DE$36)</f>
        <v>2828.2799999999997</v>
      </c>
      <c r="DF34" s="88">
        <f>IF(COUNTIF(CAPA3_EXPANSION!$D$56:DF$56,"&gt;="&amp;27)=0,0,SUP_CONTROL!$C$8*IF($B34="V",1,IF($B34="D",(1+SUP_VOLUMEN!$C$26),(1+SUP_VOLUMEN!$C$27)))*INDEX(SUP_C3_EXPANSION!$C$6:$F$6,MIN(4,COUNTIF(CAPA3_EXPANSION!$D$56:DF$56,"&gt;="&amp;27)))*CAPA3_EXPANSION!DF$36)</f>
        <v>2828.2799999999997</v>
      </c>
      <c r="DG34" s="88">
        <f>IF(COUNTIF(CAPA3_EXPANSION!$D$56:DG$56,"&gt;="&amp;27)=0,0,SUP_CONTROL!$C$8*IF($B34="V",1,IF($B34="D",(1+SUP_VOLUMEN!$C$26),(1+SUP_VOLUMEN!$C$27)))*INDEX(SUP_C3_EXPANSION!$C$6:$F$6,MIN(4,COUNTIF(CAPA3_EXPANSION!$D$56:DG$56,"&gt;="&amp;27)))*CAPA3_EXPANSION!DG$36)</f>
        <v>2828.2799999999997</v>
      </c>
      <c r="DH34" s="88">
        <f>IF(COUNTIF(CAPA3_EXPANSION!$D$56:DH$56,"&gt;="&amp;27)=0,0,SUP_CONTROL!$C$8*IF($B34="V",1,IF($B34="D",(1+SUP_VOLUMEN!$C$26),(1+SUP_VOLUMEN!$C$27)))*INDEX(SUP_C3_EXPANSION!$C$6:$F$6,MIN(4,COUNTIF(CAPA3_EXPANSION!$D$56:DH$56,"&gt;="&amp;27)))*CAPA3_EXPANSION!DH$36)</f>
        <v>2828.2799999999997</v>
      </c>
      <c r="DI34" s="88">
        <f>IF(COUNTIF(CAPA3_EXPANSION!$D$56:DI$56,"&gt;="&amp;27)=0,0,SUP_CONTROL!$C$8*IF($B34="V",1,IF($B34="D",(1+SUP_VOLUMEN!$C$26),(1+SUP_VOLUMEN!$C$27)))*INDEX(SUP_C3_EXPANSION!$C$6:$F$6,MIN(4,COUNTIF(CAPA3_EXPANSION!$D$56:DI$56,"&gt;="&amp;27)))*CAPA3_EXPANSION!DI$36)</f>
        <v>2828.2799999999997</v>
      </c>
      <c r="DJ34" s="88">
        <f>IF(COUNTIF(CAPA3_EXPANSION!$D$56:DJ$56,"&gt;="&amp;27)=0,0,SUP_CONTROL!$C$8*IF($B34="V",1,IF($B34="D",(1+SUP_VOLUMEN!$C$26),(1+SUP_VOLUMEN!$C$27)))*INDEX(SUP_C3_EXPANSION!$C$6:$F$6,MIN(4,COUNTIF(CAPA3_EXPANSION!$D$56:DJ$56,"&gt;="&amp;27)))*CAPA3_EXPANSION!DJ$36)</f>
        <v>2828.2799999999997</v>
      </c>
      <c r="DK34" s="88">
        <f>IF(COUNTIF(CAPA3_EXPANSION!$D$56:DK$56,"&gt;="&amp;27)=0,0,SUP_CONTROL!$C$8*IF($B34="V",1,IF($B34="D",(1+SUP_VOLUMEN!$C$26),(1+SUP_VOLUMEN!$C$27)))*INDEX(SUP_C3_EXPANSION!$C$6:$F$6,MIN(4,COUNTIF(CAPA3_EXPANSION!$D$56:DK$56,"&gt;="&amp;27)))*CAPA3_EXPANSION!DK$36)</f>
        <v>2828.2799999999997</v>
      </c>
      <c r="DL34" s="88">
        <f>IF(COUNTIF(CAPA3_EXPANSION!$D$56:DL$56,"&gt;="&amp;27)=0,0,SUP_CONTROL!$C$8*IF($B34="V",1,IF($B34="D",(1+SUP_VOLUMEN!$C$26),(1+SUP_VOLUMEN!$C$27)))*INDEX(SUP_C3_EXPANSION!$C$6:$F$6,MIN(4,COUNTIF(CAPA3_EXPANSION!$D$56:DL$56,"&gt;="&amp;27)))*CAPA3_EXPANSION!DL$36)</f>
        <v>2828.2799999999997</v>
      </c>
      <c r="DM34" s="88">
        <f>IF(COUNTIF(CAPA3_EXPANSION!$D$56:DM$56,"&gt;="&amp;27)=0,0,SUP_CONTROL!$C$8*IF($B34="V",1,IF($B34="D",(1+SUP_VOLUMEN!$C$26),(1+SUP_VOLUMEN!$C$27)))*INDEX(SUP_C3_EXPANSION!$C$6:$F$6,MIN(4,COUNTIF(CAPA3_EXPANSION!$D$56:DM$56,"&gt;="&amp;27)))*CAPA3_EXPANSION!DM$36)</f>
        <v>2828.2799999999997</v>
      </c>
      <c r="DN34" s="88">
        <f>IF(COUNTIF(CAPA3_EXPANSION!$D$56:DN$56,"&gt;="&amp;27)=0,0,SUP_CONTROL!$C$8*IF($B34="V",1,IF($B34="D",(1+SUP_VOLUMEN!$C$26),(1+SUP_VOLUMEN!$C$27)))*INDEX(SUP_C3_EXPANSION!$C$6:$F$6,MIN(4,COUNTIF(CAPA3_EXPANSION!$D$56:DN$56,"&gt;="&amp;27)))*CAPA3_EXPANSION!DN$36)</f>
        <v>2828.2799999999997</v>
      </c>
      <c r="DO34" s="88">
        <f>IF(COUNTIF(CAPA3_EXPANSION!$D$56:DO$56,"&gt;="&amp;27)=0,0,SUP_CONTROL!$C$8*IF($B34="V",1,IF($B34="D",(1+SUP_VOLUMEN!$C$26),(1+SUP_VOLUMEN!$C$27)))*INDEX(SUP_C3_EXPANSION!$C$6:$F$6,MIN(4,COUNTIF(CAPA3_EXPANSION!$D$56:DO$56,"&gt;="&amp;27)))*CAPA3_EXPANSION!DO$36)</f>
        <v>2828.2799999999997</v>
      </c>
      <c r="DP34" s="88">
        <f>IF(COUNTIF(CAPA3_EXPANSION!$D$56:DP$56,"&gt;="&amp;27)=0,0,SUP_CONTROL!$C$8*IF($B34="V",1,IF($B34="D",(1+SUP_VOLUMEN!$C$26),(1+SUP_VOLUMEN!$C$27)))*INDEX(SUP_C3_EXPANSION!$C$6:$F$6,MIN(4,COUNTIF(CAPA3_EXPANSION!$D$56:DP$56,"&gt;="&amp;27)))*CAPA3_EXPANSION!DP$36)</f>
        <v>2828.2799999999997</v>
      </c>
      <c r="DQ34" s="88">
        <f>IF(COUNTIF(CAPA3_EXPANSION!$D$56:DQ$56,"&gt;="&amp;27)=0,0,SUP_CONTROL!$C$8*IF($B34="V",1,IF($B34="D",(1+SUP_VOLUMEN!$C$26),(1+SUP_VOLUMEN!$C$27)))*INDEX(SUP_C3_EXPANSION!$C$6:$F$6,MIN(4,COUNTIF(CAPA3_EXPANSION!$D$56:DQ$56,"&gt;="&amp;27)))*CAPA3_EXPANSION!DQ$36)</f>
        <v>2828.2799999999997</v>
      </c>
      <c r="DR34" s="88">
        <f>IF(COUNTIF(CAPA3_EXPANSION!$D$56:DR$56,"&gt;="&amp;27)=0,0,SUP_CONTROL!$C$8*IF($B34="V",1,IF($B34="D",(1+SUP_VOLUMEN!$C$26),(1+SUP_VOLUMEN!$C$27)))*INDEX(SUP_C3_EXPANSION!$C$6:$F$6,MIN(4,COUNTIF(CAPA3_EXPANSION!$D$56:DR$56,"&gt;="&amp;27)))*CAPA3_EXPANSION!DR$36)</f>
        <v>2828.2799999999997</v>
      </c>
      <c r="DS34" s="88">
        <f>IF(COUNTIF(CAPA3_EXPANSION!$D$56:DS$56,"&gt;="&amp;27)=0,0,SUP_CONTROL!$C$8*IF($B34="V",1,IF($B34="D",(1+SUP_VOLUMEN!$C$26),(1+SUP_VOLUMEN!$C$27)))*INDEX(SUP_C3_EXPANSION!$C$6:$F$6,MIN(4,COUNTIF(CAPA3_EXPANSION!$D$56:DS$56,"&gt;="&amp;27)))*CAPA3_EXPANSION!DS$36)</f>
        <v>2828.2799999999997</v>
      </c>
    </row>
    <row r="35" spans="1:123" ht="15" customHeight="1" x14ac:dyDescent="0.2">
      <c r="A35" s="88">
        <v>38</v>
      </c>
      <c r="B35" s="104" t="str">
        <f>SUP_C3_EXPANSION!B47</f>
        <v>V</v>
      </c>
      <c r="C35" s="73">
        <f>SUP_C3_EXPANSION!G47</f>
        <v>63</v>
      </c>
      <c r="D35" s="88">
        <f>IF(COUNTIF(CAPA3_EXPANSION!$D$56:D$56,"&gt;="&amp;28)=0,0,SUP_CONTROL!$C$8*IF($B35="V",1,IF($B35="D",(1+SUP_VOLUMEN!$C$26),(1+SUP_VOLUMEN!$C$27)))*INDEX(SUP_C3_EXPANSION!$C$6:$F$6,MIN(4,COUNTIF(CAPA3_EXPANSION!$D$56:D$56,"&gt;="&amp;28)))*CAPA3_EXPANSION!D$36)</f>
        <v>0</v>
      </c>
      <c r="E35" s="88">
        <f>IF(COUNTIF(CAPA3_EXPANSION!$D$56:E$56,"&gt;="&amp;28)=0,0,SUP_CONTROL!$C$8*IF($B35="V",1,IF($B35="D",(1+SUP_VOLUMEN!$C$26),(1+SUP_VOLUMEN!$C$27)))*INDEX(SUP_C3_EXPANSION!$C$6:$F$6,MIN(4,COUNTIF(CAPA3_EXPANSION!$D$56:E$56,"&gt;="&amp;28)))*CAPA3_EXPANSION!E$36)</f>
        <v>0</v>
      </c>
      <c r="F35" s="88">
        <f>IF(COUNTIF(CAPA3_EXPANSION!$D$56:F$56,"&gt;="&amp;28)=0,0,SUP_CONTROL!$C$8*IF($B35="V",1,IF($B35="D",(1+SUP_VOLUMEN!$C$26),(1+SUP_VOLUMEN!$C$27)))*INDEX(SUP_C3_EXPANSION!$C$6:$F$6,MIN(4,COUNTIF(CAPA3_EXPANSION!$D$56:F$56,"&gt;="&amp;28)))*CAPA3_EXPANSION!F$36)</f>
        <v>0</v>
      </c>
      <c r="G35" s="88">
        <f>IF(COUNTIF(CAPA3_EXPANSION!$D$56:G$56,"&gt;="&amp;28)=0,0,SUP_CONTROL!$C$8*IF($B35="V",1,IF($B35="D",(1+SUP_VOLUMEN!$C$26),(1+SUP_VOLUMEN!$C$27)))*INDEX(SUP_C3_EXPANSION!$C$6:$F$6,MIN(4,COUNTIF(CAPA3_EXPANSION!$D$56:G$56,"&gt;="&amp;28)))*CAPA3_EXPANSION!G$36)</f>
        <v>0</v>
      </c>
      <c r="H35" s="88">
        <f>IF(COUNTIF(CAPA3_EXPANSION!$D$56:H$56,"&gt;="&amp;28)=0,0,SUP_CONTROL!$C$8*IF($B35="V",1,IF($B35="D",(1+SUP_VOLUMEN!$C$26),(1+SUP_VOLUMEN!$C$27)))*INDEX(SUP_C3_EXPANSION!$C$6:$F$6,MIN(4,COUNTIF(CAPA3_EXPANSION!$D$56:H$56,"&gt;="&amp;28)))*CAPA3_EXPANSION!H$36)</f>
        <v>0</v>
      </c>
      <c r="I35" s="88">
        <f>IF(COUNTIF(CAPA3_EXPANSION!$D$56:I$56,"&gt;="&amp;28)=0,0,SUP_CONTROL!$C$8*IF($B35="V",1,IF($B35="D",(1+SUP_VOLUMEN!$C$26),(1+SUP_VOLUMEN!$C$27)))*INDEX(SUP_C3_EXPANSION!$C$6:$F$6,MIN(4,COUNTIF(CAPA3_EXPANSION!$D$56:I$56,"&gt;="&amp;28)))*CAPA3_EXPANSION!I$36)</f>
        <v>0</v>
      </c>
      <c r="J35" s="88">
        <f>IF(COUNTIF(CAPA3_EXPANSION!$D$56:J$56,"&gt;="&amp;28)=0,0,SUP_CONTROL!$C$8*IF($B35="V",1,IF($B35="D",(1+SUP_VOLUMEN!$C$26),(1+SUP_VOLUMEN!$C$27)))*INDEX(SUP_C3_EXPANSION!$C$6:$F$6,MIN(4,COUNTIF(CAPA3_EXPANSION!$D$56:J$56,"&gt;="&amp;28)))*CAPA3_EXPANSION!J$36)</f>
        <v>0</v>
      </c>
      <c r="K35" s="88">
        <f>IF(COUNTIF(CAPA3_EXPANSION!$D$56:K$56,"&gt;="&amp;28)=0,0,SUP_CONTROL!$C$8*IF($B35="V",1,IF($B35="D",(1+SUP_VOLUMEN!$C$26),(1+SUP_VOLUMEN!$C$27)))*INDEX(SUP_C3_EXPANSION!$C$6:$F$6,MIN(4,COUNTIF(CAPA3_EXPANSION!$D$56:K$56,"&gt;="&amp;28)))*CAPA3_EXPANSION!K$36)</f>
        <v>0</v>
      </c>
      <c r="L35" s="88">
        <f>IF(COUNTIF(CAPA3_EXPANSION!$D$56:L$56,"&gt;="&amp;28)=0,0,SUP_CONTROL!$C$8*IF($B35="V",1,IF($B35="D",(1+SUP_VOLUMEN!$C$26),(1+SUP_VOLUMEN!$C$27)))*INDEX(SUP_C3_EXPANSION!$C$6:$F$6,MIN(4,COUNTIF(CAPA3_EXPANSION!$D$56:L$56,"&gt;="&amp;28)))*CAPA3_EXPANSION!L$36)</f>
        <v>0</v>
      </c>
      <c r="M35" s="88">
        <f>IF(COUNTIF(CAPA3_EXPANSION!$D$56:M$56,"&gt;="&amp;28)=0,0,SUP_CONTROL!$C$8*IF($B35="V",1,IF($B35="D",(1+SUP_VOLUMEN!$C$26),(1+SUP_VOLUMEN!$C$27)))*INDEX(SUP_C3_EXPANSION!$C$6:$F$6,MIN(4,COUNTIF(CAPA3_EXPANSION!$D$56:M$56,"&gt;="&amp;28)))*CAPA3_EXPANSION!M$36)</f>
        <v>0</v>
      </c>
      <c r="N35" s="88">
        <f>IF(COUNTIF(CAPA3_EXPANSION!$D$56:N$56,"&gt;="&amp;28)=0,0,SUP_CONTROL!$C$8*IF($B35="V",1,IF($B35="D",(1+SUP_VOLUMEN!$C$26),(1+SUP_VOLUMEN!$C$27)))*INDEX(SUP_C3_EXPANSION!$C$6:$F$6,MIN(4,COUNTIF(CAPA3_EXPANSION!$D$56:N$56,"&gt;="&amp;28)))*CAPA3_EXPANSION!N$36)</f>
        <v>0</v>
      </c>
      <c r="O35" s="88">
        <f>IF(COUNTIF(CAPA3_EXPANSION!$D$56:O$56,"&gt;="&amp;28)=0,0,SUP_CONTROL!$C$8*IF($B35="V",1,IF($B35="D",(1+SUP_VOLUMEN!$C$26),(1+SUP_VOLUMEN!$C$27)))*INDEX(SUP_C3_EXPANSION!$C$6:$F$6,MIN(4,COUNTIF(CAPA3_EXPANSION!$D$56:O$56,"&gt;="&amp;28)))*CAPA3_EXPANSION!O$36)</f>
        <v>0</v>
      </c>
      <c r="P35" s="88">
        <f>IF(COUNTIF(CAPA3_EXPANSION!$D$56:P$56,"&gt;="&amp;28)=0,0,SUP_CONTROL!$C$8*IF($B35="V",1,IF($B35="D",(1+SUP_VOLUMEN!$C$26),(1+SUP_VOLUMEN!$C$27)))*INDEX(SUP_C3_EXPANSION!$C$6:$F$6,MIN(4,COUNTIF(CAPA3_EXPANSION!$D$56:P$56,"&gt;="&amp;28)))*CAPA3_EXPANSION!P$36)</f>
        <v>0</v>
      </c>
      <c r="Q35" s="88">
        <f>IF(COUNTIF(CAPA3_EXPANSION!$D$56:Q$56,"&gt;="&amp;28)=0,0,SUP_CONTROL!$C$8*IF($B35="V",1,IF($B35="D",(1+SUP_VOLUMEN!$C$26),(1+SUP_VOLUMEN!$C$27)))*INDEX(SUP_C3_EXPANSION!$C$6:$F$6,MIN(4,COUNTIF(CAPA3_EXPANSION!$D$56:Q$56,"&gt;="&amp;28)))*CAPA3_EXPANSION!Q$36)</f>
        <v>0</v>
      </c>
      <c r="R35" s="88">
        <f>IF(COUNTIF(CAPA3_EXPANSION!$D$56:R$56,"&gt;="&amp;28)=0,0,SUP_CONTROL!$C$8*IF($B35="V",1,IF($B35="D",(1+SUP_VOLUMEN!$C$26),(1+SUP_VOLUMEN!$C$27)))*INDEX(SUP_C3_EXPANSION!$C$6:$F$6,MIN(4,COUNTIF(CAPA3_EXPANSION!$D$56:R$56,"&gt;="&amp;28)))*CAPA3_EXPANSION!R$36)</f>
        <v>0</v>
      </c>
      <c r="S35" s="88">
        <f>IF(COUNTIF(CAPA3_EXPANSION!$D$56:S$56,"&gt;="&amp;28)=0,0,SUP_CONTROL!$C$8*IF($B35="V",1,IF($B35="D",(1+SUP_VOLUMEN!$C$26),(1+SUP_VOLUMEN!$C$27)))*INDEX(SUP_C3_EXPANSION!$C$6:$F$6,MIN(4,COUNTIF(CAPA3_EXPANSION!$D$56:S$56,"&gt;="&amp;28)))*CAPA3_EXPANSION!S$36)</f>
        <v>0</v>
      </c>
      <c r="T35" s="88">
        <f>IF(COUNTIF(CAPA3_EXPANSION!$D$56:T$56,"&gt;="&amp;28)=0,0,SUP_CONTROL!$C$8*IF($B35="V",1,IF($B35="D",(1+SUP_VOLUMEN!$C$26),(1+SUP_VOLUMEN!$C$27)))*INDEX(SUP_C3_EXPANSION!$C$6:$F$6,MIN(4,COUNTIF(CAPA3_EXPANSION!$D$56:T$56,"&gt;="&amp;28)))*CAPA3_EXPANSION!T$36)</f>
        <v>0</v>
      </c>
      <c r="U35" s="88">
        <f>IF(COUNTIF(CAPA3_EXPANSION!$D$56:U$56,"&gt;="&amp;28)=0,0,SUP_CONTROL!$C$8*IF($B35="V",1,IF($B35="D",(1+SUP_VOLUMEN!$C$26),(1+SUP_VOLUMEN!$C$27)))*INDEX(SUP_C3_EXPANSION!$C$6:$F$6,MIN(4,COUNTIF(CAPA3_EXPANSION!$D$56:U$56,"&gt;="&amp;28)))*CAPA3_EXPANSION!U$36)</f>
        <v>0</v>
      </c>
      <c r="V35" s="88">
        <f>IF(COUNTIF(CAPA3_EXPANSION!$D$56:V$56,"&gt;="&amp;28)=0,0,SUP_CONTROL!$C$8*IF($B35="V",1,IF($B35="D",(1+SUP_VOLUMEN!$C$26),(1+SUP_VOLUMEN!$C$27)))*INDEX(SUP_C3_EXPANSION!$C$6:$F$6,MIN(4,COUNTIF(CAPA3_EXPANSION!$D$56:V$56,"&gt;="&amp;28)))*CAPA3_EXPANSION!V$36)</f>
        <v>0</v>
      </c>
      <c r="W35" s="88">
        <f>IF(COUNTIF(CAPA3_EXPANSION!$D$56:W$56,"&gt;="&amp;28)=0,0,SUP_CONTROL!$C$8*IF($B35="V",1,IF($B35="D",(1+SUP_VOLUMEN!$C$26),(1+SUP_VOLUMEN!$C$27)))*INDEX(SUP_C3_EXPANSION!$C$6:$F$6,MIN(4,COUNTIF(CAPA3_EXPANSION!$D$56:W$56,"&gt;="&amp;28)))*CAPA3_EXPANSION!W$36)</f>
        <v>0</v>
      </c>
      <c r="X35" s="88">
        <f>IF(COUNTIF(CAPA3_EXPANSION!$D$56:X$56,"&gt;="&amp;28)=0,0,SUP_CONTROL!$C$8*IF($B35="V",1,IF($B35="D",(1+SUP_VOLUMEN!$C$26),(1+SUP_VOLUMEN!$C$27)))*INDEX(SUP_C3_EXPANSION!$C$6:$F$6,MIN(4,COUNTIF(CAPA3_EXPANSION!$D$56:X$56,"&gt;="&amp;28)))*CAPA3_EXPANSION!X$36)</f>
        <v>0</v>
      </c>
      <c r="Y35" s="88">
        <f>IF(COUNTIF(CAPA3_EXPANSION!$D$56:Y$56,"&gt;="&amp;28)=0,0,SUP_CONTROL!$C$8*IF($B35="V",1,IF($B35="D",(1+SUP_VOLUMEN!$C$26),(1+SUP_VOLUMEN!$C$27)))*INDEX(SUP_C3_EXPANSION!$C$6:$F$6,MIN(4,COUNTIF(CAPA3_EXPANSION!$D$56:Y$56,"&gt;="&amp;28)))*CAPA3_EXPANSION!Y$36)</f>
        <v>0</v>
      </c>
      <c r="Z35" s="88">
        <f>IF(COUNTIF(CAPA3_EXPANSION!$D$56:Z$56,"&gt;="&amp;28)=0,0,SUP_CONTROL!$C$8*IF($B35="V",1,IF($B35="D",(1+SUP_VOLUMEN!$C$26),(1+SUP_VOLUMEN!$C$27)))*INDEX(SUP_C3_EXPANSION!$C$6:$F$6,MIN(4,COUNTIF(CAPA3_EXPANSION!$D$56:Z$56,"&gt;="&amp;28)))*CAPA3_EXPANSION!Z$36)</f>
        <v>0</v>
      </c>
      <c r="AA35" s="88">
        <f>IF(COUNTIF(CAPA3_EXPANSION!$D$56:AA$56,"&gt;="&amp;28)=0,0,SUP_CONTROL!$C$8*IF($B35="V",1,IF($B35="D",(1+SUP_VOLUMEN!$C$26),(1+SUP_VOLUMEN!$C$27)))*INDEX(SUP_C3_EXPANSION!$C$6:$F$6,MIN(4,COUNTIF(CAPA3_EXPANSION!$D$56:AA$56,"&gt;="&amp;28)))*CAPA3_EXPANSION!AA$36)</f>
        <v>0</v>
      </c>
      <c r="AB35" s="88">
        <f>IF(COUNTIF(CAPA3_EXPANSION!$D$56:AB$56,"&gt;="&amp;28)=0,0,SUP_CONTROL!$C$8*IF($B35="V",1,IF($B35="D",(1+SUP_VOLUMEN!$C$26),(1+SUP_VOLUMEN!$C$27)))*INDEX(SUP_C3_EXPANSION!$C$6:$F$6,MIN(4,COUNTIF(CAPA3_EXPANSION!$D$56:AB$56,"&gt;="&amp;28)))*CAPA3_EXPANSION!AB$36)</f>
        <v>0</v>
      </c>
      <c r="AC35" s="88">
        <f>IF(COUNTIF(CAPA3_EXPANSION!$D$56:AC$56,"&gt;="&amp;28)=0,0,SUP_CONTROL!$C$8*IF($B35="V",1,IF($B35="D",(1+SUP_VOLUMEN!$C$26),(1+SUP_VOLUMEN!$C$27)))*INDEX(SUP_C3_EXPANSION!$C$6:$F$6,MIN(4,COUNTIF(CAPA3_EXPANSION!$D$56:AC$56,"&gt;="&amp;28)))*CAPA3_EXPANSION!AC$36)</f>
        <v>0</v>
      </c>
      <c r="AD35" s="88">
        <f>IF(COUNTIF(CAPA3_EXPANSION!$D$56:AD$56,"&gt;="&amp;28)=0,0,SUP_CONTROL!$C$8*IF($B35="V",1,IF($B35="D",(1+SUP_VOLUMEN!$C$26),(1+SUP_VOLUMEN!$C$27)))*INDEX(SUP_C3_EXPANSION!$C$6:$F$6,MIN(4,COUNTIF(CAPA3_EXPANSION!$D$56:AD$56,"&gt;="&amp;28)))*CAPA3_EXPANSION!AD$36)</f>
        <v>0</v>
      </c>
      <c r="AE35" s="88">
        <f>IF(COUNTIF(CAPA3_EXPANSION!$D$56:AE$56,"&gt;="&amp;28)=0,0,SUP_CONTROL!$C$8*IF($B35="V",1,IF($B35="D",(1+SUP_VOLUMEN!$C$26),(1+SUP_VOLUMEN!$C$27)))*INDEX(SUP_C3_EXPANSION!$C$6:$F$6,MIN(4,COUNTIF(CAPA3_EXPANSION!$D$56:AE$56,"&gt;="&amp;28)))*CAPA3_EXPANSION!AE$36)</f>
        <v>0</v>
      </c>
      <c r="AF35" s="88">
        <f>IF(COUNTIF(CAPA3_EXPANSION!$D$56:AF$56,"&gt;="&amp;28)=0,0,SUP_CONTROL!$C$8*IF($B35="V",1,IF($B35="D",(1+SUP_VOLUMEN!$C$26),(1+SUP_VOLUMEN!$C$27)))*INDEX(SUP_C3_EXPANSION!$C$6:$F$6,MIN(4,COUNTIF(CAPA3_EXPANSION!$D$56:AF$56,"&gt;="&amp;28)))*CAPA3_EXPANSION!AF$36)</f>
        <v>0</v>
      </c>
      <c r="AG35" s="88">
        <f>IF(COUNTIF(CAPA3_EXPANSION!$D$56:AG$56,"&gt;="&amp;28)=0,0,SUP_CONTROL!$C$8*IF($B35="V",1,IF($B35="D",(1+SUP_VOLUMEN!$C$26),(1+SUP_VOLUMEN!$C$27)))*INDEX(SUP_C3_EXPANSION!$C$6:$F$6,MIN(4,COUNTIF(CAPA3_EXPANSION!$D$56:AG$56,"&gt;="&amp;28)))*CAPA3_EXPANSION!AG$36)</f>
        <v>0</v>
      </c>
      <c r="AH35" s="88">
        <f>IF(COUNTIF(CAPA3_EXPANSION!$D$56:AH$56,"&gt;="&amp;28)=0,0,SUP_CONTROL!$C$8*IF($B35="V",1,IF($B35="D",(1+SUP_VOLUMEN!$C$26),(1+SUP_VOLUMEN!$C$27)))*INDEX(SUP_C3_EXPANSION!$C$6:$F$6,MIN(4,COUNTIF(CAPA3_EXPANSION!$D$56:AH$56,"&gt;="&amp;28)))*CAPA3_EXPANSION!AH$36)</f>
        <v>0</v>
      </c>
      <c r="AI35" s="88">
        <f>IF(COUNTIF(CAPA3_EXPANSION!$D$56:AI$56,"&gt;="&amp;28)=0,0,SUP_CONTROL!$C$8*IF($B35="V",1,IF($B35="D",(1+SUP_VOLUMEN!$C$26),(1+SUP_VOLUMEN!$C$27)))*INDEX(SUP_C3_EXPANSION!$C$6:$F$6,MIN(4,COUNTIF(CAPA3_EXPANSION!$D$56:AI$56,"&gt;="&amp;28)))*CAPA3_EXPANSION!AI$36)</f>
        <v>0</v>
      </c>
      <c r="AJ35" s="88">
        <f>IF(COUNTIF(CAPA3_EXPANSION!$D$56:AJ$56,"&gt;="&amp;28)=0,0,SUP_CONTROL!$C$8*IF($B35="V",1,IF($B35="D",(1+SUP_VOLUMEN!$C$26),(1+SUP_VOLUMEN!$C$27)))*INDEX(SUP_C3_EXPANSION!$C$6:$F$6,MIN(4,COUNTIF(CAPA3_EXPANSION!$D$56:AJ$56,"&gt;="&amp;28)))*CAPA3_EXPANSION!AJ$36)</f>
        <v>0</v>
      </c>
      <c r="AK35" s="88">
        <f>IF(COUNTIF(CAPA3_EXPANSION!$D$56:AK$56,"&gt;="&amp;28)=0,0,SUP_CONTROL!$C$8*IF($B35="V",1,IF($B35="D",(1+SUP_VOLUMEN!$C$26),(1+SUP_VOLUMEN!$C$27)))*INDEX(SUP_C3_EXPANSION!$C$6:$F$6,MIN(4,COUNTIF(CAPA3_EXPANSION!$D$56:AK$56,"&gt;="&amp;28)))*CAPA3_EXPANSION!AK$36)</f>
        <v>0</v>
      </c>
      <c r="AL35" s="88">
        <f>IF(COUNTIF(CAPA3_EXPANSION!$D$56:AL$56,"&gt;="&amp;28)=0,0,SUP_CONTROL!$C$8*IF($B35="V",1,IF($B35="D",(1+SUP_VOLUMEN!$C$26),(1+SUP_VOLUMEN!$C$27)))*INDEX(SUP_C3_EXPANSION!$C$6:$F$6,MIN(4,COUNTIF(CAPA3_EXPANSION!$D$56:AL$56,"&gt;="&amp;28)))*CAPA3_EXPANSION!AL$36)</f>
        <v>0</v>
      </c>
      <c r="AM35" s="88">
        <f>IF(COUNTIF(CAPA3_EXPANSION!$D$56:AM$56,"&gt;="&amp;28)=0,0,SUP_CONTROL!$C$8*IF($B35="V",1,IF($B35="D",(1+SUP_VOLUMEN!$C$26),(1+SUP_VOLUMEN!$C$27)))*INDEX(SUP_C3_EXPANSION!$C$6:$F$6,MIN(4,COUNTIF(CAPA3_EXPANSION!$D$56:AM$56,"&gt;="&amp;28)))*CAPA3_EXPANSION!AM$36)</f>
        <v>0</v>
      </c>
      <c r="AN35" s="88">
        <f>IF(COUNTIF(CAPA3_EXPANSION!$D$56:AN$56,"&gt;="&amp;28)=0,0,SUP_CONTROL!$C$8*IF($B35="V",1,IF($B35="D",(1+SUP_VOLUMEN!$C$26),(1+SUP_VOLUMEN!$C$27)))*INDEX(SUP_C3_EXPANSION!$C$6:$F$6,MIN(4,COUNTIF(CAPA3_EXPANSION!$D$56:AN$56,"&gt;="&amp;28)))*CAPA3_EXPANSION!AN$36)</f>
        <v>0</v>
      </c>
      <c r="AO35" s="88">
        <f>IF(COUNTIF(CAPA3_EXPANSION!$D$56:AO$56,"&gt;="&amp;28)=0,0,SUP_CONTROL!$C$8*IF($B35="V",1,IF($B35="D",(1+SUP_VOLUMEN!$C$26),(1+SUP_VOLUMEN!$C$27)))*INDEX(SUP_C3_EXPANSION!$C$6:$F$6,MIN(4,COUNTIF(CAPA3_EXPANSION!$D$56:AO$56,"&gt;="&amp;28)))*CAPA3_EXPANSION!AO$36)</f>
        <v>0</v>
      </c>
      <c r="AP35" s="88">
        <f>IF(COUNTIF(CAPA3_EXPANSION!$D$56:AP$56,"&gt;="&amp;28)=0,0,SUP_CONTROL!$C$8*IF($B35="V",1,IF($B35="D",(1+SUP_VOLUMEN!$C$26),(1+SUP_VOLUMEN!$C$27)))*INDEX(SUP_C3_EXPANSION!$C$6:$F$6,MIN(4,COUNTIF(CAPA3_EXPANSION!$D$56:AP$56,"&gt;="&amp;28)))*CAPA3_EXPANSION!AP$36)</f>
        <v>0</v>
      </c>
      <c r="AQ35" s="88">
        <f>IF(COUNTIF(CAPA3_EXPANSION!$D$56:AQ$56,"&gt;="&amp;28)=0,0,SUP_CONTROL!$C$8*IF($B35="V",1,IF($B35="D",(1+SUP_VOLUMEN!$C$26),(1+SUP_VOLUMEN!$C$27)))*INDEX(SUP_C3_EXPANSION!$C$6:$F$6,MIN(4,COUNTIF(CAPA3_EXPANSION!$D$56:AQ$56,"&gt;="&amp;28)))*CAPA3_EXPANSION!AQ$36)</f>
        <v>0</v>
      </c>
      <c r="AR35" s="88">
        <f>IF(COUNTIF(CAPA3_EXPANSION!$D$56:AR$56,"&gt;="&amp;28)=0,0,SUP_CONTROL!$C$8*IF($B35="V",1,IF($B35="D",(1+SUP_VOLUMEN!$C$26),(1+SUP_VOLUMEN!$C$27)))*INDEX(SUP_C3_EXPANSION!$C$6:$F$6,MIN(4,COUNTIF(CAPA3_EXPANSION!$D$56:AR$56,"&gt;="&amp;28)))*CAPA3_EXPANSION!AR$36)</f>
        <v>0</v>
      </c>
      <c r="AS35" s="88">
        <f>IF(COUNTIF(CAPA3_EXPANSION!$D$56:AS$56,"&gt;="&amp;28)=0,0,SUP_CONTROL!$C$8*IF($B35="V",1,IF($B35="D",(1+SUP_VOLUMEN!$C$26),(1+SUP_VOLUMEN!$C$27)))*INDEX(SUP_C3_EXPANSION!$C$6:$F$6,MIN(4,COUNTIF(CAPA3_EXPANSION!$D$56:AS$56,"&gt;="&amp;28)))*CAPA3_EXPANSION!AS$36)</f>
        <v>0</v>
      </c>
      <c r="AT35" s="88">
        <f>IF(COUNTIF(CAPA3_EXPANSION!$D$56:AT$56,"&gt;="&amp;28)=0,0,SUP_CONTROL!$C$8*IF($B35="V",1,IF($B35="D",(1+SUP_VOLUMEN!$C$26),(1+SUP_VOLUMEN!$C$27)))*INDEX(SUP_C3_EXPANSION!$C$6:$F$6,MIN(4,COUNTIF(CAPA3_EXPANSION!$D$56:AT$56,"&gt;="&amp;28)))*CAPA3_EXPANSION!AT$36)</f>
        <v>0</v>
      </c>
      <c r="AU35" s="88">
        <f>IF(COUNTIF(CAPA3_EXPANSION!$D$56:AU$56,"&gt;="&amp;28)=0,0,SUP_CONTROL!$C$8*IF($B35="V",1,IF($B35="D",(1+SUP_VOLUMEN!$C$26),(1+SUP_VOLUMEN!$C$27)))*INDEX(SUP_C3_EXPANSION!$C$6:$F$6,MIN(4,COUNTIF(CAPA3_EXPANSION!$D$56:AU$56,"&gt;="&amp;28)))*CAPA3_EXPANSION!AU$36)</f>
        <v>0</v>
      </c>
      <c r="AV35" s="88">
        <f>IF(COUNTIF(CAPA3_EXPANSION!$D$56:AV$56,"&gt;="&amp;28)=0,0,SUP_CONTROL!$C$8*IF($B35="V",1,IF($B35="D",(1+SUP_VOLUMEN!$C$26),(1+SUP_VOLUMEN!$C$27)))*INDEX(SUP_C3_EXPANSION!$C$6:$F$6,MIN(4,COUNTIF(CAPA3_EXPANSION!$D$56:AV$56,"&gt;="&amp;28)))*CAPA3_EXPANSION!AV$36)</f>
        <v>0</v>
      </c>
      <c r="AW35" s="88">
        <f>IF(COUNTIF(CAPA3_EXPANSION!$D$56:AW$56,"&gt;="&amp;28)=0,0,SUP_CONTROL!$C$8*IF($B35="V",1,IF($B35="D",(1+SUP_VOLUMEN!$C$26),(1+SUP_VOLUMEN!$C$27)))*INDEX(SUP_C3_EXPANSION!$C$6:$F$6,MIN(4,COUNTIF(CAPA3_EXPANSION!$D$56:AW$56,"&gt;="&amp;28)))*CAPA3_EXPANSION!AW$36)</f>
        <v>0</v>
      </c>
      <c r="AX35" s="88">
        <f>IF(COUNTIF(CAPA3_EXPANSION!$D$56:AX$56,"&gt;="&amp;28)=0,0,SUP_CONTROL!$C$8*IF($B35="V",1,IF($B35="D",(1+SUP_VOLUMEN!$C$26),(1+SUP_VOLUMEN!$C$27)))*INDEX(SUP_C3_EXPANSION!$C$6:$F$6,MIN(4,COUNTIF(CAPA3_EXPANSION!$D$56:AX$56,"&gt;="&amp;28)))*CAPA3_EXPANSION!AX$36)</f>
        <v>0</v>
      </c>
      <c r="AY35" s="88">
        <f>IF(COUNTIF(CAPA3_EXPANSION!$D$56:AY$56,"&gt;="&amp;28)=0,0,SUP_CONTROL!$C$8*IF($B35="V",1,IF($B35="D",(1+SUP_VOLUMEN!$C$26),(1+SUP_VOLUMEN!$C$27)))*INDEX(SUP_C3_EXPANSION!$C$6:$F$6,MIN(4,COUNTIF(CAPA3_EXPANSION!$D$56:AY$56,"&gt;="&amp;28)))*CAPA3_EXPANSION!AY$36)</f>
        <v>0</v>
      </c>
      <c r="AZ35" s="88">
        <f>IF(COUNTIF(CAPA3_EXPANSION!$D$56:AZ$56,"&gt;="&amp;28)=0,0,SUP_CONTROL!$C$8*IF($B35="V",1,IF($B35="D",(1+SUP_VOLUMEN!$C$26),(1+SUP_VOLUMEN!$C$27)))*INDEX(SUP_C3_EXPANSION!$C$6:$F$6,MIN(4,COUNTIF(CAPA3_EXPANSION!$D$56:AZ$56,"&gt;="&amp;28)))*CAPA3_EXPANSION!AZ$36)</f>
        <v>0</v>
      </c>
      <c r="BA35" s="88">
        <f>IF(COUNTIF(CAPA3_EXPANSION!$D$56:BA$56,"&gt;="&amp;28)=0,0,SUP_CONTROL!$C$8*IF($B35="V",1,IF($B35="D",(1+SUP_VOLUMEN!$C$26),(1+SUP_VOLUMEN!$C$27)))*INDEX(SUP_C3_EXPANSION!$C$6:$F$6,MIN(4,COUNTIF(CAPA3_EXPANSION!$D$56:BA$56,"&gt;="&amp;28)))*CAPA3_EXPANSION!BA$36)</f>
        <v>0</v>
      </c>
      <c r="BB35" s="88">
        <f>IF(COUNTIF(CAPA3_EXPANSION!$D$56:BB$56,"&gt;="&amp;28)=0,0,SUP_CONTROL!$C$8*IF($B35="V",1,IF($B35="D",(1+SUP_VOLUMEN!$C$26),(1+SUP_VOLUMEN!$C$27)))*INDEX(SUP_C3_EXPANSION!$C$6:$F$6,MIN(4,COUNTIF(CAPA3_EXPANSION!$D$56:BB$56,"&gt;="&amp;28)))*CAPA3_EXPANSION!BB$36)</f>
        <v>0</v>
      </c>
      <c r="BC35" s="88">
        <f>IF(COUNTIF(CAPA3_EXPANSION!$D$56:BC$56,"&gt;="&amp;28)=0,0,SUP_CONTROL!$C$8*IF($B35="V",1,IF($B35="D",(1+SUP_VOLUMEN!$C$26),(1+SUP_VOLUMEN!$C$27)))*INDEX(SUP_C3_EXPANSION!$C$6:$F$6,MIN(4,COUNTIF(CAPA3_EXPANSION!$D$56:BC$56,"&gt;="&amp;28)))*CAPA3_EXPANSION!BC$36)</f>
        <v>0</v>
      </c>
      <c r="BD35" s="88">
        <f>IF(COUNTIF(CAPA3_EXPANSION!$D$56:BD$56,"&gt;="&amp;28)=0,0,SUP_CONTROL!$C$8*IF($B35="V",1,IF($B35="D",(1+SUP_VOLUMEN!$C$26),(1+SUP_VOLUMEN!$C$27)))*INDEX(SUP_C3_EXPANSION!$C$6:$F$6,MIN(4,COUNTIF(CAPA3_EXPANSION!$D$56:BD$56,"&gt;="&amp;28)))*CAPA3_EXPANSION!BD$36)</f>
        <v>0</v>
      </c>
      <c r="BE35" s="88">
        <f>IF(COUNTIF(CAPA3_EXPANSION!$D$56:BE$56,"&gt;="&amp;28)=0,0,SUP_CONTROL!$C$8*IF($B35="V",1,IF($B35="D",(1+SUP_VOLUMEN!$C$26),(1+SUP_VOLUMEN!$C$27)))*INDEX(SUP_C3_EXPANSION!$C$6:$F$6,MIN(4,COUNTIF(CAPA3_EXPANSION!$D$56:BE$56,"&gt;="&amp;28)))*CAPA3_EXPANSION!BE$36)</f>
        <v>0</v>
      </c>
      <c r="BF35" s="88">
        <f>IF(COUNTIF(CAPA3_EXPANSION!$D$56:BF$56,"&gt;="&amp;28)=0,0,SUP_CONTROL!$C$8*IF($B35="V",1,IF($B35="D",(1+SUP_VOLUMEN!$C$26),(1+SUP_VOLUMEN!$C$27)))*INDEX(SUP_C3_EXPANSION!$C$6:$F$6,MIN(4,COUNTIF(CAPA3_EXPANSION!$D$56:BF$56,"&gt;="&amp;28)))*CAPA3_EXPANSION!BF$36)</f>
        <v>0</v>
      </c>
      <c r="BG35" s="88">
        <f>IF(COUNTIF(CAPA3_EXPANSION!$D$56:BG$56,"&gt;="&amp;28)=0,0,SUP_CONTROL!$C$8*IF($B35="V",1,IF($B35="D",(1+SUP_VOLUMEN!$C$26),(1+SUP_VOLUMEN!$C$27)))*INDEX(SUP_C3_EXPANSION!$C$6:$F$6,MIN(4,COUNTIF(CAPA3_EXPANSION!$D$56:BG$56,"&gt;="&amp;28)))*CAPA3_EXPANSION!BG$36)</f>
        <v>0</v>
      </c>
      <c r="BH35" s="88">
        <f>IF(COUNTIF(CAPA3_EXPANSION!$D$56:BH$56,"&gt;="&amp;28)=0,0,SUP_CONTROL!$C$8*IF($B35="V",1,IF($B35="D",(1+SUP_VOLUMEN!$C$26),(1+SUP_VOLUMEN!$C$27)))*INDEX(SUP_C3_EXPANSION!$C$6:$F$6,MIN(4,COUNTIF(CAPA3_EXPANSION!$D$56:BH$56,"&gt;="&amp;28)))*CAPA3_EXPANSION!BH$36)</f>
        <v>0</v>
      </c>
      <c r="BI35" s="88">
        <f>IF(COUNTIF(CAPA3_EXPANSION!$D$56:BI$56,"&gt;="&amp;28)=0,0,SUP_CONTROL!$C$8*IF($B35="V",1,IF($B35="D",(1+SUP_VOLUMEN!$C$26),(1+SUP_VOLUMEN!$C$27)))*INDEX(SUP_C3_EXPANSION!$C$6:$F$6,MIN(4,COUNTIF(CAPA3_EXPANSION!$D$56:BI$56,"&gt;="&amp;28)))*CAPA3_EXPANSION!BI$36)</f>
        <v>0</v>
      </c>
      <c r="BJ35" s="88">
        <f>IF(COUNTIF(CAPA3_EXPANSION!$D$56:BJ$56,"&gt;="&amp;28)=0,0,SUP_CONTROL!$C$8*IF($B35="V",1,IF($B35="D",(1+SUP_VOLUMEN!$C$26),(1+SUP_VOLUMEN!$C$27)))*INDEX(SUP_C3_EXPANSION!$C$6:$F$6,MIN(4,COUNTIF(CAPA3_EXPANSION!$D$56:BJ$56,"&gt;="&amp;28)))*CAPA3_EXPANSION!BJ$36)</f>
        <v>0</v>
      </c>
      <c r="BK35" s="88">
        <f>IF(COUNTIF(CAPA3_EXPANSION!$D$56:BK$56,"&gt;="&amp;28)=0,0,SUP_CONTROL!$C$8*IF($B35="V",1,IF($B35="D",(1+SUP_VOLUMEN!$C$26),(1+SUP_VOLUMEN!$C$27)))*INDEX(SUP_C3_EXPANSION!$C$6:$F$6,MIN(4,COUNTIF(CAPA3_EXPANSION!$D$56:BK$56,"&gt;="&amp;28)))*CAPA3_EXPANSION!BK$36)</f>
        <v>0</v>
      </c>
      <c r="BL35" s="88">
        <f>IF(COUNTIF(CAPA3_EXPANSION!$D$56:BL$56,"&gt;="&amp;28)=0,0,SUP_CONTROL!$C$8*IF($B35="V",1,IF($B35="D",(1+SUP_VOLUMEN!$C$26),(1+SUP_VOLUMEN!$C$27)))*INDEX(SUP_C3_EXPANSION!$C$6:$F$6,MIN(4,COUNTIF(CAPA3_EXPANSION!$D$56:BL$56,"&gt;="&amp;28)))*CAPA3_EXPANSION!BL$36)</f>
        <v>0</v>
      </c>
      <c r="BM35" s="88">
        <f>IF(COUNTIF(CAPA3_EXPANSION!$D$56:BM$56,"&gt;="&amp;28)=0,0,SUP_CONTROL!$C$8*IF($B35="V",1,IF($B35="D",(1+SUP_VOLUMEN!$C$26),(1+SUP_VOLUMEN!$C$27)))*INDEX(SUP_C3_EXPANSION!$C$6:$F$6,MIN(4,COUNTIF(CAPA3_EXPANSION!$D$56:BM$56,"&gt;="&amp;28)))*CAPA3_EXPANSION!BM$36)</f>
        <v>0</v>
      </c>
      <c r="BN35" s="88">
        <f>IF(COUNTIF(CAPA3_EXPANSION!$D$56:BN$56,"&gt;="&amp;28)=0,0,SUP_CONTROL!$C$8*IF($B35="V",1,IF($B35="D",(1+SUP_VOLUMEN!$C$26),(1+SUP_VOLUMEN!$C$27)))*INDEX(SUP_C3_EXPANSION!$C$6:$F$6,MIN(4,COUNTIF(CAPA3_EXPANSION!$D$56:BN$56,"&gt;="&amp;28)))*CAPA3_EXPANSION!BN$36)</f>
        <v>0</v>
      </c>
      <c r="BO35" s="88">
        <f>IF(COUNTIF(CAPA3_EXPANSION!$D$56:BO$56,"&gt;="&amp;28)=0,0,SUP_CONTROL!$C$8*IF($B35="V",1,IF($B35="D",(1+SUP_VOLUMEN!$C$26),(1+SUP_VOLUMEN!$C$27)))*INDEX(SUP_C3_EXPANSION!$C$6:$F$6,MIN(4,COUNTIF(CAPA3_EXPANSION!$D$56:BO$56,"&gt;="&amp;28)))*CAPA3_EXPANSION!BO$36)</f>
        <v>0</v>
      </c>
      <c r="BP35" s="88">
        <f>IF(COUNTIF(CAPA3_EXPANSION!$D$56:BP$56,"&gt;="&amp;28)=0,0,SUP_CONTROL!$C$8*IF($B35="V",1,IF($B35="D",(1+SUP_VOLUMEN!$C$26),(1+SUP_VOLUMEN!$C$27)))*INDEX(SUP_C3_EXPANSION!$C$6:$F$6,MIN(4,COUNTIF(CAPA3_EXPANSION!$D$56:BP$56,"&gt;="&amp;28)))*CAPA3_EXPANSION!BP$36)</f>
        <v>0</v>
      </c>
      <c r="BQ35" s="88">
        <f>IF(COUNTIF(CAPA3_EXPANSION!$D$56:BQ$56,"&gt;="&amp;28)=0,0,SUP_CONTROL!$C$8*IF($B35="V",1,IF($B35="D",(1+SUP_VOLUMEN!$C$26),(1+SUP_VOLUMEN!$C$27)))*INDEX(SUP_C3_EXPANSION!$C$6:$F$6,MIN(4,COUNTIF(CAPA3_EXPANSION!$D$56:BQ$56,"&gt;="&amp;28)))*CAPA3_EXPANSION!BQ$36)</f>
        <v>1893.0957500000002</v>
      </c>
      <c r="BR35" s="88">
        <f>IF(COUNTIF(CAPA3_EXPANSION!$D$56:BR$56,"&gt;="&amp;28)=0,0,SUP_CONTROL!$C$8*IF($B35="V",1,IF($B35="D",(1+SUP_VOLUMEN!$C$26),(1+SUP_VOLUMEN!$C$27)))*INDEX(SUP_C3_EXPANSION!$C$6:$F$6,MIN(4,COUNTIF(CAPA3_EXPANSION!$D$56:BR$56,"&gt;="&amp;28)))*CAPA3_EXPANSION!BR$36)</f>
        <v>2329.9640000000004</v>
      </c>
      <c r="BS35" s="88">
        <f>IF(COUNTIF(CAPA3_EXPANSION!$D$56:BS$56,"&gt;="&amp;28)=0,0,SUP_CONTROL!$C$8*IF($B35="V",1,IF($B35="D",(1+SUP_VOLUMEN!$C$26),(1+SUP_VOLUMEN!$C$27)))*INDEX(SUP_C3_EXPANSION!$C$6:$F$6,MIN(4,COUNTIF(CAPA3_EXPANSION!$D$56:BS$56,"&gt;="&amp;28)))*CAPA3_EXPANSION!BS$36)</f>
        <v>2621.2094999999999</v>
      </c>
      <c r="BT35" s="88">
        <f>IF(COUNTIF(CAPA3_EXPANSION!$D$56:BT$56,"&gt;="&amp;28)=0,0,SUP_CONTROL!$C$8*IF($B35="V",1,IF($B35="D",(1+SUP_VOLUMEN!$C$26),(1+SUP_VOLUMEN!$C$27)))*INDEX(SUP_C3_EXPANSION!$C$6:$F$6,MIN(4,COUNTIF(CAPA3_EXPANSION!$D$56:BT$56,"&gt;="&amp;28)))*CAPA3_EXPANSION!BT$36)</f>
        <v>2912.4549999999999</v>
      </c>
      <c r="BU35" s="88">
        <f>IF(COUNTIF(CAPA3_EXPANSION!$D$56:BU$56,"&gt;="&amp;28)=0,0,SUP_CONTROL!$C$8*IF($B35="V",1,IF($B35="D",(1+SUP_VOLUMEN!$C$26),(1+SUP_VOLUMEN!$C$27)))*INDEX(SUP_C3_EXPANSION!$C$6:$F$6,MIN(4,COUNTIF(CAPA3_EXPANSION!$D$56:BU$56,"&gt;="&amp;28)))*CAPA3_EXPANSION!BU$36)</f>
        <v>2861.95</v>
      </c>
      <c r="BV35" s="88">
        <f>IF(COUNTIF(CAPA3_EXPANSION!$D$56:BV$56,"&gt;="&amp;28)=0,0,SUP_CONTROL!$C$8*IF($B35="V",1,IF($B35="D",(1+SUP_VOLUMEN!$C$26),(1+SUP_VOLUMEN!$C$27)))*INDEX(SUP_C3_EXPANSION!$C$6:$F$6,MIN(4,COUNTIF(CAPA3_EXPANSION!$D$56:BV$56,"&gt;="&amp;28)))*CAPA3_EXPANSION!BV$36)</f>
        <v>2861.95</v>
      </c>
      <c r="BW35" s="88">
        <f>IF(COUNTIF(CAPA3_EXPANSION!$D$56:BW$56,"&gt;="&amp;28)=0,0,SUP_CONTROL!$C$8*IF($B35="V",1,IF($B35="D",(1+SUP_VOLUMEN!$C$26),(1+SUP_VOLUMEN!$C$27)))*INDEX(SUP_C3_EXPANSION!$C$6:$F$6,MIN(4,COUNTIF(CAPA3_EXPANSION!$D$56:BW$56,"&gt;="&amp;28)))*CAPA3_EXPANSION!BW$36)</f>
        <v>2861.95</v>
      </c>
      <c r="BX35" s="88">
        <f>IF(COUNTIF(CAPA3_EXPANSION!$D$56:BX$56,"&gt;="&amp;28)=0,0,SUP_CONTROL!$C$8*IF($B35="V",1,IF($B35="D",(1+SUP_VOLUMEN!$C$26),(1+SUP_VOLUMEN!$C$27)))*INDEX(SUP_C3_EXPANSION!$C$6:$F$6,MIN(4,COUNTIF(CAPA3_EXPANSION!$D$56:BX$56,"&gt;="&amp;28)))*CAPA3_EXPANSION!BX$36)</f>
        <v>2861.95</v>
      </c>
      <c r="BY35" s="88">
        <f>IF(COUNTIF(CAPA3_EXPANSION!$D$56:BY$56,"&gt;="&amp;28)=0,0,SUP_CONTROL!$C$8*IF($B35="V",1,IF($B35="D",(1+SUP_VOLUMEN!$C$26),(1+SUP_VOLUMEN!$C$27)))*INDEX(SUP_C3_EXPANSION!$C$6:$F$6,MIN(4,COUNTIF(CAPA3_EXPANSION!$D$56:BY$56,"&gt;="&amp;28)))*CAPA3_EXPANSION!BY$36)</f>
        <v>2861.95</v>
      </c>
      <c r="BZ35" s="88">
        <f>IF(COUNTIF(CAPA3_EXPANSION!$D$56:BZ$56,"&gt;="&amp;28)=0,0,SUP_CONTROL!$C$8*IF($B35="V",1,IF($B35="D",(1+SUP_VOLUMEN!$C$26),(1+SUP_VOLUMEN!$C$27)))*INDEX(SUP_C3_EXPANSION!$C$6:$F$6,MIN(4,COUNTIF(CAPA3_EXPANSION!$D$56:BZ$56,"&gt;="&amp;28)))*CAPA3_EXPANSION!BZ$36)</f>
        <v>2828.2799999999997</v>
      </c>
      <c r="CA35" s="88">
        <f>IF(COUNTIF(CAPA3_EXPANSION!$D$56:CA$56,"&gt;="&amp;28)=0,0,SUP_CONTROL!$C$8*IF($B35="V",1,IF($B35="D",(1+SUP_VOLUMEN!$C$26),(1+SUP_VOLUMEN!$C$27)))*INDEX(SUP_C3_EXPANSION!$C$6:$F$6,MIN(4,COUNTIF(CAPA3_EXPANSION!$D$56:CA$56,"&gt;="&amp;28)))*CAPA3_EXPANSION!CA$36)</f>
        <v>2828.2799999999997</v>
      </c>
      <c r="CB35" s="88">
        <f>IF(COUNTIF(CAPA3_EXPANSION!$D$56:CB$56,"&gt;="&amp;28)=0,0,SUP_CONTROL!$C$8*IF($B35="V",1,IF($B35="D",(1+SUP_VOLUMEN!$C$26),(1+SUP_VOLUMEN!$C$27)))*INDEX(SUP_C3_EXPANSION!$C$6:$F$6,MIN(4,COUNTIF(CAPA3_EXPANSION!$D$56:CB$56,"&gt;="&amp;28)))*CAPA3_EXPANSION!CB$36)</f>
        <v>2828.2799999999997</v>
      </c>
      <c r="CC35" s="88">
        <f>IF(COUNTIF(CAPA3_EXPANSION!$D$56:CC$56,"&gt;="&amp;28)=0,0,SUP_CONTROL!$C$8*IF($B35="V",1,IF($B35="D",(1+SUP_VOLUMEN!$C$26),(1+SUP_VOLUMEN!$C$27)))*INDEX(SUP_C3_EXPANSION!$C$6:$F$6,MIN(4,COUNTIF(CAPA3_EXPANSION!$D$56:CC$56,"&gt;="&amp;28)))*CAPA3_EXPANSION!CC$36)</f>
        <v>2828.2799999999997</v>
      </c>
      <c r="CD35" s="88">
        <f>IF(COUNTIF(CAPA3_EXPANSION!$D$56:CD$56,"&gt;="&amp;28)=0,0,SUP_CONTROL!$C$8*IF($B35="V",1,IF($B35="D",(1+SUP_VOLUMEN!$C$26),(1+SUP_VOLUMEN!$C$27)))*INDEX(SUP_C3_EXPANSION!$C$6:$F$6,MIN(4,COUNTIF(CAPA3_EXPANSION!$D$56:CD$56,"&gt;="&amp;28)))*CAPA3_EXPANSION!CD$36)</f>
        <v>2828.2799999999997</v>
      </c>
      <c r="CE35" s="88">
        <f>IF(COUNTIF(CAPA3_EXPANSION!$D$56:CE$56,"&gt;="&amp;28)=0,0,SUP_CONTROL!$C$8*IF($B35="V",1,IF($B35="D",(1+SUP_VOLUMEN!$C$26),(1+SUP_VOLUMEN!$C$27)))*INDEX(SUP_C3_EXPANSION!$C$6:$F$6,MIN(4,COUNTIF(CAPA3_EXPANSION!$D$56:CE$56,"&gt;="&amp;28)))*CAPA3_EXPANSION!CE$36)</f>
        <v>2828.2799999999997</v>
      </c>
      <c r="CF35" s="88">
        <f>IF(COUNTIF(CAPA3_EXPANSION!$D$56:CF$56,"&gt;="&amp;28)=0,0,SUP_CONTROL!$C$8*IF($B35="V",1,IF($B35="D",(1+SUP_VOLUMEN!$C$26),(1+SUP_VOLUMEN!$C$27)))*INDEX(SUP_C3_EXPANSION!$C$6:$F$6,MIN(4,COUNTIF(CAPA3_EXPANSION!$D$56:CF$56,"&gt;="&amp;28)))*CAPA3_EXPANSION!CF$36)</f>
        <v>2828.2799999999997</v>
      </c>
      <c r="CG35" s="88">
        <f>IF(COUNTIF(CAPA3_EXPANSION!$D$56:CG$56,"&gt;="&amp;28)=0,0,SUP_CONTROL!$C$8*IF($B35="V",1,IF($B35="D",(1+SUP_VOLUMEN!$C$26),(1+SUP_VOLUMEN!$C$27)))*INDEX(SUP_C3_EXPANSION!$C$6:$F$6,MIN(4,COUNTIF(CAPA3_EXPANSION!$D$56:CG$56,"&gt;="&amp;28)))*CAPA3_EXPANSION!CG$36)</f>
        <v>2828.2799999999997</v>
      </c>
      <c r="CH35" s="88">
        <f>IF(COUNTIF(CAPA3_EXPANSION!$D$56:CH$56,"&gt;="&amp;28)=0,0,SUP_CONTROL!$C$8*IF($B35="V",1,IF($B35="D",(1+SUP_VOLUMEN!$C$26),(1+SUP_VOLUMEN!$C$27)))*INDEX(SUP_C3_EXPANSION!$C$6:$F$6,MIN(4,COUNTIF(CAPA3_EXPANSION!$D$56:CH$56,"&gt;="&amp;28)))*CAPA3_EXPANSION!CH$36)</f>
        <v>2828.2799999999997</v>
      </c>
      <c r="CI35" s="88">
        <f>IF(COUNTIF(CAPA3_EXPANSION!$D$56:CI$56,"&gt;="&amp;28)=0,0,SUP_CONTROL!$C$8*IF($B35="V",1,IF($B35="D",(1+SUP_VOLUMEN!$C$26),(1+SUP_VOLUMEN!$C$27)))*INDEX(SUP_C3_EXPANSION!$C$6:$F$6,MIN(4,COUNTIF(CAPA3_EXPANSION!$D$56:CI$56,"&gt;="&amp;28)))*CAPA3_EXPANSION!CI$36)</f>
        <v>2828.2799999999997</v>
      </c>
      <c r="CJ35" s="88">
        <f>IF(COUNTIF(CAPA3_EXPANSION!$D$56:CJ$56,"&gt;="&amp;28)=0,0,SUP_CONTROL!$C$8*IF($B35="V",1,IF($B35="D",(1+SUP_VOLUMEN!$C$26),(1+SUP_VOLUMEN!$C$27)))*INDEX(SUP_C3_EXPANSION!$C$6:$F$6,MIN(4,COUNTIF(CAPA3_EXPANSION!$D$56:CJ$56,"&gt;="&amp;28)))*CAPA3_EXPANSION!CJ$36)</f>
        <v>2828.2799999999997</v>
      </c>
      <c r="CK35" s="88">
        <f>IF(COUNTIF(CAPA3_EXPANSION!$D$56:CK$56,"&gt;="&amp;28)=0,0,SUP_CONTROL!$C$8*IF($B35="V",1,IF($B35="D",(1+SUP_VOLUMEN!$C$26),(1+SUP_VOLUMEN!$C$27)))*INDEX(SUP_C3_EXPANSION!$C$6:$F$6,MIN(4,COUNTIF(CAPA3_EXPANSION!$D$56:CK$56,"&gt;="&amp;28)))*CAPA3_EXPANSION!CK$36)</f>
        <v>2828.2799999999997</v>
      </c>
      <c r="CL35" s="88">
        <f>IF(COUNTIF(CAPA3_EXPANSION!$D$56:CL$56,"&gt;="&amp;28)=0,0,SUP_CONTROL!$C$8*IF($B35="V",1,IF($B35="D",(1+SUP_VOLUMEN!$C$26),(1+SUP_VOLUMEN!$C$27)))*INDEX(SUP_C3_EXPANSION!$C$6:$F$6,MIN(4,COUNTIF(CAPA3_EXPANSION!$D$56:CL$56,"&gt;="&amp;28)))*CAPA3_EXPANSION!CL$36)</f>
        <v>2828.2799999999997</v>
      </c>
      <c r="CM35" s="88">
        <f>IF(COUNTIF(CAPA3_EXPANSION!$D$56:CM$56,"&gt;="&amp;28)=0,0,SUP_CONTROL!$C$8*IF($B35="V",1,IF($B35="D",(1+SUP_VOLUMEN!$C$26),(1+SUP_VOLUMEN!$C$27)))*INDEX(SUP_C3_EXPANSION!$C$6:$F$6,MIN(4,COUNTIF(CAPA3_EXPANSION!$D$56:CM$56,"&gt;="&amp;28)))*CAPA3_EXPANSION!CM$36)</f>
        <v>2828.2799999999997</v>
      </c>
      <c r="CN35" s="88">
        <f>IF(COUNTIF(CAPA3_EXPANSION!$D$56:CN$56,"&gt;="&amp;28)=0,0,SUP_CONTROL!$C$8*IF($B35="V",1,IF($B35="D",(1+SUP_VOLUMEN!$C$26),(1+SUP_VOLUMEN!$C$27)))*INDEX(SUP_C3_EXPANSION!$C$6:$F$6,MIN(4,COUNTIF(CAPA3_EXPANSION!$D$56:CN$56,"&gt;="&amp;28)))*CAPA3_EXPANSION!CN$36)</f>
        <v>2828.2799999999997</v>
      </c>
      <c r="CO35" s="88">
        <f>IF(COUNTIF(CAPA3_EXPANSION!$D$56:CO$56,"&gt;="&amp;28)=0,0,SUP_CONTROL!$C$8*IF($B35="V",1,IF($B35="D",(1+SUP_VOLUMEN!$C$26),(1+SUP_VOLUMEN!$C$27)))*INDEX(SUP_C3_EXPANSION!$C$6:$F$6,MIN(4,COUNTIF(CAPA3_EXPANSION!$D$56:CO$56,"&gt;="&amp;28)))*CAPA3_EXPANSION!CO$36)</f>
        <v>2828.2799999999997</v>
      </c>
      <c r="CP35" s="88">
        <f>IF(COUNTIF(CAPA3_EXPANSION!$D$56:CP$56,"&gt;="&amp;28)=0,0,SUP_CONTROL!$C$8*IF($B35="V",1,IF($B35="D",(1+SUP_VOLUMEN!$C$26),(1+SUP_VOLUMEN!$C$27)))*INDEX(SUP_C3_EXPANSION!$C$6:$F$6,MIN(4,COUNTIF(CAPA3_EXPANSION!$D$56:CP$56,"&gt;="&amp;28)))*CAPA3_EXPANSION!CP$36)</f>
        <v>2828.2799999999997</v>
      </c>
      <c r="CQ35" s="88">
        <f>IF(COUNTIF(CAPA3_EXPANSION!$D$56:CQ$56,"&gt;="&amp;28)=0,0,SUP_CONTROL!$C$8*IF($B35="V",1,IF($B35="D",(1+SUP_VOLUMEN!$C$26),(1+SUP_VOLUMEN!$C$27)))*INDEX(SUP_C3_EXPANSION!$C$6:$F$6,MIN(4,COUNTIF(CAPA3_EXPANSION!$D$56:CQ$56,"&gt;="&amp;28)))*CAPA3_EXPANSION!CQ$36)</f>
        <v>2828.2799999999997</v>
      </c>
      <c r="CR35" s="88">
        <f>IF(COUNTIF(CAPA3_EXPANSION!$D$56:CR$56,"&gt;="&amp;28)=0,0,SUP_CONTROL!$C$8*IF($B35="V",1,IF($B35="D",(1+SUP_VOLUMEN!$C$26),(1+SUP_VOLUMEN!$C$27)))*INDEX(SUP_C3_EXPANSION!$C$6:$F$6,MIN(4,COUNTIF(CAPA3_EXPANSION!$D$56:CR$56,"&gt;="&amp;28)))*CAPA3_EXPANSION!CR$36)</f>
        <v>2828.2799999999997</v>
      </c>
      <c r="CS35" s="88">
        <f>IF(COUNTIF(CAPA3_EXPANSION!$D$56:CS$56,"&gt;="&amp;28)=0,0,SUP_CONTROL!$C$8*IF($B35="V",1,IF($B35="D",(1+SUP_VOLUMEN!$C$26),(1+SUP_VOLUMEN!$C$27)))*INDEX(SUP_C3_EXPANSION!$C$6:$F$6,MIN(4,COUNTIF(CAPA3_EXPANSION!$D$56:CS$56,"&gt;="&amp;28)))*CAPA3_EXPANSION!CS$36)</f>
        <v>2828.2799999999997</v>
      </c>
      <c r="CT35" s="88">
        <f>IF(COUNTIF(CAPA3_EXPANSION!$D$56:CT$56,"&gt;="&amp;28)=0,0,SUP_CONTROL!$C$8*IF($B35="V",1,IF($B35="D",(1+SUP_VOLUMEN!$C$26),(1+SUP_VOLUMEN!$C$27)))*INDEX(SUP_C3_EXPANSION!$C$6:$F$6,MIN(4,COUNTIF(CAPA3_EXPANSION!$D$56:CT$56,"&gt;="&amp;28)))*CAPA3_EXPANSION!CT$36)</f>
        <v>2828.2799999999997</v>
      </c>
      <c r="CU35" s="88">
        <f>IF(COUNTIF(CAPA3_EXPANSION!$D$56:CU$56,"&gt;="&amp;28)=0,0,SUP_CONTROL!$C$8*IF($B35="V",1,IF($B35="D",(1+SUP_VOLUMEN!$C$26),(1+SUP_VOLUMEN!$C$27)))*INDEX(SUP_C3_EXPANSION!$C$6:$F$6,MIN(4,COUNTIF(CAPA3_EXPANSION!$D$56:CU$56,"&gt;="&amp;28)))*CAPA3_EXPANSION!CU$36)</f>
        <v>2828.2799999999997</v>
      </c>
      <c r="CV35" s="88">
        <f>IF(COUNTIF(CAPA3_EXPANSION!$D$56:CV$56,"&gt;="&amp;28)=0,0,SUP_CONTROL!$C$8*IF($B35="V",1,IF($B35="D",(1+SUP_VOLUMEN!$C$26),(1+SUP_VOLUMEN!$C$27)))*INDEX(SUP_C3_EXPANSION!$C$6:$F$6,MIN(4,COUNTIF(CAPA3_EXPANSION!$D$56:CV$56,"&gt;="&amp;28)))*CAPA3_EXPANSION!CV$36)</f>
        <v>2828.2799999999997</v>
      </c>
      <c r="CW35" s="88">
        <f>IF(COUNTIF(CAPA3_EXPANSION!$D$56:CW$56,"&gt;="&amp;28)=0,0,SUP_CONTROL!$C$8*IF($B35="V",1,IF($B35="D",(1+SUP_VOLUMEN!$C$26),(1+SUP_VOLUMEN!$C$27)))*INDEX(SUP_C3_EXPANSION!$C$6:$F$6,MIN(4,COUNTIF(CAPA3_EXPANSION!$D$56:CW$56,"&gt;="&amp;28)))*CAPA3_EXPANSION!CW$36)</f>
        <v>2828.2799999999997</v>
      </c>
      <c r="CX35" s="88">
        <f>IF(COUNTIF(CAPA3_EXPANSION!$D$56:CX$56,"&gt;="&amp;28)=0,0,SUP_CONTROL!$C$8*IF($B35="V",1,IF($B35="D",(1+SUP_VOLUMEN!$C$26),(1+SUP_VOLUMEN!$C$27)))*INDEX(SUP_C3_EXPANSION!$C$6:$F$6,MIN(4,COUNTIF(CAPA3_EXPANSION!$D$56:CX$56,"&gt;="&amp;28)))*CAPA3_EXPANSION!CX$36)</f>
        <v>2828.2799999999997</v>
      </c>
      <c r="CY35" s="88">
        <f>IF(COUNTIF(CAPA3_EXPANSION!$D$56:CY$56,"&gt;="&amp;28)=0,0,SUP_CONTROL!$C$8*IF($B35="V",1,IF($B35="D",(1+SUP_VOLUMEN!$C$26),(1+SUP_VOLUMEN!$C$27)))*INDEX(SUP_C3_EXPANSION!$C$6:$F$6,MIN(4,COUNTIF(CAPA3_EXPANSION!$D$56:CY$56,"&gt;="&amp;28)))*CAPA3_EXPANSION!CY$36)</f>
        <v>2828.2799999999997</v>
      </c>
      <c r="CZ35" s="88">
        <f>IF(COUNTIF(CAPA3_EXPANSION!$D$56:CZ$56,"&gt;="&amp;28)=0,0,SUP_CONTROL!$C$8*IF($B35="V",1,IF($B35="D",(1+SUP_VOLUMEN!$C$26),(1+SUP_VOLUMEN!$C$27)))*INDEX(SUP_C3_EXPANSION!$C$6:$F$6,MIN(4,COUNTIF(CAPA3_EXPANSION!$D$56:CZ$56,"&gt;="&amp;28)))*CAPA3_EXPANSION!CZ$36)</f>
        <v>2828.2799999999997</v>
      </c>
      <c r="DA35" s="88">
        <f>IF(COUNTIF(CAPA3_EXPANSION!$D$56:DA$56,"&gt;="&amp;28)=0,0,SUP_CONTROL!$C$8*IF($B35="V",1,IF($B35="D",(1+SUP_VOLUMEN!$C$26),(1+SUP_VOLUMEN!$C$27)))*INDEX(SUP_C3_EXPANSION!$C$6:$F$6,MIN(4,COUNTIF(CAPA3_EXPANSION!$D$56:DA$56,"&gt;="&amp;28)))*CAPA3_EXPANSION!DA$36)</f>
        <v>2828.2799999999997</v>
      </c>
      <c r="DB35" s="88">
        <f>IF(COUNTIF(CAPA3_EXPANSION!$D$56:DB$56,"&gt;="&amp;28)=0,0,SUP_CONTROL!$C$8*IF($B35="V",1,IF($B35="D",(1+SUP_VOLUMEN!$C$26),(1+SUP_VOLUMEN!$C$27)))*INDEX(SUP_C3_EXPANSION!$C$6:$F$6,MIN(4,COUNTIF(CAPA3_EXPANSION!$D$56:DB$56,"&gt;="&amp;28)))*CAPA3_EXPANSION!DB$36)</f>
        <v>2828.2799999999997</v>
      </c>
      <c r="DC35" s="88">
        <f>IF(COUNTIF(CAPA3_EXPANSION!$D$56:DC$56,"&gt;="&amp;28)=0,0,SUP_CONTROL!$C$8*IF($B35="V",1,IF($B35="D",(1+SUP_VOLUMEN!$C$26),(1+SUP_VOLUMEN!$C$27)))*INDEX(SUP_C3_EXPANSION!$C$6:$F$6,MIN(4,COUNTIF(CAPA3_EXPANSION!$D$56:DC$56,"&gt;="&amp;28)))*CAPA3_EXPANSION!DC$36)</f>
        <v>2828.2799999999997</v>
      </c>
      <c r="DD35" s="88">
        <f>IF(COUNTIF(CAPA3_EXPANSION!$D$56:DD$56,"&gt;="&amp;28)=0,0,SUP_CONTROL!$C$8*IF($B35="V",1,IF($B35="D",(1+SUP_VOLUMEN!$C$26),(1+SUP_VOLUMEN!$C$27)))*INDEX(SUP_C3_EXPANSION!$C$6:$F$6,MIN(4,COUNTIF(CAPA3_EXPANSION!$D$56:DD$56,"&gt;="&amp;28)))*CAPA3_EXPANSION!DD$36)</f>
        <v>2828.2799999999997</v>
      </c>
      <c r="DE35" s="88">
        <f>IF(COUNTIF(CAPA3_EXPANSION!$D$56:DE$56,"&gt;="&amp;28)=0,0,SUP_CONTROL!$C$8*IF($B35="V",1,IF($B35="D",(1+SUP_VOLUMEN!$C$26),(1+SUP_VOLUMEN!$C$27)))*INDEX(SUP_C3_EXPANSION!$C$6:$F$6,MIN(4,COUNTIF(CAPA3_EXPANSION!$D$56:DE$56,"&gt;="&amp;28)))*CAPA3_EXPANSION!DE$36)</f>
        <v>2828.2799999999997</v>
      </c>
      <c r="DF35" s="88">
        <f>IF(COUNTIF(CAPA3_EXPANSION!$D$56:DF$56,"&gt;="&amp;28)=0,0,SUP_CONTROL!$C$8*IF($B35="V",1,IF($B35="D",(1+SUP_VOLUMEN!$C$26),(1+SUP_VOLUMEN!$C$27)))*INDEX(SUP_C3_EXPANSION!$C$6:$F$6,MIN(4,COUNTIF(CAPA3_EXPANSION!$D$56:DF$56,"&gt;="&amp;28)))*CAPA3_EXPANSION!DF$36)</f>
        <v>2828.2799999999997</v>
      </c>
      <c r="DG35" s="88">
        <f>IF(COUNTIF(CAPA3_EXPANSION!$D$56:DG$56,"&gt;="&amp;28)=0,0,SUP_CONTROL!$C$8*IF($B35="V",1,IF($B35="D",(1+SUP_VOLUMEN!$C$26),(1+SUP_VOLUMEN!$C$27)))*INDEX(SUP_C3_EXPANSION!$C$6:$F$6,MIN(4,COUNTIF(CAPA3_EXPANSION!$D$56:DG$56,"&gt;="&amp;28)))*CAPA3_EXPANSION!DG$36)</f>
        <v>2828.2799999999997</v>
      </c>
      <c r="DH35" s="88">
        <f>IF(COUNTIF(CAPA3_EXPANSION!$D$56:DH$56,"&gt;="&amp;28)=0,0,SUP_CONTROL!$C$8*IF($B35="V",1,IF($B35="D",(1+SUP_VOLUMEN!$C$26),(1+SUP_VOLUMEN!$C$27)))*INDEX(SUP_C3_EXPANSION!$C$6:$F$6,MIN(4,COUNTIF(CAPA3_EXPANSION!$D$56:DH$56,"&gt;="&amp;28)))*CAPA3_EXPANSION!DH$36)</f>
        <v>2828.2799999999997</v>
      </c>
      <c r="DI35" s="88">
        <f>IF(COUNTIF(CAPA3_EXPANSION!$D$56:DI$56,"&gt;="&amp;28)=0,0,SUP_CONTROL!$C$8*IF($B35="V",1,IF($B35="D",(1+SUP_VOLUMEN!$C$26),(1+SUP_VOLUMEN!$C$27)))*INDEX(SUP_C3_EXPANSION!$C$6:$F$6,MIN(4,COUNTIF(CAPA3_EXPANSION!$D$56:DI$56,"&gt;="&amp;28)))*CAPA3_EXPANSION!DI$36)</f>
        <v>2828.2799999999997</v>
      </c>
      <c r="DJ35" s="88">
        <f>IF(COUNTIF(CAPA3_EXPANSION!$D$56:DJ$56,"&gt;="&amp;28)=0,0,SUP_CONTROL!$C$8*IF($B35="V",1,IF($B35="D",(1+SUP_VOLUMEN!$C$26),(1+SUP_VOLUMEN!$C$27)))*INDEX(SUP_C3_EXPANSION!$C$6:$F$6,MIN(4,COUNTIF(CAPA3_EXPANSION!$D$56:DJ$56,"&gt;="&amp;28)))*CAPA3_EXPANSION!DJ$36)</f>
        <v>2828.2799999999997</v>
      </c>
      <c r="DK35" s="88">
        <f>IF(COUNTIF(CAPA3_EXPANSION!$D$56:DK$56,"&gt;="&amp;28)=0,0,SUP_CONTROL!$C$8*IF($B35="V",1,IF($B35="D",(1+SUP_VOLUMEN!$C$26),(1+SUP_VOLUMEN!$C$27)))*INDEX(SUP_C3_EXPANSION!$C$6:$F$6,MIN(4,COUNTIF(CAPA3_EXPANSION!$D$56:DK$56,"&gt;="&amp;28)))*CAPA3_EXPANSION!DK$36)</f>
        <v>2828.2799999999997</v>
      </c>
      <c r="DL35" s="88">
        <f>IF(COUNTIF(CAPA3_EXPANSION!$D$56:DL$56,"&gt;="&amp;28)=0,0,SUP_CONTROL!$C$8*IF($B35="V",1,IF($B35="D",(1+SUP_VOLUMEN!$C$26),(1+SUP_VOLUMEN!$C$27)))*INDEX(SUP_C3_EXPANSION!$C$6:$F$6,MIN(4,COUNTIF(CAPA3_EXPANSION!$D$56:DL$56,"&gt;="&amp;28)))*CAPA3_EXPANSION!DL$36)</f>
        <v>2828.2799999999997</v>
      </c>
      <c r="DM35" s="88">
        <f>IF(COUNTIF(CAPA3_EXPANSION!$D$56:DM$56,"&gt;="&amp;28)=0,0,SUP_CONTROL!$C$8*IF($B35="V",1,IF($B35="D",(1+SUP_VOLUMEN!$C$26),(1+SUP_VOLUMEN!$C$27)))*INDEX(SUP_C3_EXPANSION!$C$6:$F$6,MIN(4,COUNTIF(CAPA3_EXPANSION!$D$56:DM$56,"&gt;="&amp;28)))*CAPA3_EXPANSION!DM$36)</f>
        <v>2828.2799999999997</v>
      </c>
      <c r="DN35" s="88">
        <f>IF(COUNTIF(CAPA3_EXPANSION!$D$56:DN$56,"&gt;="&amp;28)=0,0,SUP_CONTROL!$C$8*IF($B35="V",1,IF($B35="D",(1+SUP_VOLUMEN!$C$26),(1+SUP_VOLUMEN!$C$27)))*INDEX(SUP_C3_EXPANSION!$C$6:$F$6,MIN(4,COUNTIF(CAPA3_EXPANSION!$D$56:DN$56,"&gt;="&amp;28)))*CAPA3_EXPANSION!DN$36)</f>
        <v>2828.2799999999997</v>
      </c>
      <c r="DO35" s="88">
        <f>IF(COUNTIF(CAPA3_EXPANSION!$D$56:DO$56,"&gt;="&amp;28)=0,0,SUP_CONTROL!$C$8*IF($B35="V",1,IF($B35="D",(1+SUP_VOLUMEN!$C$26),(1+SUP_VOLUMEN!$C$27)))*INDEX(SUP_C3_EXPANSION!$C$6:$F$6,MIN(4,COUNTIF(CAPA3_EXPANSION!$D$56:DO$56,"&gt;="&amp;28)))*CAPA3_EXPANSION!DO$36)</f>
        <v>2828.2799999999997</v>
      </c>
      <c r="DP35" s="88">
        <f>IF(COUNTIF(CAPA3_EXPANSION!$D$56:DP$56,"&gt;="&amp;28)=0,0,SUP_CONTROL!$C$8*IF($B35="V",1,IF($B35="D",(1+SUP_VOLUMEN!$C$26),(1+SUP_VOLUMEN!$C$27)))*INDEX(SUP_C3_EXPANSION!$C$6:$F$6,MIN(4,COUNTIF(CAPA3_EXPANSION!$D$56:DP$56,"&gt;="&amp;28)))*CAPA3_EXPANSION!DP$36)</f>
        <v>2828.2799999999997</v>
      </c>
      <c r="DQ35" s="88">
        <f>IF(COUNTIF(CAPA3_EXPANSION!$D$56:DQ$56,"&gt;="&amp;28)=0,0,SUP_CONTROL!$C$8*IF($B35="V",1,IF($B35="D",(1+SUP_VOLUMEN!$C$26),(1+SUP_VOLUMEN!$C$27)))*INDEX(SUP_C3_EXPANSION!$C$6:$F$6,MIN(4,COUNTIF(CAPA3_EXPANSION!$D$56:DQ$56,"&gt;="&amp;28)))*CAPA3_EXPANSION!DQ$36)</f>
        <v>2828.2799999999997</v>
      </c>
      <c r="DR35" s="88">
        <f>IF(COUNTIF(CAPA3_EXPANSION!$D$56:DR$56,"&gt;="&amp;28)=0,0,SUP_CONTROL!$C$8*IF($B35="V",1,IF($B35="D",(1+SUP_VOLUMEN!$C$26),(1+SUP_VOLUMEN!$C$27)))*INDEX(SUP_C3_EXPANSION!$C$6:$F$6,MIN(4,COUNTIF(CAPA3_EXPANSION!$D$56:DR$56,"&gt;="&amp;28)))*CAPA3_EXPANSION!DR$36)</f>
        <v>2828.2799999999997</v>
      </c>
      <c r="DS35" s="88">
        <f>IF(COUNTIF(CAPA3_EXPANSION!$D$56:DS$56,"&gt;="&amp;28)=0,0,SUP_CONTROL!$C$8*IF($B35="V",1,IF($B35="D",(1+SUP_VOLUMEN!$C$26),(1+SUP_VOLUMEN!$C$27)))*INDEX(SUP_C3_EXPANSION!$C$6:$F$6,MIN(4,COUNTIF(CAPA3_EXPANSION!$D$56:DS$56,"&gt;="&amp;28)))*CAPA3_EXPANSION!DS$36)</f>
        <v>2828.2799999999997</v>
      </c>
    </row>
    <row r="36" spans="1:123" ht="15" customHeight="1" x14ac:dyDescent="0.2">
      <c r="A36" s="88">
        <v>39</v>
      </c>
      <c r="B36" s="104" t="str">
        <f>SUP_C3_EXPANSION!B48</f>
        <v>D</v>
      </c>
      <c r="C36" s="73">
        <f>SUP_C3_EXPANSION!G48</f>
        <v>64</v>
      </c>
      <c r="D36" s="88">
        <f>IF(COUNTIF(CAPA3_EXPANSION!$D$56:D$56,"&gt;="&amp;29)=0,0,SUP_CONTROL!$C$8*IF($B36="V",1,IF($B36="D",(1+SUP_VOLUMEN!$C$26),(1+SUP_VOLUMEN!$C$27)))*INDEX(SUP_C3_EXPANSION!$C$6:$F$6,MIN(4,COUNTIF(CAPA3_EXPANSION!$D$56:D$56,"&gt;="&amp;29)))*CAPA3_EXPANSION!D$36)</f>
        <v>0</v>
      </c>
      <c r="E36" s="88">
        <f>IF(COUNTIF(CAPA3_EXPANSION!$D$56:E$56,"&gt;="&amp;29)=0,0,SUP_CONTROL!$C$8*IF($B36="V",1,IF($B36="D",(1+SUP_VOLUMEN!$C$26),(1+SUP_VOLUMEN!$C$27)))*INDEX(SUP_C3_EXPANSION!$C$6:$F$6,MIN(4,COUNTIF(CAPA3_EXPANSION!$D$56:E$56,"&gt;="&amp;29)))*CAPA3_EXPANSION!E$36)</f>
        <v>0</v>
      </c>
      <c r="F36" s="88">
        <f>IF(COUNTIF(CAPA3_EXPANSION!$D$56:F$56,"&gt;="&amp;29)=0,0,SUP_CONTROL!$C$8*IF($B36="V",1,IF($B36="D",(1+SUP_VOLUMEN!$C$26),(1+SUP_VOLUMEN!$C$27)))*INDEX(SUP_C3_EXPANSION!$C$6:$F$6,MIN(4,COUNTIF(CAPA3_EXPANSION!$D$56:F$56,"&gt;="&amp;29)))*CAPA3_EXPANSION!F$36)</f>
        <v>0</v>
      </c>
      <c r="G36" s="88">
        <f>IF(COUNTIF(CAPA3_EXPANSION!$D$56:G$56,"&gt;="&amp;29)=0,0,SUP_CONTROL!$C$8*IF($B36="V",1,IF($B36="D",(1+SUP_VOLUMEN!$C$26),(1+SUP_VOLUMEN!$C$27)))*INDEX(SUP_C3_EXPANSION!$C$6:$F$6,MIN(4,COUNTIF(CAPA3_EXPANSION!$D$56:G$56,"&gt;="&amp;29)))*CAPA3_EXPANSION!G$36)</f>
        <v>0</v>
      </c>
      <c r="H36" s="88">
        <f>IF(COUNTIF(CAPA3_EXPANSION!$D$56:H$56,"&gt;="&amp;29)=0,0,SUP_CONTROL!$C$8*IF($B36="V",1,IF($B36="D",(1+SUP_VOLUMEN!$C$26),(1+SUP_VOLUMEN!$C$27)))*INDEX(SUP_C3_EXPANSION!$C$6:$F$6,MIN(4,COUNTIF(CAPA3_EXPANSION!$D$56:H$56,"&gt;="&amp;29)))*CAPA3_EXPANSION!H$36)</f>
        <v>0</v>
      </c>
      <c r="I36" s="88">
        <f>IF(COUNTIF(CAPA3_EXPANSION!$D$56:I$56,"&gt;="&amp;29)=0,0,SUP_CONTROL!$C$8*IF($B36="V",1,IF($B36="D",(1+SUP_VOLUMEN!$C$26),(1+SUP_VOLUMEN!$C$27)))*INDEX(SUP_C3_EXPANSION!$C$6:$F$6,MIN(4,COUNTIF(CAPA3_EXPANSION!$D$56:I$56,"&gt;="&amp;29)))*CAPA3_EXPANSION!I$36)</f>
        <v>0</v>
      </c>
      <c r="J36" s="88">
        <f>IF(COUNTIF(CAPA3_EXPANSION!$D$56:J$56,"&gt;="&amp;29)=0,0,SUP_CONTROL!$C$8*IF($B36="V",1,IF($B36="D",(1+SUP_VOLUMEN!$C$26),(1+SUP_VOLUMEN!$C$27)))*INDEX(SUP_C3_EXPANSION!$C$6:$F$6,MIN(4,COUNTIF(CAPA3_EXPANSION!$D$56:J$56,"&gt;="&amp;29)))*CAPA3_EXPANSION!J$36)</f>
        <v>0</v>
      </c>
      <c r="K36" s="88">
        <f>IF(COUNTIF(CAPA3_EXPANSION!$D$56:K$56,"&gt;="&amp;29)=0,0,SUP_CONTROL!$C$8*IF($B36="V",1,IF($B36="D",(1+SUP_VOLUMEN!$C$26),(1+SUP_VOLUMEN!$C$27)))*INDEX(SUP_C3_EXPANSION!$C$6:$F$6,MIN(4,COUNTIF(CAPA3_EXPANSION!$D$56:K$56,"&gt;="&amp;29)))*CAPA3_EXPANSION!K$36)</f>
        <v>0</v>
      </c>
      <c r="L36" s="88">
        <f>IF(COUNTIF(CAPA3_EXPANSION!$D$56:L$56,"&gt;="&amp;29)=0,0,SUP_CONTROL!$C$8*IF($B36="V",1,IF($B36="D",(1+SUP_VOLUMEN!$C$26),(1+SUP_VOLUMEN!$C$27)))*INDEX(SUP_C3_EXPANSION!$C$6:$F$6,MIN(4,COUNTIF(CAPA3_EXPANSION!$D$56:L$56,"&gt;="&amp;29)))*CAPA3_EXPANSION!L$36)</f>
        <v>0</v>
      </c>
      <c r="M36" s="88">
        <f>IF(COUNTIF(CAPA3_EXPANSION!$D$56:M$56,"&gt;="&amp;29)=0,0,SUP_CONTROL!$C$8*IF($B36="V",1,IF($B36="D",(1+SUP_VOLUMEN!$C$26),(1+SUP_VOLUMEN!$C$27)))*INDEX(SUP_C3_EXPANSION!$C$6:$F$6,MIN(4,COUNTIF(CAPA3_EXPANSION!$D$56:M$56,"&gt;="&amp;29)))*CAPA3_EXPANSION!M$36)</f>
        <v>0</v>
      </c>
      <c r="N36" s="88">
        <f>IF(COUNTIF(CAPA3_EXPANSION!$D$56:N$56,"&gt;="&amp;29)=0,0,SUP_CONTROL!$C$8*IF($B36="V",1,IF($B36="D",(1+SUP_VOLUMEN!$C$26),(1+SUP_VOLUMEN!$C$27)))*INDEX(SUP_C3_EXPANSION!$C$6:$F$6,MIN(4,COUNTIF(CAPA3_EXPANSION!$D$56:N$56,"&gt;="&amp;29)))*CAPA3_EXPANSION!N$36)</f>
        <v>0</v>
      </c>
      <c r="O36" s="88">
        <f>IF(COUNTIF(CAPA3_EXPANSION!$D$56:O$56,"&gt;="&amp;29)=0,0,SUP_CONTROL!$C$8*IF($B36="V",1,IF($B36="D",(1+SUP_VOLUMEN!$C$26),(1+SUP_VOLUMEN!$C$27)))*INDEX(SUP_C3_EXPANSION!$C$6:$F$6,MIN(4,COUNTIF(CAPA3_EXPANSION!$D$56:O$56,"&gt;="&amp;29)))*CAPA3_EXPANSION!O$36)</f>
        <v>0</v>
      </c>
      <c r="P36" s="88">
        <f>IF(COUNTIF(CAPA3_EXPANSION!$D$56:P$56,"&gt;="&amp;29)=0,0,SUP_CONTROL!$C$8*IF($B36="V",1,IF($B36="D",(1+SUP_VOLUMEN!$C$26),(1+SUP_VOLUMEN!$C$27)))*INDEX(SUP_C3_EXPANSION!$C$6:$F$6,MIN(4,COUNTIF(CAPA3_EXPANSION!$D$56:P$56,"&gt;="&amp;29)))*CAPA3_EXPANSION!P$36)</f>
        <v>0</v>
      </c>
      <c r="Q36" s="88">
        <f>IF(COUNTIF(CAPA3_EXPANSION!$D$56:Q$56,"&gt;="&amp;29)=0,0,SUP_CONTROL!$C$8*IF($B36="V",1,IF($B36="D",(1+SUP_VOLUMEN!$C$26),(1+SUP_VOLUMEN!$C$27)))*INDEX(SUP_C3_EXPANSION!$C$6:$F$6,MIN(4,COUNTIF(CAPA3_EXPANSION!$D$56:Q$56,"&gt;="&amp;29)))*CAPA3_EXPANSION!Q$36)</f>
        <v>0</v>
      </c>
      <c r="R36" s="88">
        <f>IF(COUNTIF(CAPA3_EXPANSION!$D$56:R$56,"&gt;="&amp;29)=0,0,SUP_CONTROL!$C$8*IF($B36="V",1,IF($B36="D",(1+SUP_VOLUMEN!$C$26),(1+SUP_VOLUMEN!$C$27)))*INDEX(SUP_C3_EXPANSION!$C$6:$F$6,MIN(4,COUNTIF(CAPA3_EXPANSION!$D$56:R$56,"&gt;="&amp;29)))*CAPA3_EXPANSION!R$36)</f>
        <v>0</v>
      </c>
      <c r="S36" s="88">
        <f>IF(COUNTIF(CAPA3_EXPANSION!$D$56:S$56,"&gt;="&amp;29)=0,0,SUP_CONTROL!$C$8*IF($B36="V",1,IF($B36="D",(1+SUP_VOLUMEN!$C$26),(1+SUP_VOLUMEN!$C$27)))*INDEX(SUP_C3_EXPANSION!$C$6:$F$6,MIN(4,COUNTIF(CAPA3_EXPANSION!$D$56:S$56,"&gt;="&amp;29)))*CAPA3_EXPANSION!S$36)</f>
        <v>0</v>
      </c>
      <c r="T36" s="88">
        <f>IF(COUNTIF(CAPA3_EXPANSION!$D$56:T$56,"&gt;="&amp;29)=0,0,SUP_CONTROL!$C$8*IF($B36="V",1,IF($B36="D",(1+SUP_VOLUMEN!$C$26),(1+SUP_VOLUMEN!$C$27)))*INDEX(SUP_C3_EXPANSION!$C$6:$F$6,MIN(4,COUNTIF(CAPA3_EXPANSION!$D$56:T$56,"&gt;="&amp;29)))*CAPA3_EXPANSION!T$36)</f>
        <v>0</v>
      </c>
      <c r="U36" s="88">
        <f>IF(COUNTIF(CAPA3_EXPANSION!$D$56:U$56,"&gt;="&amp;29)=0,0,SUP_CONTROL!$C$8*IF($B36="V",1,IF($B36="D",(1+SUP_VOLUMEN!$C$26),(1+SUP_VOLUMEN!$C$27)))*INDEX(SUP_C3_EXPANSION!$C$6:$F$6,MIN(4,COUNTIF(CAPA3_EXPANSION!$D$56:U$56,"&gt;="&amp;29)))*CAPA3_EXPANSION!U$36)</f>
        <v>0</v>
      </c>
      <c r="V36" s="88">
        <f>IF(COUNTIF(CAPA3_EXPANSION!$D$56:V$56,"&gt;="&amp;29)=0,0,SUP_CONTROL!$C$8*IF($B36="V",1,IF($B36="D",(1+SUP_VOLUMEN!$C$26),(1+SUP_VOLUMEN!$C$27)))*INDEX(SUP_C3_EXPANSION!$C$6:$F$6,MIN(4,COUNTIF(CAPA3_EXPANSION!$D$56:V$56,"&gt;="&amp;29)))*CAPA3_EXPANSION!V$36)</f>
        <v>0</v>
      </c>
      <c r="W36" s="88">
        <f>IF(COUNTIF(CAPA3_EXPANSION!$D$56:W$56,"&gt;="&amp;29)=0,0,SUP_CONTROL!$C$8*IF($B36="V",1,IF($B36="D",(1+SUP_VOLUMEN!$C$26),(1+SUP_VOLUMEN!$C$27)))*INDEX(SUP_C3_EXPANSION!$C$6:$F$6,MIN(4,COUNTIF(CAPA3_EXPANSION!$D$56:W$56,"&gt;="&amp;29)))*CAPA3_EXPANSION!W$36)</f>
        <v>0</v>
      </c>
      <c r="X36" s="88">
        <f>IF(COUNTIF(CAPA3_EXPANSION!$D$56:X$56,"&gt;="&amp;29)=0,0,SUP_CONTROL!$C$8*IF($B36="V",1,IF($B36="D",(1+SUP_VOLUMEN!$C$26),(1+SUP_VOLUMEN!$C$27)))*INDEX(SUP_C3_EXPANSION!$C$6:$F$6,MIN(4,COUNTIF(CAPA3_EXPANSION!$D$56:X$56,"&gt;="&amp;29)))*CAPA3_EXPANSION!X$36)</f>
        <v>0</v>
      </c>
      <c r="Y36" s="88">
        <f>IF(COUNTIF(CAPA3_EXPANSION!$D$56:Y$56,"&gt;="&amp;29)=0,0,SUP_CONTROL!$C$8*IF($B36="V",1,IF($B36="D",(1+SUP_VOLUMEN!$C$26),(1+SUP_VOLUMEN!$C$27)))*INDEX(SUP_C3_EXPANSION!$C$6:$F$6,MIN(4,COUNTIF(CAPA3_EXPANSION!$D$56:Y$56,"&gt;="&amp;29)))*CAPA3_EXPANSION!Y$36)</f>
        <v>0</v>
      </c>
      <c r="Z36" s="88">
        <f>IF(COUNTIF(CAPA3_EXPANSION!$D$56:Z$56,"&gt;="&amp;29)=0,0,SUP_CONTROL!$C$8*IF($B36="V",1,IF($B36="D",(1+SUP_VOLUMEN!$C$26),(1+SUP_VOLUMEN!$C$27)))*INDEX(SUP_C3_EXPANSION!$C$6:$F$6,MIN(4,COUNTIF(CAPA3_EXPANSION!$D$56:Z$56,"&gt;="&amp;29)))*CAPA3_EXPANSION!Z$36)</f>
        <v>0</v>
      </c>
      <c r="AA36" s="88">
        <f>IF(COUNTIF(CAPA3_EXPANSION!$D$56:AA$56,"&gt;="&amp;29)=0,0,SUP_CONTROL!$C$8*IF($B36="V",1,IF($B36="D",(1+SUP_VOLUMEN!$C$26),(1+SUP_VOLUMEN!$C$27)))*INDEX(SUP_C3_EXPANSION!$C$6:$F$6,MIN(4,COUNTIF(CAPA3_EXPANSION!$D$56:AA$56,"&gt;="&amp;29)))*CAPA3_EXPANSION!AA$36)</f>
        <v>0</v>
      </c>
      <c r="AB36" s="88">
        <f>IF(COUNTIF(CAPA3_EXPANSION!$D$56:AB$56,"&gt;="&amp;29)=0,0,SUP_CONTROL!$C$8*IF($B36="V",1,IF($B36="D",(1+SUP_VOLUMEN!$C$26),(1+SUP_VOLUMEN!$C$27)))*INDEX(SUP_C3_EXPANSION!$C$6:$F$6,MIN(4,COUNTIF(CAPA3_EXPANSION!$D$56:AB$56,"&gt;="&amp;29)))*CAPA3_EXPANSION!AB$36)</f>
        <v>0</v>
      </c>
      <c r="AC36" s="88">
        <f>IF(COUNTIF(CAPA3_EXPANSION!$D$56:AC$56,"&gt;="&amp;29)=0,0,SUP_CONTROL!$C$8*IF($B36="V",1,IF($B36="D",(1+SUP_VOLUMEN!$C$26),(1+SUP_VOLUMEN!$C$27)))*INDEX(SUP_C3_EXPANSION!$C$6:$F$6,MIN(4,COUNTIF(CAPA3_EXPANSION!$D$56:AC$56,"&gt;="&amp;29)))*CAPA3_EXPANSION!AC$36)</f>
        <v>0</v>
      </c>
      <c r="AD36" s="88">
        <f>IF(COUNTIF(CAPA3_EXPANSION!$D$56:AD$56,"&gt;="&amp;29)=0,0,SUP_CONTROL!$C$8*IF($B36="V",1,IF($B36="D",(1+SUP_VOLUMEN!$C$26),(1+SUP_VOLUMEN!$C$27)))*INDEX(SUP_C3_EXPANSION!$C$6:$F$6,MIN(4,COUNTIF(CAPA3_EXPANSION!$D$56:AD$56,"&gt;="&amp;29)))*CAPA3_EXPANSION!AD$36)</f>
        <v>0</v>
      </c>
      <c r="AE36" s="88">
        <f>IF(COUNTIF(CAPA3_EXPANSION!$D$56:AE$56,"&gt;="&amp;29)=0,0,SUP_CONTROL!$C$8*IF($B36="V",1,IF($B36="D",(1+SUP_VOLUMEN!$C$26),(1+SUP_VOLUMEN!$C$27)))*INDEX(SUP_C3_EXPANSION!$C$6:$F$6,MIN(4,COUNTIF(CAPA3_EXPANSION!$D$56:AE$56,"&gt;="&amp;29)))*CAPA3_EXPANSION!AE$36)</f>
        <v>0</v>
      </c>
      <c r="AF36" s="88">
        <f>IF(COUNTIF(CAPA3_EXPANSION!$D$56:AF$56,"&gt;="&amp;29)=0,0,SUP_CONTROL!$C$8*IF($B36="V",1,IF($B36="D",(1+SUP_VOLUMEN!$C$26),(1+SUP_VOLUMEN!$C$27)))*INDEX(SUP_C3_EXPANSION!$C$6:$F$6,MIN(4,COUNTIF(CAPA3_EXPANSION!$D$56:AF$56,"&gt;="&amp;29)))*CAPA3_EXPANSION!AF$36)</f>
        <v>0</v>
      </c>
      <c r="AG36" s="88">
        <f>IF(COUNTIF(CAPA3_EXPANSION!$D$56:AG$56,"&gt;="&amp;29)=0,0,SUP_CONTROL!$C$8*IF($B36="V",1,IF($B36="D",(1+SUP_VOLUMEN!$C$26),(1+SUP_VOLUMEN!$C$27)))*INDEX(SUP_C3_EXPANSION!$C$6:$F$6,MIN(4,COUNTIF(CAPA3_EXPANSION!$D$56:AG$56,"&gt;="&amp;29)))*CAPA3_EXPANSION!AG$36)</f>
        <v>0</v>
      </c>
      <c r="AH36" s="88">
        <f>IF(COUNTIF(CAPA3_EXPANSION!$D$56:AH$56,"&gt;="&amp;29)=0,0,SUP_CONTROL!$C$8*IF($B36="V",1,IF($B36="D",(1+SUP_VOLUMEN!$C$26),(1+SUP_VOLUMEN!$C$27)))*INDEX(SUP_C3_EXPANSION!$C$6:$F$6,MIN(4,COUNTIF(CAPA3_EXPANSION!$D$56:AH$56,"&gt;="&amp;29)))*CAPA3_EXPANSION!AH$36)</f>
        <v>0</v>
      </c>
      <c r="AI36" s="88">
        <f>IF(COUNTIF(CAPA3_EXPANSION!$D$56:AI$56,"&gt;="&amp;29)=0,0,SUP_CONTROL!$C$8*IF($B36="V",1,IF($B36="D",(1+SUP_VOLUMEN!$C$26),(1+SUP_VOLUMEN!$C$27)))*INDEX(SUP_C3_EXPANSION!$C$6:$F$6,MIN(4,COUNTIF(CAPA3_EXPANSION!$D$56:AI$56,"&gt;="&amp;29)))*CAPA3_EXPANSION!AI$36)</f>
        <v>0</v>
      </c>
      <c r="AJ36" s="88">
        <f>IF(COUNTIF(CAPA3_EXPANSION!$D$56:AJ$56,"&gt;="&amp;29)=0,0,SUP_CONTROL!$C$8*IF($B36="V",1,IF($B36="D",(1+SUP_VOLUMEN!$C$26),(1+SUP_VOLUMEN!$C$27)))*INDEX(SUP_C3_EXPANSION!$C$6:$F$6,MIN(4,COUNTIF(CAPA3_EXPANSION!$D$56:AJ$56,"&gt;="&amp;29)))*CAPA3_EXPANSION!AJ$36)</f>
        <v>0</v>
      </c>
      <c r="AK36" s="88">
        <f>IF(COUNTIF(CAPA3_EXPANSION!$D$56:AK$56,"&gt;="&amp;29)=0,0,SUP_CONTROL!$C$8*IF($B36="V",1,IF($B36="D",(1+SUP_VOLUMEN!$C$26),(1+SUP_VOLUMEN!$C$27)))*INDEX(SUP_C3_EXPANSION!$C$6:$F$6,MIN(4,COUNTIF(CAPA3_EXPANSION!$D$56:AK$56,"&gt;="&amp;29)))*CAPA3_EXPANSION!AK$36)</f>
        <v>0</v>
      </c>
      <c r="AL36" s="88">
        <f>IF(COUNTIF(CAPA3_EXPANSION!$D$56:AL$56,"&gt;="&amp;29)=0,0,SUP_CONTROL!$C$8*IF($B36="V",1,IF($B36="D",(1+SUP_VOLUMEN!$C$26),(1+SUP_VOLUMEN!$C$27)))*INDEX(SUP_C3_EXPANSION!$C$6:$F$6,MIN(4,COUNTIF(CAPA3_EXPANSION!$D$56:AL$56,"&gt;="&amp;29)))*CAPA3_EXPANSION!AL$36)</f>
        <v>0</v>
      </c>
      <c r="AM36" s="88">
        <f>IF(COUNTIF(CAPA3_EXPANSION!$D$56:AM$56,"&gt;="&amp;29)=0,0,SUP_CONTROL!$C$8*IF($B36="V",1,IF($B36="D",(1+SUP_VOLUMEN!$C$26),(1+SUP_VOLUMEN!$C$27)))*INDEX(SUP_C3_EXPANSION!$C$6:$F$6,MIN(4,COUNTIF(CAPA3_EXPANSION!$D$56:AM$56,"&gt;="&amp;29)))*CAPA3_EXPANSION!AM$36)</f>
        <v>0</v>
      </c>
      <c r="AN36" s="88">
        <f>IF(COUNTIF(CAPA3_EXPANSION!$D$56:AN$56,"&gt;="&amp;29)=0,0,SUP_CONTROL!$C$8*IF($B36="V",1,IF($B36="D",(1+SUP_VOLUMEN!$C$26),(1+SUP_VOLUMEN!$C$27)))*INDEX(SUP_C3_EXPANSION!$C$6:$F$6,MIN(4,COUNTIF(CAPA3_EXPANSION!$D$56:AN$56,"&gt;="&amp;29)))*CAPA3_EXPANSION!AN$36)</f>
        <v>0</v>
      </c>
      <c r="AO36" s="88">
        <f>IF(COUNTIF(CAPA3_EXPANSION!$D$56:AO$56,"&gt;="&amp;29)=0,0,SUP_CONTROL!$C$8*IF($B36="V",1,IF($B36="D",(1+SUP_VOLUMEN!$C$26),(1+SUP_VOLUMEN!$C$27)))*INDEX(SUP_C3_EXPANSION!$C$6:$F$6,MIN(4,COUNTIF(CAPA3_EXPANSION!$D$56:AO$56,"&gt;="&amp;29)))*CAPA3_EXPANSION!AO$36)</f>
        <v>0</v>
      </c>
      <c r="AP36" s="88">
        <f>IF(COUNTIF(CAPA3_EXPANSION!$D$56:AP$56,"&gt;="&amp;29)=0,0,SUP_CONTROL!$C$8*IF($B36="V",1,IF($B36="D",(1+SUP_VOLUMEN!$C$26),(1+SUP_VOLUMEN!$C$27)))*INDEX(SUP_C3_EXPANSION!$C$6:$F$6,MIN(4,COUNTIF(CAPA3_EXPANSION!$D$56:AP$56,"&gt;="&amp;29)))*CAPA3_EXPANSION!AP$36)</f>
        <v>0</v>
      </c>
      <c r="AQ36" s="88">
        <f>IF(COUNTIF(CAPA3_EXPANSION!$D$56:AQ$56,"&gt;="&amp;29)=0,0,SUP_CONTROL!$C$8*IF($B36="V",1,IF($B36="D",(1+SUP_VOLUMEN!$C$26),(1+SUP_VOLUMEN!$C$27)))*INDEX(SUP_C3_EXPANSION!$C$6:$F$6,MIN(4,COUNTIF(CAPA3_EXPANSION!$D$56:AQ$56,"&gt;="&amp;29)))*CAPA3_EXPANSION!AQ$36)</f>
        <v>0</v>
      </c>
      <c r="AR36" s="88">
        <f>IF(COUNTIF(CAPA3_EXPANSION!$D$56:AR$56,"&gt;="&amp;29)=0,0,SUP_CONTROL!$C$8*IF($B36="V",1,IF($B36="D",(1+SUP_VOLUMEN!$C$26),(1+SUP_VOLUMEN!$C$27)))*INDEX(SUP_C3_EXPANSION!$C$6:$F$6,MIN(4,COUNTIF(CAPA3_EXPANSION!$D$56:AR$56,"&gt;="&amp;29)))*CAPA3_EXPANSION!AR$36)</f>
        <v>0</v>
      </c>
      <c r="AS36" s="88">
        <f>IF(COUNTIF(CAPA3_EXPANSION!$D$56:AS$56,"&gt;="&amp;29)=0,0,SUP_CONTROL!$C$8*IF($B36="V",1,IF($B36="D",(1+SUP_VOLUMEN!$C$26),(1+SUP_VOLUMEN!$C$27)))*INDEX(SUP_C3_EXPANSION!$C$6:$F$6,MIN(4,COUNTIF(CAPA3_EXPANSION!$D$56:AS$56,"&gt;="&amp;29)))*CAPA3_EXPANSION!AS$36)</f>
        <v>0</v>
      </c>
      <c r="AT36" s="88">
        <f>IF(COUNTIF(CAPA3_EXPANSION!$D$56:AT$56,"&gt;="&amp;29)=0,0,SUP_CONTROL!$C$8*IF($B36="V",1,IF($B36="D",(1+SUP_VOLUMEN!$C$26),(1+SUP_VOLUMEN!$C$27)))*INDEX(SUP_C3_EXPANSION!$C$6:$F$6,MIN(4,COUNTIF(CAPA3_EXPANSION!$D$56:AT$56,"&gt;="&amp;29)))*CAPA3_EXPANSION!AT$36)</f>
        <v>0</v>
      </c>
      <c r="AU36" s="88">
        <f>IF(COUNTIF(CAPA3_EXPANSION!$D$56:AU$56,"&gt;="&amp;29)=0,0,SUP_CONTROL!$C$8*IF($B36="V",1,IF($B36="D",(1+SUP_VOLUMEN!$C$26),(1+SUP_VOLUMEN!$C$27)))*INDEX(SUP_C3_EXPANSION!$C$6:$F$6,MIN(4,COUNTIF(CAPA3_EXPANSION!$D$56:AU$56,"&gt;="&amp;29)))*CAPA3_EXPANSION!AU$36)</f>
        <v>0</v>
      </c>
      <c r="AV36" s="88">
        <f>IF(COUNTIF(CAPA3_EXPANSION!$D$56:AV$56,"&gt;="&amp;29)=0,0,SUP_CONTROL!$C$8*IF($B36="V",1,IF($B36="D",(1+SUP_VOLUMEN!$C$26),(1+SUP_VOLUMEN!$C$27)))*INDEX(SUP_C3_EXPANSION!$C$6:$F$6,MIN(4,COUNTIF(CAPA3_EXPANSION!$D$56:AV$56,"&gt;="&amp;29)))*CAPA3_EXPANSION!AV$36)</f>
        <v>0</v>
      </c>
      <c r="AW36" s="88">
        <f>IF(COUNTIF(CAPA3_EXPANSION!$D$56:AW$56,"&gt;="&amp;29)=0,0,SUP_CONTROL!$C$8*IF($B36="V",1,IF($B36="D",(1+SUP_VOLUMEN!$C$26),(1+SUP_VOLUMEN!$C$27)))*INDEX(SUP_C3_EXPANSION!$C$6:$F$6,MIN(4,COUNTIF(CAPA3_EXPANSION!$D$56:AW$56,"&gt;="&amp;29)))*CAPA3_EXPANSION!AW$36)</f>
        <v>0</v>
      </c>
      <c r="AX36" s="88">
        <f>IF(COUNTIF(CAPA3_EXPANSION!$D$56:AX$56,"&gt;="&amp;29)=0,0,SUP_CONTROL!$C$8*IF($B36="V",1,IF($B36="D",(1+SUP_VOLUMEN!$C$26),(1+SUP_VOLUMEN!$C$27)))*INDEX(SUP_C3_EXPANSION!$C$6:$F$6,MIN(4,COUNTIF(CAPA3_EXPANSION!$D$56:AX$56,"&gt;="&amp;29)))*CAPA3_EXPANSION!AX$36)</f>
        <v>0</v>
      </c>
      <c r="AY36" s="88">
        <f>IF(COUNTIF(CAPA3_EXPANSION!$D$56:AY$56,"&gt;="&amp;29)=0,0,SUP_CONTROL!$C$8*IF($B36="V",1,IF($B36="D",(1+SUP_VOLUMEN!$C$26),(1+SUP_VOLUMEN!$C$27)))*INDEX(SUP_C3_EXPANSION!$C$6:$F$6,MIN(4,COUNTIF(CAPA3_EXPANSION!$D$56:AY$56,"&gt;="&amp;29)))*CAPA3_EXPANSION!AY$36)</f>
        <v>0</v>
      </c>
      <c r="AZ36" s="88">
        <f>IF(COUNTIF(CAPA3_EXPANSION!$D$56:AZ$56,"&gt;="&amp;29)=0,0,SUP_CONTROL!$C$8*IF($B36="V",1,IF($B36="D",(1+SUP_VOLUMEN!$C$26),(1+SUP_VOLUMEN!$C$27)))*INDEX(SUP_C3_EXPANSION!$C$6:$F$6,MIN(4,COUNTIF(CAPA3_EXPANSION!$D$56:AZ$56,"&gt;="&amp;29)))*CAPA3_EXPANSION!AZ$36)</f>
        <v>0</v>
      </c>
      <c r="BA36" s="88">
        <f>IF(COUNTIF(CAPA3_EXPANSION!$D$56:BA$56,"&gt;="&amp;29)=0,0,SUP_CONTROL!$C$8*IF($B36="V",1,IF($B36="D",(1+SUP_VOLUMEN!$C$26),(1+SUP_VOLUMEN!$C$27)))*INDEX(SUP_C3_EXPANSION!$C$6:$F$6,MIN(4,COUNTIF(CAPA3_EXPANSION!$D$56:BA$56,"&gt;="&amp;29)))*CAPA3_EXPANSION!BA$36)</f>
        <v>0</v>
      </c>
      <c r="BB36" s="88">
        <f>IF(COUNTIF(CAPA3_EXPANSION!$D$56:BB$56,"&gt;="&amp;29)=0,0,SUP_CONTROL!$C$8*IF($B36="V",1,IF($B36="D",(1+SUP_VOLUMEN!$C$26),(1+SUP_VOLUMEN!$C$27)))*INDEX(SUP_C3_EXPANSION!$C$6:$F$6,MIN(4,COUNTIF(CAPA3_EXPANSION!$D$56:BB$56,"&gt;="&amp;29)))*CAPA3_EXPANSION!BB$36)</f>
        <v>0</v>
      </c>
      <c r="BC36" s="88">
        <f>IF(COUNTIF(CAPA3_EXPANSION!$D$56:BC$56,"&gt;="&amp;29)=0,0,SUP_CONTROL!$C$8*IF($B36="V",1,IF($B36="D",(1+SUP_VOLUMEN!$C$26),(1+SUP_VOLUMEN!$C$27)))*INDEX(SUP_C3_EXPANSION!$C$6:$F$6,MIN(4,COUNTIF(CAPA3_EXPANSION!$D$56:BC$56,"&gt;="&amp;29)))*CAPA3_EXPANSION!BC$36)</f>
        <v>0</v>
      </c>
      <c r="BD36" s="88">
        <f>IF(COUNTIF(CAPA3_EXPANSION!$D$56:BD$56,"&gt;="&amp;29)=0,0,SUP_CONTROL!$C$8*IF($B36="V",1,IF($B36="D",(1+SUP_VOLUMEN!$C$26),(1+SUP_VOLUMEN!$C$27)))*INDEX(SUP_C3_EXPANSION!$C$6:$F$6,MIN(4,COUNTIF(CAPA3_EXPANSION!$D$56:BD$56,"&gt;="&amp;29)))*CAPA3_EXPANSION!BD$36)</f>
        <v>0</v>
      </c>
      <c r="BE36" s="88">
        <f>IF(COUNTIF(CAPA3_EXPANSION!$D$56:BE$56,"&gt;="&amp;29)=0,0,SUP_CONTROL!$C$8*IF($B36="V",1,IF($B36="D",(1+SUP_VOLUMEN!$C$26),(1+SUP_VOLUMEN!$C$27)))*INDEX(SUP_C3_EXPANSION!$C$6:$F$6,MIN(4,COUNTIF(CAPA3_EXPANSION!$D$56:BE$56,"&gt;="&amp;29)))*CAPA3_EXPANSION!BE$36)</f>
        <v>0</v>
      </c>
      <c r="BF36" s="88">
        <f>IF(COUNTIF(CAPA3_EXPANSION!$D$56:BF$56,"&gt;="&amp;29)=0,0,SUP_CONTROL!$C$8*IF($B36="V",1,IF($B36="D",(1+SUP_VOLUMEN!$C$26),(1+SUP_VOLUMEN!$C$27)))*INDEX(SUP_C3_EXPANSION!$C$6:$F$6,MIN(4,COUNTIF(CAPA3_EXPANSION!$D$56:BF$56,"&gt;="&amp;29)))*CAPA3_EXPANSION!BF$36)</f>
        <v>0</v>
      </c>
      <c r="BG36" s="88">
        <f>IF(COUNTIF(CAPA3_EXPANSION!$D$56:BG$56,"&gt;="&amp;29)=0,0,SUP_CONTROL!$C$8*IF($B36="V",1,IF($B36="D",(1+SUP_VOLUMEN!$C$26),(1+SUP_VOLUMEN!$C$27)))*INDEX(SUP_C3_EXPANSION!$C$6:$F$6,MIN(4,COUNTIF(CAPA3_EXPANSION!$D$56:BG$56,"&gt;="&amp;29)))*CAPA3_EXPANSION!BG$36)</f>
        <v>0</v>
      </c>
      <c r="BH36" s="88">
        <f>IF(COUNTIF(CAPA3_EXPANSION!$D$56:BH$56,"&gt;="&amp;29)=0,0,SUP_CONTROL!$C$8*IF($B36="V",1,IF($B36="D",(1+SUP_VOLUMEN!$C$26),(1+SUP_VOLUMEN!$C$27)))*INDEX(SUP_C3_EXPANSION!$C$6:$F$6,MIN(4,COUNTIF(CAPA3_EXPANSION!$D$56:BH$56,"&gt;="&amp;29)))*CAPA3_EXPANSION!BH$36)</f>
        <v>0</v>
      </c>
      <c r="BI36" s="88">
        <f>IF(COUNTIF(CAPA3_EXPANSION!$D$56:BI$56,"&gt;="&amp;29)=0,0,SUP_CONTROL!$C$8*IF($B36="V",1,IF($B36="D",(1+SUP_VOLUMEN!$C$26),(1+SUP_VOLUMEN!$C$27)))*INDEX(SUP_C3_EXPANSION!$C$6:$F$6,MIN(4,COUNTIF(CAPA3_EXPANSION!$D$56:BI$56,"&gt;="&amp;29)))*CAPA3_EXPANSION!BI$36)</f>
        <v>0</v>
      </c>
      <c r="BJ36" s="88">
        <f>IF(COUNTIF(CAPA3_EXPANSION!$D$56:BJ$56,"&gt;="&amp;29)=0,0,SUP_CONTROL!$C$8*IF($B36="V",1,IF($B36="D",(1+SUP_VOLUMEN!$C$26),(1+SUP_VOLUMEN!$C$27)))*INDEX(SUP_C3_EXPANSION!$C$6:$F$6,MIN(4,COUNTIF(CAPA3_EXPANSION!$D$56:BJ$56,"&gt;="&amp;29)))*CAPA3_EXPANSION!BJ$36)</f>
        <v>0</v>
      </c>
      <c r="BK36" s="88">
        <f>IF(COUNTIF(CAPA3_EXPANSION!$D$56:BK$56,"&gt;="&amp;29)=0,0,SUP_CONTROL!$C$8*IF($B36="V",1,IF($B36="D",(1+SUP_VOLUMEN!$C$26),(1+SUP_VOLUMEN!$C$27)))*INDEX(SUP_C3_EXPANSION!$C$6:$F$6,MIN(4,COUNTIF(CAPA3_EXPANSION!$D$56:BK$56,"&gt;="&amp;29)))*CAPA3_EXPANSION!BK$36)</f>
        <v>0</v>
      </c>
      <c r="BL36" s="88">
        <f>IF(COUNTIF(CAPA3_EXPANSION!$D$56:BL$56,"&gt;="&amp;29)=0,0,SUP_CONTROL!$C$8*IF($B36="V",1,IF($B36="D",(1+SUP_VOLUMEN!$C$26),(1+SUP_VOLUMEN!$C$27)))*INDEX(SUP_C3_EXPANSION!$C$6:$F$6,MIN(4,COUNTIF(CAPA3_EXPANSION!$D$56:BL$56,"&gt;="&amp;29)))*CAPA3_EXPANSION!BL$36)</f>
        <v>0</v>
      </c>
      <c r="BM36" s="88">
        <f>IF(COUNTIF(CAPA3_EXPANSION!$D$56:BM$56,"&gt;="&amp;29)=0,0,SUP_CONTROL!$C$8*IF($B36="V",1,IF($B36="D",(1+SUP_VOLUMEN!$C$26),(1+SUP_VOLUMEN!$C$27)))*INDEX(SUP_C3_EXPANSION!$C$6:$F$6,MIN(4,COUNTIF(CAPA3_EXPANSION!$D$56:BM$56,"&gt;="&amp;29)))*CAPA3_EXPANSION!BM$36)</f>
        <v>0</v>
      </c>
      <c r="BN36" s="88">
        <f>IF(COUNTIF(CAPA3_EXPANSION!$D$56:BN$56,"&gt;="&amp;29)=0,0,SUP_CONTROL!$C$8*IF($B36="V",1,IF($B36="D",(1+SUP_VOLUMEN!$C$26),(1+SUP_VOLUMEN!$C$27)))*INDEX(SUP_C3_EXPANSION!$C$6:$F$6,MIN(4,COUNTIF(CAPA3_EXPANSION!$D$56:BN$56,"&gt;="&amp;29)))*CAPA3_EXPANSION!BN$36)</f>
        <v>0</v>
      </c>
      <c r="BO36" s="88">
        <f>IF(COUNTIF(CAPA3_EXPANSION!$D$56:BO$56,"&gt;="&amp;29)=0,0,SUP_CONTROL!$C$8*IF($B36="V",1,IF($B36="D",(1+SUP_VOLUMEN!$C$26),(1+SUP_VOLUMEN!$C$27)))*INDEX(SUP_C3_EXPANSION!$C$6:$F$6,MIN(4,COUNTIF(CAPA3_EXPANSION!$D$56:BO$56,"&gt;="&amp;29)))*CAPA3_EXPANSION!BO$36)</f>
        <v>0</v>
      </c>
      <c r="BP36" s="88">
        <f>IF(COUNTIF(CAPA3_EXPANSION!$D$56:BP$56,"&gt;="&amp;29)=0,0,SUP_CONTROL!$C$8*IF($B36="V",1,IF($B36="D",(1+SUP_VOLUMEN!$C$26),(1+SUP_VOLUMEN!$C$27)))*INDEX(SUP_C3_EXPANSION!$C$6:$F$6,MIN(4,COUNTIF(CAPA3_EXPANSION!$D$56:BP$56,"&gt;="&amp;29)))*CAPA3_EXPANSION!BP$36)</f>
        <v>0</v>
      </c>
      <c r="BQ36" s="88">
        <f>IF(COUNTIF(CAPA3_EXPANSION!$D$56:BQ$56,"&gt;="&amp;29)=0,0,SUP_CONTROL!$C$8*IF($B36="V",1,IF($B36="D",(1+SUP_VOLUMEN!$C$26),(1+SUP_VOLUMEN!$C$27)))*INDEX(SUP_C3_EXPANSION!$C$6:$F$6,MIN(4,COUNTIF(CAPA3_EXPANSION!$D$56:BQ$56,"&gt;="&amp;29)))*CAPA3_EXPANSION!BQ$36)</f>
        <v>0</v>
      </c>
      <c r="BR36" s="88">
        <f>IF(COUNTIF(CAPA3_EXPANSION!$D$56:BR$56,"&gt;="&amp;29)=0,0,SUP_CONTROL!$C$8*IF($B36="V",1,IF($B36="D",(1+SUP_VOLUMEN!$C$26),(1+SUP_VOLUMEN!$C$27)))*INDEX(SUP_C3_EXPANSION!$C$6:$F$6,MIN(4,COUNTIF(CAPA3_EXPANSION!$D$56:BR$56,"&gt;="&amp;29)))*CAPA3_EXPANSION!BR$36)</f>
        <v>2461.0244750000002</v>
      </c>
      <c r="BS36" s="88">
        <f>IF(COUNTIF(CAPA3_EXPANSION!$D$56:BS$56,"&gt;="&amp;29)=0,0,SUP_CONTROL!$C$8*IF($B36="V",1,IF($B36="D",(1+SUP_VOLUMEN!$C$26),(1+SUP_VOLUMEN!$C$27)))*INDEX(SUP_C3_EXPANSION!$C$6:$F$6,MIN(4,COUNTIF(CAPA3_EXPANSION!$D$56:BS$56,"&gt;="&amp;29)))*CAPA3_EXPANSION!BS$36)</f>
        <v>3028.9532000000004</v>
      </c>
      <c r="BT36" s="88">
        <f>IF(COUNTIF(CAPA3_EXPANSION!$D$56:BT$56,"&gt;="&amp;29)=0,0,SUP_CONTROL!$C$8*IF($B36="V",1,IF($B36="D",(1+SUP_VOLUMEN!$C$26),(1+SUP_VOLUMEN!$C$27)))*INDEX(SUP_C3_EXPANSION!$C$6:$F$6,MIN(4,COUNTIF(CAPA3_EXPANSION!$D$56:BT$56,"&gt;="&amp;29)))*CAPA3_EXPANSION!BT$36)</f>
        <v>3407.5723500000004</v>
      </c>
      <c r="BU36" s="88">
        <f>IF(COUNTIF(CAPA3_EXPANSION!$D$56:BU$56,"&gt;="&amp;29)=0,0,SUP_CONTROL!$C$8*IF($B36="V",1,IF($B36="D",(1+SUP_VOLUMEN!$C$26),(1+SUP_VOLUMEN!$C$27)))*INDEX(SUP_C3_EXPANSION!$C$6:$F$6,MIN(4,COUNTIF(CAPA3_EXPANSION!$D$56:BU$56,"&gt;="&amp;29)))*CAPA3_EXPANSION!BU$36)</f>
        <v>3720.5350000000003</v>
      </c>
      <c r="BV36" s="88">
        <f>IF(COUNTIF(CAPA3_EXPANSION!$D$56:BV$56,"&gt;="&amp;29)=0,0,SUP_CONTROL!$C$8*IF($B36="V",1,IF($B36="D",(1+SUP_VOLUMEN!$C$26),(1+SUP_VOLUMEN!$C$27)))*INDEX(SUP_C3_EXPANSION!$C$6:$F$6,MIN(4,COUNTIF(CAPA3_EXPANSION!$D$56:BV$56,"&gt;="&amp;29)))*CAPA3_EXPANSION!BV$36)</f>
        <v>3720.5350000000003</v>
      </c>
      <c r="BW36" s="88">
        <f>IF(COUNTIF(CAPA3_EXPANSION!$D$56:BW$56,"&gt;="&amp;29)=0,0,SUP_CONTROL!$C$8*IF($B36="V",1,IF($B36="D",(1+SUP_VOLUMEN!$C$26),(1+SUP_VOLUMEN!$C$27)))*INDEX(SUP_C3_EXPANSION!$C$6:$F$6,MIN(4,COUNTIF(CAPA3_EXPANSION!$D$56:BW$56,"&gt;="&amp;29)))*CAPA3_EXPANSION!BW$36)</f>
        <v>3720.5350000000003</v>
      </c>
      <c r="BX36" s="88">
        <f>IF(COUNTIF(CAPA3_EXPANSION!$D$56:BX$56,"&gt;="&amp;29)=0,0,SUP_CONTROL!$C$8*IF($B36="V",1,IF($B36="D",(1+SUP_VOLUMEN!$C$26),(1+SUP_VOLUMEN!$C$27)))*INDEX(SUP_C3_EXPANSION!$C$6:$F$6,MIN(4,COUNTIF(CAPA3_EXPANSION!$D$56:BX$56,"&gt;="&amp;29)))*CAPA3_EXPANSION!BX$36)</f>
        <v>3720.5350000000003</v>
      </c>
      <c r="BY36" s="88">
        <f>IF(COUNTIF(CAPA3_EXPANSION!$D$56:BY$56,"&gt;="&amp;29)=0,0,SUP_CONTROL!$C$8*IF($B36="V",1,IF($B36="D",(1+SUP_VOLUMEN!$C$26),(1+SUP_VOLUMEN!$C$27)))*INDEX(SUP_C3_EXPANSION!$C$6:$F$6,MIN(4,COUNTIF(CAPA3_EXPANSION!$D$56:BY$56,"&gt;="&amp;29)))*CAPA3_EXPANSION!BY$36)</f>
        <v>3720.5350000000003</v>
      </c>
      <c r="BZ36" s="88">
        <f>IF(COUNTIF(CAPA3_EXPANSION!$D$56:BZ$56,"&gt;="&amp;29)=0,0,SUP_CONTROL!$C$8*IF($B36="V",1,IF($B36="D",(1+SUP_VOLUMEN!$C$26),(1+SUP_VOLUMEN!$C$27)))*INDEX(SUP_C3_EXPANSION!$C$6:$F$6,MIN(4,COUNTIF(CAPA3_EXPANSION!$D$56:BZ$56,"&gt;="&amp;29)))*CAPA3_EXPANSION!BZ$36)</f>
        <v>3676.7640000000001</v>
      </c>
      <c r="CA36" s="88">
        <f>IF(COUNTIF(CAPA3_EXPANSION!$D$56:CA$56,"&gt;="&amp;29)=0,0,SUP_CONTROL!$C$8*IF($B36="V",1,IF($B36="D",(1+SUP_VOLUMEN!$C$26),(1+SUP_VOLUMEN!$C$27)))*INDEX(SUP_C3_EXPANSION!$C$6:$F$6,MIN(4,COUNTIF(CAPA3_EXPANSION!$D$56:CA$56,"&gt;="&amp;29)))*CAPA3_EXPANSION!CA$36)</f>
        <v>3676.7640000000001</v>
      </c>
      <c r="CB36" s="88">
        <f>IF(COUNTIF(CAPA3_EXPANSION!$D$56:CB$56,"&gt;="&amp;29)=0,0,SUP_CONTROL!$C$8*IF($B36="V",1,IF($B36="D",(1+SUP_VOLUMEN!$C$26),(1+SUP_VOLUMEN!$C$27)))*INDEX(SUP_C3_EXPANSION!$C$6:$F$6,MIN(4,COUNTIF(CAPA3_EXPANSION!$D$56:CB$56,"&gt;="&amp;29)))*CAPA3_EXPANSION!CB$36)</f>
        <v>3676.7640000000001</v>
      </c>
      <c r="CC36" s="88">
        <f>IF(COUNTIF(CAPA3_EXPANSION!$D$56:CC$56,"&gt;="&amp;29)=0,0,SUP_CONTROL!$C$8*IF($B36="V",1,IF($B36="D",(1+SUP_VOLUMEN!$C$26),(1+SUP_VOLUMEN!$C$27)))*INDEX(SUP_C3_EXPANSION!$C$6:$F$6,MIN(4,COUNTIF(CAPA3_EXPANSION!$D$56:CC$56,"&gt;="&amp;29)))*CAPA3_EXPANSION!CC$36)</f>
        <v>3676.7640000000001</v>
      </c>
      <c r="CD36" s="88">
        <f>IF(COUNTIF(CAPA3_EXPANSION!$D$56:CD$56,"&gt;="&amp;29)=0,0,SUP_CONTROL!$C$8*IF($B36="V",1,IF($B36="D",(1+SUP_VOLUMEN!$C$26),(1+SUP_VOLUMEN!$C$27)))*INDEX(SUP_C3_EXPANSION!$C$6:$F$6,MIN(4,COUNTIF(CAPA3_EXPANSION!$D$56:CD$56,"&gt;="&amp;29)))*CAPA3_EXPANSION!CD$36)</f>
        <v>3676.7640000000001</v>
      </c>
      <c r="CE36" s="88">
        <f>IF(COUNTIF(CAPA3_EXPANSION!$D$56:CE$56,"&gt;="&amp;29)=0,0,SUP_CONTROL!$C$8*IF($B36="V",1,IF($B36="D",(1+SUP_VOLUMEN!$C$26),(1+SUP_VOLUMEN!$C$27)))*INDEX(SUP_C3_EXPANSION!$C$6:$F$6,MIN(4,COUNTIF(CAPA3_EXPANSION!$D$56:CE$56,"&gt;="&amp;29)))*CAPA3_EXPANSION!CE$36)</f>
        <v>3676.7640000000001</v>
      </c>
      <c r="CF36" s="88">
        <f>IF(COUNTIF(CAPA3_EXPANSION!$D$56:CF$56,"&gt;="&amp;29)=0,0,SUP_CONTROL!$C$8*IF($B36="V",1,IF($B36="D",(1+SUP_VOLUMEN!$C$26),(1+SUP_VOLUMEN!$C$27)))*INDEX(SUP_C3_EXPANSION!$C$6:$F$6,MIN(4,COUNTIF(CAPA3_EXPANSION!$D$56:CF$56,"&gt;="&amp;29)))*CAPA3_EXPANSION!CF$36)</f>
        <v>3676.7640000000001</v>
      </c>
      <c r="CG36" s="88">
        <f>IF(COUNTIF(CAPA3_EXPANSION!$D$56:CG$56,"&gt;="&amp;29)=0,0,SUP_CONTROL!$C$8*IF($B36="V",1,IF($B36="D",(1+SUP_VOLUMEN!$C$26),(1+SUP_VOLUMEN!$C$27)))*INDEX(SUP_C3_EXPANSION!$C$6:$F$6,MIN(4,COUNTIF(CAPA3_EXPANSION!$D$56:CG$56,"&gt;="&amp;29)))*CAPA3_EXPANSION!CG$36)</f>
        <v>3676.7640000000001</v>
      </c>
      <c r="CH36" s="88">
        <f>IF(COUNTIF(CAPA3_EXPANSION!$D$56:CH$56,"&gt;="&amp;29)=0,0,SUP_CONTROL!$C$8*IF($B36="V",1,IF($B36="D",(1+SUP_VOLUMEN!$C$26),(1+SUP_VOLUMEN!$C$27)))*INDEX(SUP_C3_EXPANSION!$C$6:$F$6,MIN(4,COUNTIF(CAPA3_EXPANSION!$D$56:CH$56,"&gt;="&amp;29)))*CAPA3_EXPANSION!CH$36)</f>
        <v>3676.7640000000001</v>
      </c>
      <c r="CI36" s="88">
        <f>IF(COUNTIF(CAPA3_EXPANSION!$D$56:CI$56,"&gt;="&amp;29)=0,0,SUP_CONTROL!$C$8*IF($B36="V",1,IF($B36="D",(1+SUP_VOLUMEN!$C$26),(1+SUP_VOLUMEN!$C$27)))*INDEX(SUP_C3_EXPANSION!$C$6:$F$6,MIN(4,COUNTIF(CAPA3_EXPANSION!$D$56:CI$56,"&gt;="&amp;29)))*CAPA3_EXPANSION!CI$36)</f>
        <v>3676.7640000000001</v>
      </c>
      <c r="CJ36" s="88">
        <f>IF(COUNTIF(CAPA3_EXPANSION!$D$56:CJ$56,"&gt;="&amp;29)=0,0,SUP_CONTROL!$C$8*IF($B36="V",1,IF($B36="D",(1+SUP_VOLUMEN!$C$26),(1+SUP_VOLUMEN!$C$27)))*INDEX(SUP_C3_EXPANSION!$C$6:$F$6,MIN(4,COUNTIF(CAPA3_EXPANSION!$D$56:CJ$56,"&gt;="&amp;29)))*CAPA3_EXPANSION!CJ$36)</f>
        <v>3676.7640000000001</v>
      </c>
      <c r="CK36" s="88">
        <f>IF(COUNTIF(CAPA3_EXPANSION!$D$56:CK$56,"&gt;="&amp;29)=0,0,SUP_CONTROL!$C$8*IF($B36="V",1,IF($B36="D",(1+SUP_VOLUMEN!$C$26),(1+SUP_VOLUMEN!$C$27)))*INDEX(SUP_C3_EXPANSION!$C$6:$F$6,MIN(4,COUNTIF(CAPA3_EXPANSION!$D$56:CK$56,"&gt;="&amp;29)))*CAPA3_EXPANSION!CK$36)</f>
        <v>3676.7640000000001</v>
      </c>
      <c r="CL36" s="88">
        <f>IF(COUNTIF(CAPA3_EXPANSION!$D$56:CL$56,"&gt;="&amp;29)=0,0,SUP_CONTROL!$C$8*IF($B36="V",1,IF($B36="D",(1+SUP_VOLUMEN!$C$26),(1+SUP_VOLUMEN!$C$27)))*INDEX(SUP_C3_EXPANSION!$C$6:$F$6,MIN(4,COUNTIF(CAPA3_EXPANSION!$D$56:CL$56,"&gt;="&amp;29)))*CAPA3_EXPANSION!CL$36)</f>
        <v>3676.7640000000001</v>
      </c>
      <c r="CM36" s="88">
        <f>IF(COUNTIF(CAPA3_EXPANSION!$D$56:CM$56,"&gt;="&amp;29)=0,0,SUP_CONTROL!$C$8*IF($B36="V",1,IF($B36="D",(1+SUP_VOLUMEN!$C$26),(1+SUP_VOLUMEN!$C$27)))*INDEX(SUP_C3_EXPANSION!$C$6:$F$6,MIN(4,COUNTIF(CAPA3_EXPANSION!$D$56:CM$56,"&gt;="&amp;29)))*CAPA3_EXPANSION!CM$36)</f>
        <v>3676.7640000000001</v>
      </c>
      <c r="CN36" s="88">
        <f>IF(COUNTIF(CAPA3_EXPANSION!$D$56:CN$56,"&gt;="&amp;29)=0,0,SUP_CONTROL!$C$8*IF($B36="V",1,IF($B36="D",(1+SUP_VOLUMEN!$C$26),(1+SUP_VOLUMEN!$C$27)))*INDEX(SUP_C3_EXPANSION!$C$6:$F$6,MIN(4,COUNTIF(CAPA3_EXPANSION!$D$56:CN$56,"&gt;="&amp;29)))*CAPA3_EXPANSION!CN$36)</f>
        <v>3676.7640000000001</v>
      </c>
      <c r="CO36" s="88">
        <f>IF(COUNTIF(CAPA3_EXPANSION!$D$56:CO$56,"&gt;="&amp;29)=0,0,SUP_CONTROL!$C$8*IF($B36="V",1,IF($B36="D",(1+SUP_VOLUMEN!$C$26),(1+SUP_VOLUMEN!$C$27)))*INDEX(SUP_C3_EXPANSION!$C$6:$F$6,MIN(4,COUNTIF(CAPA3_EXPANSION!$D$56:CO$56,"&gt;="&amp;29)))*CAPA3_EXPANSION!CO$36)</f>
        <v>3676.7640000000001</v>
      </c>
      <c r="CP36" s="88">
        <f>IF(COUNTIF(CAPA3_EXPANSION!$D$56:CP$56,"&gt;="&amp;29)=0,0,SUP_CONTROL!$C$8*IF($B36="V",1,IF($B36="D",(1+SUP_VOLUMEN!$C$26),(1+SUP_VOLUMEN!$C$27)))*INDEX(SUP_C3_EXPANSION!$C$6:$F$6,MIN(4,COUNTIF(CAPA3_EXPANSION!$D$56:CP$56,"&gt;="&amp;29)))*CAPA3_EXPANSION!CP$36)</f>
        <v>3676.7640000000001</v>
      </c>
      <c r="CQ36" s="88">
        <f>IF(COUNTIF(CAPA3_EXPANSION!$D$56:CQ$56,"&gt;="&amp;29)=0,0,SUP_CONTROL!$C$8*IF($B36="V",1,IF($B36="D",(1+SUP_VOLUMEN!$C$26),(1+SUP_VOLUMEN!$C$27)))*INDEX(SUP_C3_EXPANSION!$C$6:$F$6,MIN(4,COUNTIF(CAPA3_EXPANSION!$D$56:CQ$56,"&gt;="&amp;29)))*CAPA3_EXPANSION!CQ$36)</f>
        <v>3676.7640000000001</v>
      </c>
      <c r="CR36" s="88">
        <f>IF(COUNTIF(CAPA3_EXPANSION!$D$56:CR$56,"&gt;="&amp;29)=0,0,SUP_CONTROL!$C$8*IF($B36="V",1,IF($B36="D",(1+SUP_VOLUMEN!$C$26),(1+SUP_VOLUMEN!$C$27)))*INDEX(SUP_C3_EXPANSION!$C$6:$F$6,MIN(4,COUNTIF(CAPA3_EXPANSION!$D$56:CR$56,"&gt;="&amp;29)))*CAPA3_EXPANSION!CR$36)</f>
        <v>3676.7640000000001</v>
      </c>
      <c r="CS36" s="88">
        <f>IF(COUNTIF(CAPA3_EXPANSION!$D$56:CS$56,"&gt;="&amp;29)=0,0,SUP_CONTROL!$C$8*IF($B36="V",1,IF($B36="D",(1+SUP_VOLUMEN!$C$26),(1+SUP_VOLUMEN!$C$27)))*INDEX(SUP_C3_EXPANSION!$C$6:$F$6,MIN(4,COUNTIF(CAPA3_EXPANSION!$D$56:CS$56,"&gt;="&amp;29)))*CAPA3_EXPANSION!CS$36)</f>
        <v>3676.7640000000001</v>
      </c>
      <c r="CT36" s="88">
        <f>IF(COUNTIF(CAPA3_EXPANSION!$D$56:CT$56,"&gt;="&amp;29)=0,0,SUP_CONTROL!$C$8*IF($B36="V",1,IF($B36="D",(1+SUP_VOLUMEN!$C$26),(1+SUP_VOLUMEN!$C$27)))*INDEX(SUP_C3_EXPANSION!$C$6:$F$6,MIN(4,COUNTIF(CAPA3_EXPANSION!$D$56:CT$56,"&gt;="&amp;29)))*CAPA3_EXPANSION!CT$36)</f>
        <v>3676.7640000000001</v>
      </c>
      <c r="CU36" s="88">
        <f>IF(COUNTIF(CAPA3_EXPANSION!$D$56:CU$56,"&gt;="&amp;29)=0,0,SUP_CONTROL!$C$8*IF($B36="V",1,IF($B36="D",(1+SUP_VOLUMEN!$C$26),(1+SUP_VOLUMEN!$C$27)))*INDEX(SUP_C3_EXPANSION!$C$6:$F$6,MIN(4,COUNTIF(CAPA3_EXPANSION!$D$56:CU$56,"&gt;="&amp;29)))*CAPA3_EXPANSION!CU$36)</f>
        <v>3676.7640000000001</v>
      </c>
      <c r="CV36" s="88">
        <f>IF(COUNTIF(CAPA3_EXPANSION!$D$56:CV$56,"&gt;="&amp;29)=0,0,SUP_CONTROL!$C$8*IF($B36="V",1,IF($B36="D",(1+SUP_VOLUMEN!$C$26),(1+SUP_VOLUMEN!$C$27)))*INDEX(SUP_C3_EXPANSION!$C$6:$F$6,MIN(4,COUNTIF(CAPA3_EXPANSION!$D$56:CV$56,"&gt;="&amp;29)))*CAPA3_EXPANSION!CV$36)</f>
        <v>3676.7640000000001</v>
      </c>
      <c r="CW36" s="88">
        <f>IF(COUNTIF(CAPA3_EXPANSION!$D$56:CW$56,"&gt;="&amp;29)=0,0,SUP_CONTROL!$C$8*IF($B36="V",1,IF($B36="D",(1+SUP_VOLUMEN!$C$26),(1+SUP_VOLUMEN!$C$27)))*INDEX(SUP_C3_EXPANSION!$C$6:$F$6,MIN(4,COUNTIF(CAPA3_EXPANSION!$D$56:CW$56,"&gt;="&amp;29)))*CAPA3_EXPANSION!CW$36)</f>
        <v>3676.7640000000001</v>
      </c>
      <c r="CX36" s="88">
        <f>IF(COUNTIF(CAPA3_EXPANSION!$D$56:CX$56,"&gt;="&amp;29)=0,0,SUP_CONTROL!$C$8*IF($B36="V",1,IF($B36="D",(1+SUP_VOLUMEN!$C$26),(1+SUP_VOLUMEN!$C$27)))*INDEX(SUP_C3_EXPANSION!$C$6:$F$6,MIN(4,COUNTIF(CAPA3_EXPANSION!$D$56:CX$56,"&gt;="&amp;29)))*CAPA3_EXPANSION!CX$36)</f>
        <v>3676.7640000000001</v>
      </c>
      <c r="CY36" s="88">
        <f>IF(COUNTIF(CAPA3_EXPANSION!$D$56:CY$56,"&gt;="&amp;29)=0,0,SUP_CONTROL!$C$8*IF($B36="V",1,IF($B36="D",(1+SUP_VOLUMEN!$C$26),(1+SUP_VOLUMEN!$C$27)))*INDEX(SUP_C3_EXPANSION!$C$6:$F$6,MIN(4,COUNTIF(CAPA3_EXPANSION!$D$56:CY$56,"&gt;="&amp;29)))*CAPA3_EXPANSION!CY$36)</f>
        <v>3676.7640000000001</v>
      </c>
      <c r="CZ36" s="88">
        <f>IF(COUNTIF(CAPA3_EXPANSION!$D$56:CZ$56,"&gt;="&amp;29)=0,0,SUP_CONTROL!$C$8*IF($B36="V",1,IF($B36="D",(1+SUP_VOLUMEN!$C$26),(1+SUP_VOLUMEN!$C$27)))*INDEX(SUP_C3_EXPANSION!$C$6:$F$6,MIN(4,COUNTIF(CAPA3_EXPANSION!$D$56:CZ$56,"&gt;="&amp;29)))*CAPA3_EXPANSION!CZ$36)</f>
        <v>3676.7640000000001</v>
      </c>
      <c r="DA36" s="88">
        <f>IF(COUNTIF(CAPA3_EXPANSION!$D$56:DA$56,"&gt;="&amp;29)=0,0,SUP_CONTROL!$C$8*IF($B36="V",1,IF($B36="D",(1+SUP_VOLUMEN!$C$26),(1+SUP_VOLUMEN!$C$27)))*INDEX(SUP_C3_EXPANSION!$C$6:$F$6,MIN(4,COUNTIF(CAPA3_EXPANSION!$D$56:DA$56,"&gt;="&amp;29)))*CAPA3_EXPANSION!DA$36)</f>
        <v>3676.7640000000001</v>
      </c>
      <c r="DB36" s="88">
        <f>IF(COUNTIF(CAPA3_EXPANSION!$D$56:DB$56,"&gt;="&amp;29)=0,0,SUP_CONTROL!$C$8*IF($B36="V",1,IF($B36="D",(1+SUP_VOLUMEN!$C$26),(1+SUP_VOLUMEN!$C$27)))*INDEX(SUP_C3_EXPANSION!$C$6:$F$6,MIN(4,COUNTIF(CAPA3_EXPANSION!$D$56:DB$56,"&gt;="&amp;29)))*CAPA3_EXPANSION!DB$36)</f>
        <v>3676.7640000000001</v>
      </c>
      <c r="DC36" s="88">
        <f>IF(COUNTIF(CAPA3_EXPANSION!$D$56:DC$56,"&gt;="&amp;29)=0,0,SUP_CONTROL!$C$8*IF($B36="V",1,IF($B36="D",(1+SUP_VOLUMEN!$C$26),(1+SUP_VOLUMEN!$C$27)))*INDEX(SUP_C3_EXPANSION!$C$6:$F$6,MIN(4,COUNTIF(CAPA3_EXPANSION!$D$56:DC$56,"&gt;="&amp;29)))*CAPA3_EXPANSION!DC$36)</f>
        <v>3676.7640000000001</v>
      </c>
      <c r="DD36" s="88">
        <f>IF(COUNTIF(CAPA3_EXPANSION!$D$56:DD$56,"&gt;="&amp;29)=0,0,SUP_CONTROL!$C$8*IF($B36="V",1,IF($B36="D",(1+SUP_VOLUMEN!$C$26),(1+SUP_VOLUMEN!$C$27)))*INDEX(SUP_C3_EXPANSION!$C$6:$F$6,MIN(4,COUNTIF(CAPA3_EXPANSION!$D$56:DD$56,"&gt;="&amp;29)))*CAPA3_EXPANSION!DD$36)</f>
        <v>3676.7640000000001</v>
      </c>
      <c r="DE36" s="88">
        <f>IF(COUNTIF(CAPA3_EXPANSION!$D$56:DE$56,"&gt;="&amp;29)=0,0,SUP_CONTROL!$C$8*IF($B36="V",1,IF($B36="D",(1+SUP_VOLUMEN!$C$26),(1+SUP_VOLUMEN!$C$27)))*INDEX(SUP_C3_EXPANSION!$C$6:$F$6,MIN(4,COUNTIF(CAPA3_EXPANSION!$D$56:DE$56,"&gt;="&amp;29)))*CAPA3_EXPANSION!DE$36)</f>
        <v>3676.7640000000001</v>
      </c>
      <c r="DF36" s="88">
        <f>IF(COUNTIF(CAPA3_EXPANSION!$D$56:DF$56,"&gt;="&amp;29)=0,0,SUP_CONTROL!$C$8*IF($B36="V",1,IF($B36="D",(1+SUP_VOLUMEN!$C$26),(1+SUP_VOLUMEN!$C$27)))*INDEX(SUP_C3_EXPANSION!$C$6:$F$6,MIN(4,COUNTIF(CAPA3_EXPANSION!$D$56:DF$56,"&gt;="&amp;29)))*CAPA3_EXPANSION!DF$36)</f>
        <v>3676.7640000000001</v>
      </c>
      <c r="DG36" s="88">
        <f>IF(COUNTIF(CAPA3_EXPANSION!$D$56:DG$56,"&gt;="&amp;29)=0,0,SUP_CONTROL!$C$8*IF($B36="V",1,IF($B36="D",(1+SUP_VOLUMEN!$C$26),(1+SUP_VOLUMEN!$C$27)))*INDEX(SUP_C3_EXPANSION!$C$6:$F$6,MIN(4,COUNTIF(CAPA3_EXPANSION!$D$56:DG$56,"&gt;="&amp;29)))*CAPA3_EXPANSION!DG$36)</f>
        <v>3676.7640000000001</v>
      </c>
      <c r="DH36" s="88">
        <f>IF(COUNTIF(CAPA3_EXPANSION!$D$56:DH$56,"&gt;="&amp;29)=0,0,SUP_CONTROL!$C$8*IF($B36="V",1,IF($B36="D",(1+SUP_VOLUMEN!$C$26),(1+SUP_VOLUMEN!$C$27)))*INDEX(SUP_C3_EXPANSION!$C$6:$F$6,MIN(4,COUNTIF(CAPA3_EXPANSION!$D$56:DH$56,"&gt;="&amp;29)))*CAPA3_EXPANSION!DH$36)</f>
        <v>3676.7640000000001</v>
      </c>
      <c r="DI36" s="88">
        <f>IF(COUNTIF(CAPA3_EXPANSION!$D$56:DI$56,"&gt;="&amp;29)=0,0,SUP_CONTROL!$C$8*IF($B36="V",1,IF($B36="D",(1+SUP_VOLUMEN!$C$26),(1+SUP_VOLUMEN!$C$27)))*INDEX(SUP_C3_EXPANSION!$C$6:$F$6,MIN(4,COUNTIF(CAPA3_EXPANSION!$D$56:DI$56,"&gt;="&amp;29)))*CAPA3_EXPANSION!DI$36)</f>
        <v>3676.7640000000001</v>
      </c>
      <c r="DJ36" s="88">
        <f>IF(COUNTIF(CAPA3_EXPANSION!$D$56:DJ$56,"&gt;="&amp;29)=0,0,SUP_CONTROL!$C$8*IF($B36="V",1,IF($B36="D",(1+SUP_VOLUMEN!$C$26),(1+SUP_VOLUMEN!$C$27)))*INDEX(SUP_C3_EXPANSION!$C$6:$F$6,MIN(4,COUNTIF(CAPA3_EXPANSION!$D$56:DJ$56,"&gt;="&amp;29)))*CAPA3_EXPANSION!DJ$36)</f>
        <v>3676.7640000000001</v>
      </c>
      <c r="DK36" s="88">
        <f>IF(COUNTIF(CAPA3_EXPANSION!$D$56:DK$56,"&gt;="&amp;29)=0,0,SUP_CONTROL!$C$8*IF($B36="V",1,IF($B36="D",(1+SUP_VOLUMEN!$C$26),(1+SUP_VOLUMEN!$C$27)))*INDEX(SUP_C3_EXPANSION!$C$6:$F$6,MIN(4,COUNTIF(CAPA3_EXPANSION!$D$56:DK$56,"&gt;="&amp;29)))*CAPA3_EXPANSION!DK$36)</f>
        <v>3676.7640000000001</v>
      </c>
      <c r="DL36" s="88">
        <f>IF(COUNTIF(CAPA3_EXPANSION!$D$56:DL$56,"&gt;="&amp;29)=0,0,SUP_CONTROL!$C$8*IF($B36="V",1,IF($B36="D",(1+SUP_VOLUMEN!$C$26),(1+SUP_VOLUMEN!$C$27)))*INDEX(SUP_C3_EXPANSION!$C$6:$F$6,MIN(4,COUNTIF(CAPA3_EXPANSION!$D$56:DL$56,"&gt;="&amp;29)))*CAPA3_EXPANSION!DL$36)</f>
        <v>3676.7640000000001</v>
      </c>
      <c r="DM36" s="88">
        <f>IF(COUNTIF(CAPA3_EXPANSION!$D$56:DM$56,"&gt;="&amp;29)=0,0,SUP_CONTROL!$C$8*IF($B36="V",1,IF($B36="D",(1+SUP_VOLUMEN!$C$26),(1+SUP_VOLUMEN!$C$27)))*INDEX(SUP_C3_EXPANSION!$C$6:$F$6,MIN(4,COUNTIF(CAPA3_EXPANSION!$D$56:DM$56,"&gt;="&amp;29)))*CAPA3_EXPANSION!DM$36)</f>
        <v>3676.7640000000001</v>
      </c>
      <c r="DN36" s="88">
        <f>IF(COUNTIF(CAPA3_EXPANSION!$D$56:DN$56,"&gt;="&amp;29)=0,0,SUP_CONTROL!$C$8*IF($B36="V",1,IF($B36="D",(1+SUP_VOLUMEN!$C$26),(1+SUP_VOLUMEN!$C$27)))*INDEX(SUP_C3_EXPANSION!$C$6:$F$6,MIN(4,COUNTIF(CAPA3_EXPANSION!$D$56:DN$56,"&gt;="&amp;29)))*CAPA3_EXPANSION!DN$36)</f>
        <v>3676.7640000000001</v>
      </c>
      <c r="DO36" s="88">
        <f>IF(COUNTIF(CAPA3_EXPANSION!$D$56:DO$56,"&gt;="&amp;29)=0,0,SUP_CONTROL!$C$8*IF($B36="V",1,IF($B36="D",(1+SUP_VOLUMEN!$C$26),(1+SUP_VOLUMEN!$C$27)))*INDEX(SUP_C3_EXPANSION!$C$6:$F$6,MIN(4,COUNTIF(CAPA3_EXPANSION!$D$56:DO$56,"&gt;="&amp;29)))*CAPA3_EXPANSION!DO$36)</f>
        <v>3676.7640000000001</v>
      </c>
      <c r="DP36" s="88">
        <f>IF(COUNTIF(CAPA3_EXPANSION!$D$56:DP$56,"&gt;="&amp;29)=0,0,SUP_CONTROL!$C$8*IF($B36="V",1,IF($B36="D",(1+SUP_VOLUMEN!$C$26),(1+SUP_VOLUMEN!$C$27)))*INDEX(SUP_C3_EXPANSION!$C$6:$F$6,MIN(4,COUNTIF(CAPA3_EXPANSION!$D$56:DP$56,"&gt;="&amp;29)))*CAPA3_EXPANSION!DP$36)</f>
        <v>3676.7640000000001</v>
      </c>
      <c r="DQ36" s="88">
        <f>IF(COUNTIF(CAPA3_EXPANSION!$D$56:DQ$56,"&gt;="&amp;29)=0,0,SUP_CONTROL!$C$8*IF($B36="V",1,IF($B36="D",(1+SUP_VOLUMEN!$C$26),(1+SUP_VOLUMEN!$C$27)))*INDEX(SUP_C3_EXPANSION!$C$6:$F$6,MIN(4,COUNTIF(CAPA3_EXPANSION!$D$56:DQ$56,"&gt;="&amp;29)))*CAPA3_EXPANSION!DQ$36)</f>
        <v>3676.7640000000001</v>
      </c>
      <c r="DR36" s="88">
        <f>IF(COUNTIF(CAPA3_EXPANSION!$D$56:DR$56,"&gt;="&amp;29)=0,0,SUP_CONTROL!$C$8*IF($B36="V",1,IF($B36="D",(1+SUP_VOLUMEN!$C$26),(1+SUP_VOLUMEN!$C$27)))*INDEX(SUP_C3_EXPANSION!$C$6:$F$6,MIN(4,COUNTIF(CAPA3_EXPANSION!$D$56:DR$56,"&gt;="&amp;29)))*CAPA3_EXPANSION!DR$36)</f>
        <v>3676.7640000000001</v>
      </c>
      <c r="DS36" s="88">
        <f>IF(COUNTIF(CAPA3_EXPANSION!$D$56:DS$56,"&gt;="&amp;29)=0,0,SUP_CONTROL!$C$8*IF($B36="V",1,IF($B36="D",(1+SUP_VOLUMEN!$C$26),(1+SUP_VOLUMEN!$C$27)))*INDEX(SUP_C3_EXPANSION!$C$6:$F$6,MIN(4,COUNTIF(CAPA3_EXPANSION!$D$56:DS$56,"&gt;="&amp;29)))*CAPA3_EXPANSION!DS$36)</f>
        <v>3676.7640000000001</v>
      </c>
    </row>
    <row r="37" spans="1:123" ht="15" customHeight="1" x14ac:dyDescent="0.2">
      <c r="A37" s="88">
        <v>40</v>
      </c>
      <c r="B37" s="104" t="str">
        <f>SUP_C3_EXPANSION!B49</f>
        <v>F</v>
      </c>
      <c r="C37" s="73">
        <f>SUP_C3_EXPANSION!G49</f>
        <v>65</v>
      </c>
      <c r="D37" s="88">
        <f>IF(COUNTIF(CAPA3_EXPANSION!$D$56:D$56,"&gt;="&amp;30)=0,0,SUP_CONTROL!$C$8*IF($B37="V",1,IF($B37="D",(1+SUP_VOLUMEN!$C$26),(1+SUP_VOLUMEN!$C$27)))*INDEX(SUP_C3_EXPANSION!$C$6:$F$6,MIN(4,COUNTIF(CAPA3_EXPANSION!$D$56:D$56,"&gt;="&amp;30)))*CAPA3_EXPANSION!D$36)</f>
        <v>0</v>
      </c>
      <c r="E37" s="88">
        <f>IF(COUNTIF(CAPA3_EXPANSION!$D$56:E$56,"&gt;="&amp;30)=0,0,SUP_CONTROL!$C$8*IF($B37="V",1,IF($B37="D",(1+SUP_VOLUMEN!$C$26),(1+SUP_VOLUMEN!$C$27)))*INDEX(SUP_C3_EXPANSION!$C$6:$F$6,MIN(4,COUNTIF(CAPA3_EXPANSION!$D$56:E$56,"&gt;="&amp;30)))*CAPA3_EXPANSION!E$36)</f>
        <v>0</v>
      </c>
      <c r="F37" s="88">
        <f>IF(COUNTIF(CAPA3_EXPANSION!$D$56:F$56,"&gt;="&amp;30)=0,0,SUP_CONTROL!$C$8*IF($B37="V",1,IF($B37="D",(1+SUP_VOLUMEN!$C$26),(1+SUP_VOLUMEN!$C$27)))*INDEX(SUP_C3_EXPANSION!$C$6:$F$6,MIN(4,COUNTIF(CAPA3_EXPANSION!$D$56:F$56,"&gt;="&amp;30)))*CAPA3_EXPANSION!F$36)</f>
        <v>0</v>
      </c>
      <c r="G37" s="88">
        <f>IF(COUNTIF(CAPA3_EXPANSION!$D$56:G$56,"&gt;="&amp;30)=0,0,SUP_CONTROL!$C$8*IF($B37="V",1,IF($B37="D",(1+SUP_VOLUMEN!$C$26),(1+SUP_VOLUMEN!$C$27)))*INDEX(SUP_C3_EXPANSION!$C$6:$F$6,MIN(4,COUNTIF(CAPA3_EXPANSION!$D$56:G$56,"&gt;="&amp;30)))*CAPA3_EXPANSION!G$36)</f>
        <v>0</v>
      </c>
      <c r="H37" s="88">
        <f>IF(COUNTIF(CAPA3_EXPANSION!$D$56:H$56,"&gt;="&amp;30)=0,0,SUP_CONTROL!$C$8*IF($B37="V",1,IF($B37="D",(1+SUP_VOLUMEN!$C$26),(1+SUP_VOLUMEN!$C$27)))*INDEX(SUP_C3_EXPANSION!$C$6:$F$6,MIN(4,COUNTIF(CAPA3_EXPANSION!$D$56:H$56,"&gt;="&amp;30)))*CAPA3_EXPANSION!H$36)</f>
        <v>0</v>
      </c>
      <c r="I37" s="88">
        <f>IF(COUNTIF(CAPA3_EXPANSION!$D$56:I$56,"&gt;="&amp;30)=0,0,SUP_CONTROL!$C$8*IF($B37="V",1,IF($B37="D",(1+SUP_VOLUMEN!$C$26),(1+SUP_VOLUMEN!$C$27)))*INDEX(SUP_C3_EXPANSION!$C$6:$F$6,MIN(4,COUNTIF(CAPA3_EXPANSION!$D$56:I$56,"&gt;="&amp;30)))*CAPA3_EXPANSION!I$36)</f>
        <v>0</v>
      </c>
      <c r="J37" s="88">
        <f>IF(COUNTIF(CAPA3_EXPANSION!$D$56:J$56,"&gt;="&amp;30)=0,0,SUP_CONTROL!$C$8*IF($B37="V",1,IF($B37="D",(1+SUP_VOLUMEN!$C$26),(1+SUP_VOLUMEN!$C$27)))*INDEX(SUP_C3_EXPANSION!$C$6:$F$6,MIN(4,COUNTIF(CAPA3_EXPANSION!$D$56:J$56,"&gt;="&amp;30)))*CAPA3_EXPANSION!J$36)</f>
        <v>0</v>
      </c>
      <c r="K37" s="88">
        <f>IF(COUNTIF(CAPA3_EXPANSION!$D$56:K$56,"&gt;="&amp;30)=0,0,SUP_CONTROL!$C$8*IF($B37="V",1,IF($B37="D",(1+SUP_VOLUMEN!$C$26),(1+SUP_VOLUMEN!$C$27)))*INDEX(SUP_C3_EXPANSION!$C$6:$F$6,MIN(4,COUNTIF(CAPA3_EXPANSION!$D$56:K$56,"&gt;="&amp;30)))*CAPA3_EXPANSION!K$36)</f>
        <v>0</v>
      </c>
      <c r="L37" s="88">
        <f>IF(COUNTIF(CAPA3_EXPANSION!$D$56:L$56,"&gt;="&amp;30)=0,0,SUP_CONTROL!$C$8*IF($B37="V",1,IF($B37="D",(1+SUP_VOLUMEN!$C$26),(1+SUP_VOLUMEN!$C$27)))*INDEX(SUP_C3_EXPANSION!$C$6:$F$6,MIN(4,COUNTIF(CAPA3_EXPANSION!$D$56:L$56,"&gt;="&amp;30)))*CAPA3_EXPANSION!L$36)</f>
        <v>0</v>
      </c>
      <c r="M37" s="88">
        <f>IF(COUNTIF(CAPA3_EXPANSION!$D$56:M$56,"&gt;="&amp;30)=0,0,SUP_CONTROL!$C$8*IF($B37="V",1,IF($B37="D",(1+SUP_VOLUMEN!$C$26),(1+SUP_VOLUMEN!$C$27)))*INDEX(SUP_C3_EXPANSION!$C$6:$F$6,MIN(4,COUNTIF(CAPA3_EXPANSION!$D$56:M$56,"&gt;="&amp;30)))*CAPA3_EXPANSION!M$36)</f>
        <v>0</v>
      </c>
      <c r="N37" s="88">
        <f>IF(COUNTIF(CAPA3_EXPANSION!$D$56:N$56,"&gt;="&amp;30)=0,0,SUP_CONTROL!$C$8*IF($B37="V",1,IF($B37="D",(1+SUP_VOLUMEN!$C$26),(1+SUP_VOLUMEN!$C$27)))*INDEX(SUP_C3_EXPANSION!$C$6:$F$6,MIN(4,COUNTIF(CAPA3_EXPANSION!$D$56:N$56,"&gt;="&amp;30)))*CAPA3_EXPANSION!N$36)</f>
        <v>0</v>
      </c>
      <c r="O37" s="88">
        <f>IF(COUNTIF(CAPA3_EXPANSION!$D$56:O$56,"&gt;="&amp;30)=0,0,SUP_CONTROL!$C$8*IF($B37="V",1,IF($B37="D",(1+SUP_VOLUMEN!$C$26),(1+SUP_VOLUMEN!$C$27)))*INDEX(SUP_C3_EXPANSION!$C$6:$F$6,MIN(4,COUNTIF(CAPA3_EXPANSION!$D$56:O$56,"&gt;="&amp;30)))*CAPA3_EXPANSION!O$36)</f>
        <v>0</v>
      </c>
      <c r="P37" s="88">
        <f>IF(COUNTIF(CAPA3_EXPANSION!$D$56:P$56,"&gt;="&amp;30)=0,0,SUP_CONTROL!$C$8*IF($B37="V",1,IF($B37="D",(1+SUP_VOLUMEN!$C$26),(1+SUP_VOLUMEN!$C$27)))*INDEX(SUP_C3_EXPANSION!$C$6:$F$6,MIN(4,COUNTIF(CAPA3_EXPANSION!$D$56:P$56,"&gt;="&amp;30)))*CAPA3_EXPANSION!P$36)</f>
        <v>0</v>
      </c>
      <c r="Q37" s="88">
        <f>IF(COUNTIF(CAPA3_EXPANSION!$D$56:Q$56,"&gt;="&amp;30)=0,0,SUP_CONTROL!$C$8*IF($B37="V",1,IF($B37="D",(1+SUP_VOLUMEN!$C$26),(1+SUP_VOLUMEN!$C$27)))*INDEX(SUP_C3_EXPANSION!$C$6:$F$6,MIN(4,COUNTIF(CAPA3_EXPANSION!$D$56:Q$56,"&gt;="&amp;30)))*CAPA3_EXPANSION!Q$36)</f>
        <v>0</v>
      </c>
      <c r="R37" s="88">
        <f>IF(COUNTIF(CAPA3_EXPANSION!$D$56:R$56,"&gt;="&amp;30)=0,0,SUP_CONTROL!$C$8*IF($B37="V",1,IF($B37="D",(1+SUP_VOLUMEN!$C$26),(1+SUP_VOLUMEN!$C$27)))*INDEX(SUP_C3_EXPANSION!$C$6:$F$6,MIN(4,COUNTIF(CAPA3_EXPANSION!$D$56:R$56,"&gt;="&amp;30)))*CAPA3_EXPANSION!R$36)</f>
        <v>0</v>
      </c>
      <c r="S37" s="88">
        <f>IF(COUNTIF(CAPA3_EXPANSION!$D$56:S$56,"&gt;="&amp;30)=0,0,SUP_CONTROL!$C$8*IF($B37="V",1,IF($B37="D",(1+SUP_VOLUMEN!$C$26),(1+SUP_VOLUMEN!$C$27)))*INDEX(SUP_C3_EXPANSION!$C$6:$F$6,MIN(4,COUNTIF(CAPA3_EXPANSION!$D$56:S$56,"&gt;="&amp;30)))*CAPA3_EXPANSION!S$36)</f>
        <v>0</v>
      </c>
      <c r="T37" s="88">
        <f>IF(COUNTIF(CAPA3_EXPANSION!$D$56:T$56,"&gt;="&amp;30)=0,0,SUP_CONTROL!$C$8*IF($B37="V",1,IF($B37="D",(1+SUP_VOLUMEN!$C$26),(1+SUP_VOLUMEN!$C$27)))*INDEX(SUP_C3_EXPANSION!$C$6:$F$6,MIN(4,COUNTIF(CAPA3_EXPANSION!$D$56:T$56,"&gt;="&amp;30)))*CAPA3_EXPANSION!T$36)</f>
        <v>0</v>
      </c>
      <c r="U37" s="88">
        <f>IF(COUNTIF(CAPA3_EXPANSION!$D$56:U$56,"&gt;="&amp;30)=0,0,SUP_CONTROL!$C$8*IF($B37="V",1,IF($B37="D",(1+SUP_VOLUMEN!$C$26),(1+SUP_VOLUMEN!$C$27)))*INDEX(SUP_C3_EXPANSION!$C$6:$F$6,MIN(4,COUNTIF(CAPA3_EXPANSION!$D$56:U$56,"&gt;="&amp;30)))*CAPA3_EXPANSION!U$36)</f>
        <v>0</v>
      </c>
      <c r="V37" s="88">
        <f>IF(COUNTIF(CAPA3_EXPANSION!$D$56:V$56,"&gt;="&amp;30)=0,0,SUP_CONTROL!$C$8*IF($B37="V",1,IF($B37="D",(1+SUP_VOLUMEN!$C$26),(1+SUP_VOLUMEN!$C$27)))*INDEX(SUP_C3_EXPANSION!$C$6:$F$6,MIN(4,COUNTIF(CAPA3_EXPANSION!$D$56:V$56,"&gt;="&amp;30)))*CAPA3_EXPANSION!V$36)</f>
        <v>0</v>
      </c>
      <c r="W37" s="88">
        <f>IF(COUNTIF(CAPA3_EXPANSION!$D$56:W$56,"&gt;="&amp;30)=0,0,SUP_CONTROL!$C$8*IF($B37="V",1,IF($B37="D",(1+SUP_VOLUMEN!$C$26),(1+SUP_VOLUMEN!$C$27)))*INDEX(SUP_C3_EXPANSION!$C$6:$F$6,MIN(4,COUNTIF(CAPA3_EXPANSION!$D$56:W$56,"&gt;="&amp;30)))*CAPA3_EXPANSION!W$36)</f>
        <v>0</v>
      </c>
      <c r="X37" s="88">
        <f>IF(COUNTIF(CAPA3_EXPANSION!$D$56:X$56,"&gt;="&amp;30)=0,0,SUP_CONTROL!$C$8*IF($B37="V",1,IF($B37="D",(1+SUP_VOLUMEN!$C$26),(1+SUP_VOLUMEN!$C$27)))*INDEX(SUP_C3_EXPANSION!$C$6:$F$6,MIN(4,COUNTIF(CAPA3_EXPANSION!$D$56:X$56,"&gt;="&amp;30)))*CAPA3_EXPANSION!X$36)</f>
        <v>0</v>
      </c>
      <c r="Y37" s="88">
        <f>IF(COUNTIF(CAPA3_EXPANSION!$D$56:Y$56,"&gt;="&amp;30)=0,0,SUP_CONTROL!$C$8*IF($B37="V",1,IF($B37="D",(1+SUP_VOLUMEN!$C$26),(1+SUP_VOLUMEN!$C$27)))*INDEX(SUP_C3_EXPANSION!$C$6:$F$6,MIN(4,COUNTIF(CAPA3_EXPANSION!$D$56:Y$56,"&gt;="&amp;30)))*CAPA3_EXPANSION!Y$36)</f>
        <v>0</v>
      </c>
      <c r="Z37" s="88">
        <f>IF(COUNTIF(CAPA3_EXPANSION!$D$56:Z$56,"&gt;="&amp;30)=0,0,SUP_CONTROL!$C$8*IF($B37="V",1,IF($B37="D",(1+SUP_VOLUMEN!$C$26),(1+SUP_VOLUMEN!$C$27)))*INDEX(SUP_C3_EXPANSION!$C$6:$F$6,MIN(4,COUNTIF(CAPA3_EXPANSION!$D$56:Z$56,"&gt;="&amp;30)))*CAPA3_EXPANSION!Z$36)</f>
        <v>0</v>
      </c>
      <c r="AA37" s="88">
        <f>IF(COUNTIF(CAPA3_EXPANSION!$D$56:AA$56,"&gt;="&amp;30)=0,0,SUP_CONTROL!$C$8*IF($B37="V",1,IF($B37="D",(1+SUP_VOLUMEN!$C$26),(1+SUP_VOLUMEN!$C$27)))*INDEX(SUP_C3_EXPANSION!$C$6:$F$6,MIN(4,COUNTIF(CAPA3_EXPANSION!$D$56:AA$56,"&gt;="&amp;30)))*CAPA3_EXPANSION!AA$36)</f>
        <v>0</v>
      </c>
      <c r="AB37" s="88">
        <f>IF(COUNTIF(CAPA3_EXPANSION!$D$56:AB$56,"&gt;="&amp;30)=0,0,SUP_CONTROL!$C$8*IF($B37="V",1,IF($B37="D",(1+SUP_VOLUMEN!$C$26),(1+SUP_VOLUMEN!$C$27)))*INDEX(SUP_C3_EXPANSION!$C$6:$F$6,MIN(4,COUNTIF(CAPA3_EXPANSION!$D$56:AB$56,"&gt;="&amp;30)))*CAPA3_EXPANSION!AB$36)</f>
        <v>0</v>
      </c>
      <c r="AC37" s="88">
        <f>IF(COUNTIF(CAPA3_EXPANSION!$D$56:AC$56,"&gt;="&amp;30)=0,0,SUP_CONTROL!$C$8*IF($B37="V",1,IF($B37="D",(1+SUP_VOLUMEN!$C$26),(1+SUP_VOLUMEN!$C$27)))*INDEX(SUP_C3_EXPANSION!$C$6:$F$6,MIN(4,COUNTIF(CAPA3_EXPANSION!$D$56:AC$56,"&gt;="&amp;30)))*CAPA3_EXPANSION!AC$36)</f>
        <v>0</v>
      </c>
      <c r="AD37" s="88">
        <f>IF(COUNTIF(CAPA3_EXPANSION!$D$56:AD$56,"&gt;="&amp;30)=0,0,SUP_CONTROL!$C$8*IF($B37="V",1,IF($B37="D",(1+SUP_VOLUMEN!$C$26),(1+SUP_VOLUMEN!$C$27)))*INDEX(SUP_C3_EXPANSION!$C$6:$F$6,MIN(4,COUNTIF(CAPA3_EXPANSION!$D$56:AD$56,"&gt;="&amp;30)))*CAPA3_EXPANSION!AD$36)</f>
        <v>0</v>
      </c>
      <c r="AE37" s="88">
        <f>IF(COUNTIF(CAPA3_EXPANSION!$D$56:AE$56,"&gt;="&amp;30)=0,0,SUP_CONTROL!$C$8*IF($B37="V",1,IF($B37="D",(1+SUP_VOLUMEN!$C$26),(1+SUP_VOLUMEN!$C$27)))*INDEX(SUP_C3_EXPANSION!$C$6:$F$6,MIN(4,COUNTIF(CAPA3_EXPANSION!$D$56:AE$56,"&gt;="&amp;30)))*CAPA3_EXPANSION!AE$36)</f>
        <v>0</v>
      </c>
      <c r="AF37" s="88">
        <f>IF(COUNTIF(CAPA3_EXPANSION!$D$56:AF$56,"&gt;="&amp;30)=0,0,SUP_CONTROL!$C$8*IF($B37="V",1,IF($B37="D",(1+SUP_VOLUMEN!$C$26),(1+SUP_VOLUMEN!$C$27)))*INDEX(SUP_C3_EXPANSION!$C$6:$F$6,MIN(4,COUNTIF(CAPA3_EXPANSION!$D$56:AF$56,"&gt;="&amp;30)))*CAPA3_EXPANSION!AF$36)</f>
        <v>0</v>
      </c>
      <c r="AG37" s="88">
        <f>IF(COUNTIF(CAPA3_EXPANSION!$D$56:AG$56,"&gt;="&amp;30)=0,0,SUP_CONTROL!$C$8*IF($B37="V",1,IF($B37="D",(1+SUP_VOLUMEN!$C$26),(1+SUP_VOLUMEN!$C$27)))*INDEX(SUP_C3_EXPANSION!$C$6:$F$6,MIN(4,COUNTIF(CAPA3_EXPANSION!$D$56:AG$56,"&gt;="&amp;30)))*CAPA3_EXPANSION!AG$36)</f>
        <v>0</v>
      </c>
      <c r="AH37" s="88">
        <f>IF(COUNTIF(CAPA3_EXPANSION!$D$56:AH$56,"&gt;="&amp;30)=0,0,SUP_CONTROL!$C$8*IF($B37="V",1,IF($B37="D",(1+SUP_VOLUMEN!$C$26),(1+SUP_VOLUMEN!$C$27)))*INDEX(SUP_C3_EXPANSION!$C$6:$F$6,MIN(4,COUNTIF(CAPA3_EXPANSION!$D$56:AH$56,"&gt;="&amp;30)))*CAPA3_EXPANSION!AH$36)</f>
        <v>0</v>
      </c>
      <c r="AI37" s="88">
        <f>IF(COUNTIF(CAPA3_EXPANSION!$D$56:AI$56,"&gt;="&amp;30)=0,0,SUP_CONTROL!$C$8*IF($B37="V",1,IF($B37="D",(1+SUP_VOLUMEN!$C$26),(1+SUP_VOLUMEN!$C$27)))*INDEX(SUP_C3_EXPANSION!$C$6:$F$6,MIN(4,COUNTIF(CAPA3_EXPANSION!$D$56:AI$56,"&gt;="&amp;30)))*CAPA3_EXPANSION!AI$36)</f>
        <v>0</v>
      </c>
      <c r="AJ37" s="88">
        <f>IF(COUNTIF(CAPA3_EXPANSION!$D$56:AJ$56,"&gt;="&amp;30)=0,0,SUP_CONTROL!$C$8*IF($B37="V",1,IF($B37="D",(1+SUP_VOLUMEN!$C$26),(1+SUP_VOLUMEN!$C$27)))*INDEX(SUP_C3_EXPANSION!$C$6:$F$6,MIN(4,COUNTIF(CAPA3_EXPANSION!$D$56:AJ$56,"&gt;="&amp;30)))*CAPA3_EXPANSION!AJ$36)</f>
        <v>0</v>
      </c>
      <c r="AK37" s="88">
        <f>IF(COUNTIF(CAPA3_EXPANSION!$D$56:AK$56,"&gt;="&amp;30)=0,0,SUP_CONTROL!$C$8*IF($B37="V",1,IF($B37="D",(1+SUP_VOLUMEN!$C$26),(1+SUP_VOLUMEN!$C$27)))*INDEX(SUP_C3_EXPANSION!$C$6:$F$6,MIN(4,COUNTIF(CAPA3_EXPANSION!$D$56:AK$56,"&gt;="&amp;30)))*CAPA3_EXPANSION!AK$36)</f>
        <v>0</v>
      </c>
      <c r="AL37" s="88">
        <f>IF(COUNTIF(CAPA3_EXPANSION!$D$56:AL$56,"&gt;="&amp;30)=0,0,SUP_CONTROL!$C$8*IF($B37="V",1,IF($B37="D",(1+SUP_VOLUMEN!$C$26),(1+SUP_VOLUMEN!$C$27)))*INDEX(SUP_C3_EXPANSION!$C$6:$F$6,MIN(4,COUNTIF(CAPA3_EXPANSION!$D$56:AL$56,"&gt;="&amp;30)))*CAPA3_EXPANSION!AL$36)</f>
        <v>0</v>
      </c>
      <c r="AM37" s="88">
        <f>IF(COUNTIF(CAPA3_EXPANSION!$D$56:AM$56,"&gt;="&amp;30)=0,0,SUP_CONTROL!$C$8*IF($B37="V",1,IF($B37="D",(1+SUP_VOLUMEN!$C$26),(1+SUP_VOLUMEN!$C$27)))*INDEX(SUP_C3_EXPANSION!$C$6:$F$6,MIN(4,COUNTIF(CAPA3_EXPANSION!$D$56:AM$56,"&gt;="&amp;30)))*CAPA3_EXPANSION!AM$36)</f>
        <v>0</v>
      </c>
      <c r="AN37" s="88">
        <f>IF(COUNTIF(CAPA3_EXPANSION!$D$56:AN$56,"&gt;="&amp;30)=0,0,SUP_CONTROL!$C$8*IF($B37="V",1,IF($B37="D",(1+SUP_VOLUMEN!$C$26),(1+SUP_VOLUMEN!$C$27)))*INDEX(SUP_C3_EXPANSION!$C$6:$F$6,MIN(4,COUNTIF(CAPA3_EXPANSION!$D$56:AN$56,"&gt;="&amp;30)))*CAPA3_EXPANSION!AN$36)</f>
        <v>0</v>
      </c>
      <c r="AO37" s="88">
        <f>IF(COUNTIF(CAPA3_EXPANSION!$D$56:AO$56,"&gt;="&amp;30)=0,0,SUP_CONTROL!$C$8*IF($B37="V",1,IF($B37="D",(1+SUP_VOLUMEN!$C$26),(1+SUP_VOLUMEN!$C$27)))*INDEX(SUP_C3_EXPANSION!$C$6:$F$6,MIN(4,COUNTIF(CAPA3_EXPANSION!$D$56:AO$56,"&gt;="&amp;30)))*CAPA3_EXPANSION!AO$36)</f>
        <v>0</v>
      </c>
      <c r="AP37" s="88">
        <f>IF(COUNTIF(CAPA3_EXPANSION!$D$56:AP$56,"&gt;="&amp;30)=0,0,SUP_CONTROL!$C$8*IF($B37="V",1,IF($B37="D",(1+SUP_VOLUMEN!$C$26),(1+SUP_VOLUMEN!$C$27)))*INDEX(SUP_C3_EXPANSION!$C$6:$F$6,MIN(4,COUNTIF(CAPA3_EXPANSION!$D$56:AP$56,"&gt;="&amp;30)))*CAPA3_EXPANSION!AP$36)</f>
        <v>0</v>
      </c>
      <c r="AQ37" s="88">
        <f>IF(COUNTIF(CAPA3_EXPANSION!$D$56:AQ$56,"&gt;="&amp;30)=0,0,SUP_CONTROL!$C$8*IF($B37="V",1,IF($B37="D",(1+SUP_VOLUMEN!$C$26),(1+SUP_VOLUMEN!$C$27)))*INDEX(SUP_C3_EXPANSION!$C$6:$F$6,MIN(4,COUNTIF(CAPA3_EXPANSION!$D$56:AQ$56,"&gt;="&amp;30)))*CAPA3_EXPANSION!AQ$36)</f>
        <v>0</v>
      </c>
      <c r="AR37" s="88">
        <f>IF(COUNTIF(CAPA3_EXPANSION!$D$56:AR$56,"&gt;="&amp;30)=0,0,SUP_CONTROL!$C$8*IF($B37="V",1,IF($B37="D",(1+SUP_VOLUMEN!$C$26),(1+SUP_VOLUMEN!$C$27)))*INDEX(SUP_C3_EXPANSION!$C$6:$F$6,MIN(4,COUNTIF(CAPA3_EXPANSION!$D$56:AR$56,"&gt;="&amp;30)))*CAPA3_EXPANSION!AR$36)</f>
        <v>0</v>
      </c>
      <c r="AS37" s="88">
        <f>IF(COUNTIF(CAPA3_EXPANSION!$D$56:AS$56,"&gt;="&amp;30)=0,0,SUP_CONTROL!$C$8*IF($B37="V",1,IF($B37="D",(1+SUP_VOLUMEN!$C$26),(1+SUP_VOLUMEN!$C$27)))*INDEX(SUP_C3_EXPANSION!$C$6:$F$6,MIN(4,COUNTIF(CAPA3_EXPANSION!$D$56:AS$56,"&gt;="&amp;30)))*CAPA3_EXPANSION!AS$36)</f>
        <v>0</v>
      </c>
      <c r="AT37" s="88">
        <f>IF(COUNTIF(CAPA3_EXPANSION!$D$56:AT$56,"&gt;="&amp;30)=0,0,SUP_CONTROL!$C$8*IF($B37="V",1,IF($B37="D",(1+SUP_VOLUMEN!$C$26),(1+SUP_VOLUMEN!$C$27)))*INDEX(SUP_C3_EXPANSION!$C$6:$F$6,MIN(4,COUNTIF(CAPA3_EXPANSION!$D$56:AT$56,"&gt;="&amp;30)))*CAPA3_EXPANSION!AT$36)</f>
        <v>0</v>
      </c>
      <c r="AU37" s="88">
        <f>IF(COUNTIF(CAPA3_EXPANSION!$D$56:AU$56,"&gt;="&amp;30)=0,0,SUP_CONTROL!$C$8*IF($B37="V",1,IF($B37="D",(1+SUP_VOLUMEN!$C$26),(1+SUP_VOLUMEN!$C$27)))*INDEX(SUP_C3_EXPANSION!$C$6:$F$6,MIN(4,COUNTIF(CAPA3_EXPANSION!$D$56:AU$56,"&gt;="&amp;30)))*CAPA3_EXPANSION!AU$36)</f>
        <v>0</v>
      </c>
      <c r="AV37" s="88">
        <f>IF(COUNTIF(CAPA3_EXPANSION!$D$56:AV$56,"&gt;="&amp;30)=0,0,SUP_CONTROL!$C$8*IF($B37="V",1,IF($B37="D",(1+SUP_VOLUMEN!$C$26),(1+SUP_VOLUMEN!$C$27)))*INDEX(SUP_C3_EXPANSION!$C$6:$F$6,MIN(4,COUNTIF(CAPA3_EXPANSION!$D$56:AV$56,"&gt;="&amp;30)))*CAPA3_EXPANSION!AV$36)</f>
        <v>0</v>
      </c>
      <c r="AW37" s="88">
        <f>IF(COUNTIF(CAPA3_EXPANSION!$D$56:AW$56,"&gt;="&amp;30)=0,0,SUP_CONTROL!$C$8*IF($B37="V",1,IF($B37="D",(1+SUP_VOLUMEN!$C$26),(1+SUP_VOLUMEN!$C$27)))*INDEX(SUP_C3_EXPANSION!$C$6:$F$6,MIN(4,COUNTIF(CAPA3_EXPANSION!$D$56:AW$56,"&gt;="&amp;30)))*CAPA3_EXPANSION!AW$36)</f>
        <v>0</v>
      </c>
      <c r="AX37" s="88">
        <f>IF(COUNTIF(CAPA3_EXPANSION!$D$56:AX$56,"&gt;="&amp;30)=0,0,SUP_CONTROL!$C$8*IF($B37="V",1,IF($B37="D",(1+SUP_VOLUMEN!$C$26),(1+SUP_VOLUMEN!$C$27)))*INDEX(SUP_C3_EXPANSION!$C$6:$F$6,MIN(4,COUNTIF(CAPA3_EXPANSION!$D$56:AX$56,"&gt;="&amp;30)))*CAPA3_EXPANSION!AX$36)</f>
        <v>0</v>
      </c>
      <c r="AY37" s="88">
        <f>IF(COUNTIF(CAPA3_EXPANSION!$D$56:AY$56,"&gt;="&amp;30)=0,0,SUP_CONTROL!$C$8*IF($B37="V",1,IF($B37="D",(1+SUP_VOLUMEN!$C$26),(1+SUP_VOLUMEN!$C$27)))*INDEX(SUP_C3_EXPANSION!$C$6:$F$6,MIN(4,COUNTIF(CAPA3_EXPANSION!$D$56:AY$56,"&gt;="&amp;30)))*CAPA3_EXPANSION!AY$36)</f>
        <v>0</v>
      </c>
      <c r="AZ37" s="88">
        <f>IF(COUNTIF(CAPA3_EXPANSION!$D$56:AZ$56,"&gt;="&amp;30)=0,0,SUP_CONTROL!$C$8*IF($B37="V",1,IF($B37="D",(1+SUP_VOLUMEN!$C$26),(1+SUP_VOLUMEN!$C$27)))*INDEX(SUP_C3_EXPANSION!$C$6:$F$6,MIN(4,COUNTIF(CAPA3_EXPANSION!$D$56:AZ$56,"&gt;="&amp;30)))*CAPA3_EXPANSION!AZ$36)</f>
        <v>0</v>
      </c>
      <c r="BA37" s="88">
        <f>IF(COUNTIF(CAPA3_EXPANSION!$D$56:BA$56,"&gt;="&amp;30)=0,0,SUP_CONTROL!$C$8*IF($B37="V",1,IF($B37="D",(1+SUP_VOLUMEN!$C$26),(1+SUP_VOLUMEN!$C$27)))*INDEX(SUP_C3_EXPANSION!$C$6:$F$6,MIN(4,COUNTIF(CAPA3_EXPANSION!$D$56:BA$56,"&gt;="&amp;30)))*CAPA3_EXPANSION!BA$36)</f>
        <v>0</v>
      </c>
      <c r="BB37" s="88">
        <f>IF(COUNTIF(CAPA3_EXPANSION!$D$56:BB$56,"&gt;="&amp;30)=0,0,SUP_CONTROL!$C$8*IF($B37="V",1,IF($B37="D",(1+SUP_VOLUMEN!$C$26),(1+SUP_VOLUMEN!$C$27)))*INDEX(SUP_C3_EXPANSION!$C$6:$F$6,MIN(4,COUNTIF(CAPA3_EXPANSION!$D$56:BB$56,"&gt;="&amp;30)))*CAPA3_EXPANSION!BB$36)</f>
        <v>0</v>
      </c>
      <c r="BC37" s="88">
        <f>IF(COUNTIF(CAPA3_EXPANSION!$D$56:BC$56,"&gt;="&amp;30)=0,0,SUP_CONTROL!$C$8*IF($B37="V",1,IF($B37="D",(1+SUP_VOLUMEN!$C$26),(1+SUP_VOLUMEN!$C$27)))*INDEX(SUP_C3_EXPANSION!$C$6:$F$6,MIN(4,COUNTIF(CAPA3_EXPANSION!$D$56:BC$56,"&gt;="&amp;30)))*CAPA3_EXPANSION!BC$36)</f>
        <v>0</v>
      </c>
      <c r="BD37" s="88">
        <f>IF(COUNTIF(CAPA3_EXPANSION!$D$56:BD$56,"&gt;="&amp;30)=0,0,SUP_CONTROL!$C$8*IF($B37="V",1,IF($B37="D",(1+SUP_VOLUMEN!$C$26),(1+SUP_VOLUMEN!$C$27)))*INDEX(SUP_C3_EXPANSION!$C$6:$F$6,MIN(4,COUNTIF(CAPA3_EXPANSION!$D$56:BD$56,"&gt;="&amp;30)))*CAPA3_EXPANSION!BD$36)</f>
        <v>0</v>
      </c>
      <c r="BE37" s="88">
        <f>IF(COUNTIF(CAPA3_EXPANSION!$D$56:BE$56,"&gt;="&amp;30)=0,0,SUP_CONTROL!$C$8*IF($B37="V",1,IF($B37="D",(1+SUP_VOLUMEN!$C$26),(1+SUP_VOLUMEN!$C$27)))*INDEX(SUP_C3_EXPANSION!$C$6:$F$6,MIN(4,COUNTIF(CAPA3_EXPANSION!$D$56:BE$56,"&gt;="&amp;30)))*CAPA3_EXPANSION!BE$36)</f>
        <v>0</v>
      </c>
      <c r="BF37" s="88">
        <f>IF(COUNTIF(CAPA3_EXPANSION!$D$56:BF$56,"&gt;="&amp;30)=0,0,SUP_CONTROL!$C$8*IF($B37="V",1,IF($B37="D",(1+SUP_VOLUMEN!$C$26),(1+SUP_VOLUMEN!$C$27)))*INDEX(SUP_C3_EXPANSION!$C$6:$F$6,MIN(4,COUNTIF(CAPA3_EXPANSION!$D$56:BF$56,"&gt;="&amp;30)))*CAPA3_EXPANSION!BF$36)</f>
        <v>0</v>
      </c>
      <c r="BG37" s="88">
        <f>IF(COUNTIF(CAPA3_EXPANSION!$D$56:BG$56,"&gt;="&amp;30)=0,0,SUP_CONTROL!$C$8*IF($B37="V",1,IF($B37="D",(1+SUP_VOLUMEN!$C$26),(1+SUP_VOLUMEN!$C$27)))*INDEX(SUP_C3_EXPANSION!$C$6:$F$6,MIN(4,COUNTIF(CAPA3_EXPANSION!$D$56:BG$56,"&gt;="&amp;30)))*CAPA3_EXPANSION!BG$36)</f>
        <v>0</v>
      </c>
      <c r="BH37" s="88">
        <f>IF(COUNTIF(CAPA3_EXPANSION!$D$56:BH$56,"&gt;="&amp;30)=0,0,SUP_CONTROL!$C$8*IF($B37="V",1,IF($B37="D",(1+SUP_VOLUMEN!$C$26),(1+SUP_VOLUMEN!$C$27)))*INDEX(SUP_C3_EXPANSION!$C$6:$F$6,MIN(4,COUNTIF(CAPA3_EXPANSION!$D$56:BH$56,"&gt;="&amp;30)))*CAPA3_EXPANSION!BH$36)</f>
        <v>0</v>
      </c>
      <c r="BI37" s="88">
        <f>IF(COUNTIF(CAPA3_EXPANSION!$D$56:BI$56,"&gt;="&amp;30)=0,0,SUP_CONTROL!$C$8*IF($B37="V",1,IF($B37="D",(1+SUP_VOLUMEN!$C$26),(1+SUP_VOLUMEN!$C$27)))*INDEX(SUP_C3_EXPANSION!$C$6:$F$6,MIN(4,COUNTIF(CAPA3_EXPANSION!$D$56:BI$56,"&gt;="&amp;30)))*CAPA3_EXPANSION!BI$36)</f>
        <v>0</v>
      </c>
      <c r="BJ37" s="88">
        <f>IF(COUNTIF(CAPA3_EXPANSION!$D$56:BJ$56,"&gt;="&amp;30)=0,0,SUP_CONTROL!$C$8*IF($B37="V",1,IF($B37="D",(1+SUP_VOLUMEN!$C$26),(1+SUP_VOLUMEN!$C$27)))*INDEX(SUP_C3_EXPANSION!$C$6:$F$6,MIN(4,COUNTIF(CAPA3_EXPANSION!$D$56:BJ$56,"&gt;="&amp;30)))*CAPA3_EXPANSION!BJ$36)</f>
        <v>0</v>
      </c>
      <c r="BK37" s="88">
        <f>IF(COUNTIF(CAPA3_EXPANSION!$D$56:BK$56,"&gt;="&amp;30)=0,0,SUP_CONTROL!$C$8*IF($B37="V",1,IF($B37="D",(1+SUP_VOLUMEN!$C$26),(1+SUP_VOLUMEN!$C$27)))*INDEX(SUP_C3_EXPANSION!$C$6:$F$6,MIN(4,COUNTIF(CAPA3_EXPANSION!$D$56:BK$56,"&gt;="&amp;30)))*CAPA3_EXPANSION!BK$36)</f>
        <v>0</v>
      </c>
      <c r="BL37" s="88">
        <f>IF(COUNTIF(CAPA3_EXPANSION!$D$56:BL$56,"&gt;="&amp;30)=0,0,SUP_CONTROL!$C$8*IF($B37="V",1,IF($B37="D",(1+SUP_VOLUMEN!$C$26),(1+SUP_VOLUMEN!$C$27)))*INDEX(SUP_C3_EXPANSION!$C$6:$F$6,MIN(4,COUNTIF(CAPA3_EXPANSION!$D$56:BL$56,"&gt;="&amp;30)))*CAPA3_EXPANSION!BL$36)</f>
        <v>0</v>
      </c>
      <c r="BM37" s="88">
        <f>IF(COUNTIF(CAPA3_EXPANSION!$D$56:BM$56,"&gt;="&amp;30)=0,0,SUP_CONTROL!$C$8*IF($B37="V",1,IF($B37="D",(1+SUP_VOLUMEN!$C$26),(1+SUP_VOLUMEN!$C$27)))*INDEX(SUP_C3_EXPANSION!$C$6:$F$6,MIN(4,COUNTIF(CAPA3_EXPANSION!$D$56:BM$56,"&gt;="&amp;30)))*CAPA3_EXPANSION!BM$36)</f>
        <v>0</v>
      </c>
      <c r="BN37" s="88">
        <f>IF(COUNTIF(CAPA3_EXPANSION!$D$56:BN$56,"&gt;="&amp;30)=0,0,SUP_CONTROL!$C$8*IF($B37="V",1,IF($B37="D",(1+SUP_VOLUMEN!$C$26),(1+SUP_VOLUMEN!$C$27)))*INDEX(SUP_C3_EXPANSION!$C$6:$F$6,MIN(4,COUNTIF(CAPA3_EXPANSION!$D$56:BN$56,"&gt;="&amp;30)))*CAPA3_EXPANSION!BN$36)</f>
        <v>0</v>
      </c>
      <c r="BO37" s="88">
        <f>IF(COUNTIF(CAPA3_EXPANSION!$D$56:BO$56,"&gt;="&amp;30)=0,0,SUP_CONTROL!$C$8*IF($B37="V",1,IF($B37="D",(1+SUP_VOLUMEN!$C$26),(1+SUP_VOLUMEN!$C$27)))*INDEX(SUP_C3_EXPANSION!$C$6:$F$6,MIN(4,COUNTIF(CAPA3_EXPANSION!$D$56:BO$56,"&gt;="&amp;30)))*CAPA3_EXPANSION!BO$36)</f>
        <v>0</v>
      </c>
      <c r="BP37" s="88">
        <f>IF(COUNTIF(CAPA3_EXPANSION!$D$56:BP$56,"&gt;="&amp;30)=0,0,SUP_CONTROL!$C$8*IF($B37="V",1,IF($B37="D",(1+SUP_VOLUMEN!$C$26),(1+SUP_VOLUMEN!$C$27)))*INDEX(SUP_C3_EXPANSION!$C$6:$F$6,MIN(4,COUNTIF(CAPA3_EXPANSION!$D$56:BP$56,"&gt;="&amp;30)))*CAPA3_EXPANSION!BP$36)</f>
        <v>0</v>
      </c>
      <c r="BQ37" s="88">
        <f>IF(COUNTIF(CAPA3_EXPANSION!$D$56:BQ$56,"&gt;="&amp;30)=0,0,SUP_CONTROL!$C$8*IF($B37="V",1,IF($B37="D",(1+SUP_VOLUMEN!$C$26),(1+SUP_VOLUMEN!$C$27)))*INDEX(SUP_C3_EXPANSION!$C$6:$F$6,MIN(4,COUNTIF(CAPA3_EXPANSION!$D$56:BQ$56,"&gt;="&amp;30)))*CAPA3_EXPANSION!BQ$36)</f>
        <v>0</v>
      </c>
      <c r="BR37" s="88">
        <f>IF(COUNTIF(CAPA3_EXPANSION!$D$56:BR$56,"&gt;="&amp;30)=0,0,SUP_CONTROL!$C$8*IF($B37="V",1,IF($B37="D",(1+SUP_VOLUMEN!$C$26),(1+SUP_VOLUMEN!$C$27)))*INDEX(SUP_C3_EXPANSION!$C$6:$F$6,MIN(4,COUNTIF(CAPA3_EXPANSION!$D$56:BR$56,"&gt;="&amp;30)))*CAPA3_EXPANSION!BR$36)</f>
        <v>0</v>
      </c>
      <c r="BS37" s="88">
        <f>IF(COUNTIF(CAPA3_EXPANSION!$D$56:BS$56,"&gt;="&amp;30)=0,0,SUP_CONTROL!$C$8*IF($B37="V",1,IF($B37="D",(1+SUP_VOLUMEN!$C$26),(1+SUP_VOLUMEN!$C$27)))*INDEX(SUP_C3_EXPANSION!$C$6:$F$6,MIN(4,COUNTIF(CAPA3_EXPANSION!$D$56:BS$56,"&gt;="&amp;30)))*CAPA3_EXPANSION!BS$36)</f>
        <v>3786.1915000000004</v>
      </c>
      <c r="BT37" s="88">
        <f>IF(COUNTIF(CAPA3_EXPANSION!$D$56:BT$56,"&gt;="&amp;30)=0,0,SUP_CONTROL!$C$8*IF($B37="V",1,IF($B37="D",(1+SUP_VOLUMEN!$C$26),(1+SUP_VOLUMEN!$C$27)))*INDEX(SUP_C3_EXPANSION!$C$6:$F$6,MIN(4,COUNTIF(CAPA3_EXPANSION!$D$56:BT$56,"&gt;="&amp;30)))*CAPA3_EXPANSION!BT$36)</f>
        <v>4659.9280000000008</v>
      </c>
      <c r="BU37" s="88">
        <f>IF(COUNTIF(CAPA3_EXPANSION!$D$56:BU$56,"&gt;="&amp;30)=0,0,SUP_CONTROL!$C$8*IF($B37="V",1,IF($B37="D",(1+SUP_VOLUMEN!$C$26),(1+SUP_VOLUMEN!$C$27)))*INDEX(SUP_C3_EXPANSION!$C$6:$F$6,MIN(4,COUNTIF(CAPA3_EXPANSION!$D$56:BU$56,"&gt;="&amp;30)))*CAPA3_EXPANSION!BU$36)</f>
        <v>5151.51</v>
      </c>
      <c r="BV37" s="88">
        <f>IF(COUNTIF(CAPA3_EXPANSION!$D$56:BV$56,"&gt;="&amp;30)=0,0,SUP_CONTROL!$C$8*IF($B37="V",1,IF($B37="D",(1+SUP_VOLUMEN!$C$26),(1+SUP_VOLUMEN!$C$27)))*INDEX(SUP_C3_EXPANSION!$C$6:$F$6,MIN(4,COUNTIF(CAPA3_EXPANSION!$D$56:BV$56,"&gt;="&amp;30)))*CAPA3_EXPANSION!BV$36)</f>
        <v>5723.9</v>
      </c>
      <c r="BW37" s="88">
        <f>IF(COUNTIF(CAPA3_EXPANSION!$D$56:BW$56,"&gt;="&amp;30)=0,0,SUP_CONTROL!$C$8*IF($B37="V",1,IF($B37="D",(1+SUP_VOLUMEN!$C$26),(1+SUP_VOLUMEN!$C$27)))*INDEX(SUP_C3_EXPANSION!$C$6:$F$6,MIN(4,COUNTIF(CAPA3_EXPANSION!$D$56:BW$56,"&gt;="&amp;30)))*CAPA3_EXPANSION!BW$36)</f>
        <v>5723.9</v>
      </c>
      <c r="BX37" s="88">
        <f>IF(COUNTIF(CAPA3_EXPANSION!$D$56:BX$56,"&gt;="&amp;30)=0,0,SUP_CONTROL!$C$8*IF($B37="V",1,IF($B37="D",(1+SUP_VOLUMEN!$C$26),(1+SUP_VOLUMEN!$C$27)))*INDEX(SUP_C3_EXPANSION!$C$6:$F$6,MIN(4,COUNTIF(CAPA3_EXPANSION!$D$56:BX$56,"&gt;="&amp;30)))*CAPA3_EXPANSION!BX$36)</f>
        <v>5723.9</v>
      </c>
      <c r="BY37" s="88">
        <f>IF(COUNTIF(CAPA3_EXPANSION!$D$56:BY$56,"&gt;="&amp;30)=0,0,SUP_CONTROL!$C$8*IF($B37="V",1,IF($B37="D",(1+SUP_VOLUMEN!$C$26),(1+SUP_VOLUMEN!$C$27)))*INDEX(SUP_C3_EXPANSION!$C$6:$F$6,MIN(4,COUNTIF(CAPA3_EXPANSION!$D$56:BY$56,"&gt;="&amp;30)))*CAPA3_EXPANSION!BY$36)</f>
        <v>5723.9</v>
      </c>
      <c r="BZ37" s="88">
        <f>IF(COUNTIF(CAPA3_EXPANSION!$D$56:BZ$56,"&gt;="&amp;30)=0,0,SUP_CONTROL!$C$8*IF($B37="V",1,IF($B37="D",(1+SUP_VOLUMEN!$C$26),(1+SUP_VOLUMEN!$C$27)))*INDEX(SUP_C3_EXPANSION!$C$6:$F$6,MIN(4,COUNTIF(CAPA3_EXPANSION!$D$56:BZ$56,"&gt;="&amp;30)))*CAPA3_EXPANSION!BZ$36)</f>
        <v>5656.5599999999995</v>
      </c>
      <c r="CA37" s="88">
        <f>IF(COUNTIF(CAPA3_EXPANSION!$D$56:CA$56,"&gt;="&amp;30)=0,0,SUP_CONTROL!$C$8*IF($B37="V",1,IF($B37="D",(1+SUP_VOLUMEN!$C$26),(1+SUP_VOLUMEN!$C$27)))*INDEX(SUP_C3_EXPANSION!$C$6:$F$6,MIN(4,COUNTIF(CAPA3_EXPANSION!$D$56:CA$56,"&gt;="&amp;30)))*CAPA3_EXPANSION!CA$36)</f>
        <v>5656.5599999999995</v>
      </c>
      <c r="CB37" s="88">
        <f>IF(COUNTIF(CAPA3_EXPANSION!$D$56:CB$56,"&gt;="&amp;30)=0,0,SUP_CONTROL!$C$8*IF($B37="V",1,IF($B37="D",(1+SUP_VOLUMEN!$C$26),(1+SUP_VOLUMEN!$C$27)))*INDEX(SUP_C3_EXPANSION!$C$6:$F$6,MIN(4,COUNTIF(CAPA3_EXPANSION!$D$56:CB$56,"&gt;="&amp;30)))*CAPA3_EXPANSION!CB$36)</f>
        <v>5656.5599999999995</v>
      </c>
      <c r="CC37" s="88">
        <f>IF(COUNTIF(CAPA3_EXPANSION!$D$56:CC$56,"&gt;="&amp;30)=0,0,SUP_CONTROL!$C$8*IF($B37="V",1,IF($B37="D",(1+SUP_VOLUMEN!$C$26),(1+SUP_VOLUMEN!$C$27)))*INDEX(SUP_C3_EXPANSION!$C$6:$F$6,MIN(4,COUNTIF(CAPA3_EXPANSION!$D$56:CC$56,"&gt;="&amp;30)))*CAPA3_EXPANSION!CC$36)</f>
        <v>5656.5599999999995</v>
      </c>
      <c r="CD37" s="88">
        <f>IF(COUNTIF(CAPA3_EXPANSION!$D$56:CD$56,"&gt;="&amp;30)=0,0,SUP_CONTROL!$C$8*IF($B37="V",1,IF($B37="D",(1+SUP_VOLUMEN!$C$26),(1+SUP_VOLUMEN!$C$27)))*INDEX(SUP_C3_EXPANSION!$C$6:$F$6,MIN(4,COUNTIF(CAPA3_EXPANSION!$D$56:CD$56,"&gt;="&amp;30)))*CAPA3_EXPANSION!CD$36)</f>
        <v>5656.5599999999995</v>
      </c>
      <c r="CE37" s="88">
        <f>IF(COUNTIF(CAPA3_EXPANSION!$D$56:CE$56,"&gt;="&amp;30)=0,0,SUP_CONTROL!$C$8*IF($B37="V",1,IF($B37="D",(1+SUP_VOLUMEN!$C$26),(1+SUP_VOLUMEN!$C$27)))*INDEX(SUP_C3_EXPANSION!$C$6:$F$6,MIN(4,COUNTIF(CAPA3_EXPANSION!$D$56:CE$56,"&gt;="&amp;30)))*CAPA3_EXPANSION!CE$36)</f>
        <v>5656.5599999999995</v>
      </c>
      <c r="CF37" s="88">
        <f>IF(COUNTIF(CAPA3_EXPANSION!$D$56:CF$56,"&gt;="&amp;30)=0,0,SUP_CONTROL!$C$8*IF($B37="V",1,IF($B37="D",(1+SUP_VOLUMEN!$C$26),(1+SUP_VOLUMEN!$C$27)))*INDEX(SUP_C3_EXPANSION!$C$6:$F$6,MIN(4,COUNTIF(CAPA3_EXPANSION!$D$56:CF$56,"&gt;="&amp;30)))*CAPA3_EXPANSION!CF$36)</f>
        <v>5656.5599999999995</v>
      </c>
      <c r="CG37" s="88">
        <f>IF(COUNTIF(CAPA3_EXPANSION!$D$56:CG$56,"&gt;="&amp;30)=0,0,SUP_CONTROL!$C$8*IF($B37="V",1,IF($B37="D",(1+SUP_VOLUMEN!$C$26),(1+SUP_VOLUMEN!$C$27)))*INDEX(SUP_C3_EXPANSION!$C$6:$F$6,MIN(4,COUNTIF(CAPA3_EXPANSION!$D$56:CG$56,"&gt;="&amp;30)))*CAPA3_EXPANSION!CG$36)</f>
        <v>5656.5599999999995</v>
      </c>
      <c r="CH37" s="88">
        <f>IF(COUNTIF(CAPA3_EXPANSION!$D$56:CH$56,"&gt;="&amp;30)=0,0,SUP_CONTROL!$C$8*IF($B37="V",1,IF($B37="D",(1+SUP_VOLUMEN!$C$26),(1+SUP_VOLUMEN!$C$27)))*INDEX(SUP_C3_EXPANSION!$C$6:$F$6,MIN(4,COUNTIF(CAPA3_EXPANSION!$D$56:CH$56,"&gt;="&amp;30)))*CAPA3_EXPANSION!CH$36)</f>
        <v>5656.5599999999995</v>
      </c>
      <c r="CI37" s="88">
        <f>IF(COUNTIF(CAPA3_EXPANSION!$D$56:CI$56,"&gt;="&amp;30)=0,0,SUP_CONTROL!$C$8*IF($B37="V",1,IF($B37="D",(1+SUP_VOLUMEN!$C$26),(1+SUP_VOLUMEN!$C$27)))*INDEX(SUP_C3_EXPANSION!$C$6:$F$6,MIN(4,COUNTIF(CAPA3_EXPANSION!$D$56:CI$56,"&gt;="&amp;30)))*CAPA3_EXPANSION!CI$36)</f>
        <v>5656.5599999999995</v>
      </c>
      <c r="CJ37" s="88">
        <f>IF(COUNTIF(CAPA3_EXPANSION!$D$56:CJ$56,"&gt;="&amp;30)=0,0,SUP_CONTROL!$C$8*IF($B37="V",1,IF($B37="D",(1+SUP_VOLUMEN!$C$26),(1+SUP_VOLUMEN!$C$27)))*INDEX(SUP_C3_EXPANSION!$C$6:$F$6,MIN(4,COUNTIF(CAPA3_EXPANSION!$D$56:CJ$56,"&gt;="&amp;30)))*CAPA3_EXPANSION!CJ$36)</f>
        <v>5656.5599999999995</v>
      </c>
      <c r="CK37" s="88">
        <f>IF(COUNTIF(CAPA3_EXPANSION!$D$56:CK$56,"&gt;="&amp;30)=0,0,SUP_CONTROL!$C$8*IF($B37="V",1,IF($B37="D",(1+SUP_VOLUMEN!$C$26),(1+SUP_VOLUMEN!$C$27)))*INDEX(SUP_C3_EXPANSION!$C$6:$F$6,MIN(4,COUNTIF(CAPA3_EXPANSION!$D$56:CK$56,"&gt;="&amp;30)))*CAPA3_EXPANSION!CK$36)</f>
        <v>5656.5599999999995</v>
      </c>
      <c r="CL37" s="88">
        <f>IF(COUNTIF(CAPA3_EXPANSION!$D$56:CL$56,"&gt;="&amp;30)=0,0,SUP_CONTROL!$C$8*IF($B37="V",1,IF($B37="D",(1+SUP_VOLUMEN!$C$26),(1+SUP_VOLUMEN!$C$27)))*INDEX(SUP_C3_EXPANSION!$C$6:$F$6,MIN(4,COUNTIF(CAPA3_EXPANSION!$D$56:CL$56,"&gt;="&amp;30)))*CAPA3_EXPANSION!CL$36)</f>
        <v>5656.5599999999995</v>
      </c>
      <c r="CM37" s="88">
        <f>IF(COUNTIF(CAPA3_EXPANSION!$D$56:CM$56,"&gt;="&amp;30)=0,0,SUP_CONTROL!$C$8*IF($B37="V",1,IF($B37="D",(1+SUP_VOLUMEN!$C$26),(1+SUP_VOLUMEN!$C$27)))*INDEX(SUP_C3_EXPANSION!$C$6:$F$6,MIN(4,COUNTIF(CAPA3_EXPANSION!$D$56:CM$56,"&gt;="&amp;30)))*CAPA3_EXPANSION!CM$36)</f>
        <v>5656.5599999999995</v>
      </c>
      <c r="CN37" s="88">
        <f>IF(COUNTIF(CAPA3_EXPANSION!$D$56:CN$56,"&gt;="&amp;30)=0,0,SUP_CONTROL!$C$8*IF($B37="V",1,IF($B37="D",(1+SUP_VOLUMEN!$C$26),(1+SUP_VOLUMEN!$C$27)))*INDEX(SUP_C3_EXPANSION!$C$6:$F$6,MIN(4,COUNTIF(CAPA3_EXPANSION!$D$56:CN$56,"&gt;="&amp;30)))*CAPA3_EXPANSION!CN$36)</f>
        <v>5656.5599999999995</v>
      </c>
      <c r="CO37" s="88">
        <f>IF(COUNTIF(CAPA3_EXPANSION!$D$56:CO$56,"&gt;="&amp;30)=0,0,SUP_CONTROL!$C$8*IF($B37="V",1,IF($B37="D",(1+SUP_VOLUMEN!$C$26),(1+SUP_VOLUMEN!$C$27)))*INDEX(SUP_C3_EXPANSION!$C$6:$F$6,MIN(4,COUNTIF(CAPA3_EXPANSION!$D$56:CO$56,"&gt;="&amp;30)))*CAPA3_EXPANSION!CO$36)</f>
        <v>5656.5599999999995</v>
      </c>
      <c r="CP37" s="88">
        <f>IF(COUNTIF(CAPA3_EXPANSION!$D$56:CP$56,"&gt;="&amp;30)=0,0,SUP_CONTROL!$C$8*IF($B37="V",1,IF($B37="D",(1+SUP_VOLUMEN!$C$26),(1+SUP_VOLUMEN!$C$27)))*INDEX(SUP_C3_EXPANSION!$C$6:$F$6,MIN(4,COUNTIF(CAPA3_EXPANSION!$D$56:CP$56,"&gt;="&amp;30)))*CAPA3_EXPANSION!CP$36)</f>
        <v>5656.5599999999995</v>
      </c>
      <c r="CQ37" s="88">
        <f>IF(COUNTIF(CAPA3_EXPANSION!$D$56:CQ$56,"&gt;="&amp;30)=0,0,SUP_CONTROL!$C$8*IF($B37="V",1,IF($B37="D",(1+SUP_VOLUMEN!$C$26),(1+SUP_VOLUMEN!$C$27)))*INDEX(SUP_C3_EXPANSION!$C$6:$F$6,MIN(4,COUNTIF(CAPA3_EXPANSION!$D$56:CQ$56,"&gt;="&amp;30)))*CAPA3_EXPANSION!CQ$36)</f>
        <v>5656.5599999999995</v>
      </c>
      <c r="CR37" s="88">
        <f>IF(COUNTIF(CAPA3_EXPANSION!$D$56:CR$56,"&gt;="&amp;30)=0,0,SUP_CONTROL!$C$8*IF($B37="V",1,IF($B37="D",(1+SUP_VOLUMEN!$C$26),(1+SUP_VOLUMEN!$C$27)))*INDEX(SUP_C3_EXPANSION!$C$6:$F$6,MIN(4,COUNTIF(CAPA3_EXPANSION!$D$56:CR$56,"&gt;="&amp;30)))*CAPA3_EXPANSION!CR$36)</f>
        <v>5656.5599999999995</v>
      </c>
      <c r="CS37" s="88">
        <f>IF(COUNTIF(CAPA3_EXPANSION!$D$56:CS$56,"&gt;="&amp;30)=0,0,SUP_CONTROL!$C$8*IF($B37="V",1,IF($B37="D",(1+SUP_VOLUMEN!$C$26),(1+SUP_VOLUMEN!$C$27)))*INDEX(SUP_C3_EXPANSION!$C$6:$F$6,MIN(4,COUNTIF(CAPA3_EXPANSION!$D$56:CS$56,"&gt;="&amp;30)))*CAPA3_EXPANSION!CS$36)</f>
        <v>5656.5599999999995</v>
      </c>
      <c r="CT37" s="88">
        <f>IF(COUNTIF(CAPA3_EXPANSION!$D$56:CT$56,"&gt;="&amp;30)=0,0,SUP_CONTROL!$C$8*IF($B37="V",1,IF($B37="D",(1+SUP_VOLUMEN!$C$26),(1+SUP_VOLUMEN!$C$27)))*INDEX(SUP_C3_EXPANSION!$C$6:$F$6,MIN(4,COUNTIF(CAPA3_EXPANSION!$D$56:CT$56,"&gt;="&amp;30)))*CAPA3_EXPANSION!CT$36)</f>
        <v>5656.5599999999995</v>
      </c>
      <c r="CU37" s="88">
        <f>IF(COUNTIF(CAPA3_EXPANSION!$D$56:CU$56,"&gt;="&amp;30)=0,0,SUP_CONTROL!$C$8*IF($B37="V",1,IF($B37="D",(1+SUP_VOLUMEN!$C$26),(1+SUP_VOLUMEN!$C$27)))*INDEX(SUP_C3_EXPANSION!$C$6:$F$6,MIN(4,COUNTIF(CAPA3_EXPANSION!$D$56:CU$56,"&gt;="&amp;30)))*CAPA3_EXPANSION!CU$36)</f>
        <v>5656.5599999999995</v>
      </c>
      <c r="CV37" s="88">
        <f>IF(COUNTIF(CAPA3_EXPANSION!$D$56:CV$56,"&gt;="&amp;30)=0,0,SUP_CONTROL!$C$8*IF($B37="V",1,IF($B37="D",(1+SUP_VOLUMEN!$C$26),(1+SUP_VOLUMEN!$C$27)))*INDEX(SUP_C3_EXPANSION!$C$6:$F$6,MIN(4,COUNTIF(CAPA3_EXPANSION!$D$56:CV$56,"&gt;="&amp;30)))*CAPA3_EXPANSION!CV$36)</f>
        <v>5656.5599999999995</v>
      </c>
      <c r="CW37" s="88">
        <f>IF(COUNTIF(CAPA3_EXPANSION!$D$56:CW$56,"&gt;="&amp;30)=0,0,SUP_CONTROL!$C$8*IF($B37="V",1,IF($B37="D",(1+SUP_VOLUMEN!$C$26),(1+SUP_VOLUMEN!$C$27)))*INDEX(SUP_C3_EXPANSION!$C$6:$F$6,MIN(4,COUNTIF(CAPA3_EXPANSION!$D$56:CW$56,"&gt;="&amp;30)))*CAPA3_EXPANSION!CW$36)</f>
        <v>5656.5599999999995</v>
      </c>
      <c r="CX37" s="88">
        <f>IF(COUNTIF(CAPA3_EXPANSION!$D$56:CX$56,"&gt;="&amp;30)=0,0,SUP_CONTROL!$C$8*IF($B37="V",1,IF($B37="D",(1+SUP_VOLUMEN!$C$26),(1+SUP_VOLUMEN!$C$27)))*INDEX(SUP_C3_EXPANSION!$C$6:$F$6,MIN(4,COUNTIF(CAPA3_EXPANSION!$D$56:CX$56,"&gt;="&amp;30)))*CAPA3_EXPANSION!CX$36)</f>
        <v>5656.5599999999995</v>
      </c>
      <c r="CY37" s="88">
        <f>IF(COUNTIF(CAPA3_EXPANSION!$D$56:CY$56,"&gt;="&amp;30)=0,0,SUP_CONTROL!$C$8*IF($B37="V",1,IF($B37="D",(1+SUP_VOLUMEN!$C$26),(1+SUP_VOLUMEN!$C$27)))*INDEX(SUP_C3_EXPANSION!$C$6:$F$6,MIN(4,COUNTIF(CAPA3_EXPANSION!$D$56:CY$56,"&gt;="&amp;30)))*CAPA3_EXPANSION!CY$36)</f>
        <v>5656.5599999999995</v>
      </c>
      <c r="CZ37" s="88">
        <f>IF(COUNTIF(CAPA3_EXPANSION!$D$56:CZ$56,"&gt;="&amp;30)=0,0,SUP_CONTROL!$C$8*IF($B37="V",1,IF($B37="D",(1+SUP_VOLUMEN!$C$26),(1+SUP_VOLUMEN!$C$27)))*INDEX(SUP_C3_EXPANSION!$C$6:$F$6,MIN(4,COUNTIF(CAPA3_EXPANSION!$D$56:CZ$56,"&gt;="&amp;30)))*CAPA3_EXPANSION!CZ$36)</f>
        <v>5656.5599999999995</v>
      </c>
      <c r="DA37" s="88">
        <f>IF(COUNTIF(CAPA3_EXPANSION!$D$56:DA$56,"&gt;="&amp;30)=0,0,SUP_CONTROL!$C$8*IF($B37="V",1,IF($B37="D",(1+SUP_VOLUMEN!$C$26),(1+SUP_VOLUMEN!$C$27)))*INDEX(SUP_C3_EXPANSION!$C$6:$F$6,MIN(4,COUNTIF(CAPA3_EXPANSION!$D$56:DA$56,"&gt;="&amp;30)))*CAPA3_EXPANSION!DA$36)</f>
        <v>5656.5599999999995</v>
      </c>
      <c r="DB37" s="88">
        <f>IF(COUNTIF(CAPA3_EXPANSION!$D$56:DB$56,"&gt;="&amp;30)=0,0,SUP_CONTROL!$C$8*IF($B37="V",1,IF($B37="D",(1+SUP_VOLUMEN!$C$26),(1+SUP_VOLUMEN!$C$27)))*INDEX(SUP_C3_EXPANSION!$C$6:$F$6,MIN(4,COUNTIF(CAPA3_EXPANSION!$D$56:DB$56,"&gt;="&amp;30)))*CAPA3_EXPANSION!DB$36)</f>
        <v>5656.5599999999995</v>
      </c>
      <c r="DC37" s="88">
        <f>IF(COUNTIF(CAPA3_EXPANSION!$D$56:DC$56,"&gt;="&amp;30)=0,0,SUP_CONTROL!$C$8*IF($B37="V",1,IF($B37="D",(1+SUP_VOLUMEN!$C$26),(1+SUP_VOLUMEN!$C$27)))*INDEX(SUP_C3_EXPANSION!$C$6:$F$6,MIN(4,COUNTIF(CAPA3_EXPANSION!$D$56:DC$56,"&gt;="&amp;30)))*CAPA3_EXPANSION!DC$36)</f>
        <v>5656.5599999999995</v>
      </c>
      <c r="DD37" s="88">
        <f>IF(COUNTIF(CAPA3_EXPANSION!$D$56:DD$56,"&gt;="&amp;30)=0,0,SUP_CONTROL!$C$8*IF($B37="V",1,IF($B37="D",(1+SUP_VOLUMEN!$C$26),(1+SUP_VOLUMEN!$C$27)))*INDEX(SUP_C3_EXPANSION!$C$6:$F$6,MIN(4,COUNTIF(CAPA3_EXPANSION!$D$56:DD$56,"&gt;="&amp;30)))*CAPA3_EXPANSION!DD$36)</f>
        <v>5656.5599999999995</v>
      </c>
      <c r="DE37" s="88">
        <f>IF(COUNTIF(CAPA3_EXPANSION!$D$56:DE$56,"&gt;="&amp;30)=0,0,SUP_CONTROL!$C$8*IF($B37="V",1,IF($B37="D",(1+SUP_VOLUMEN!$C$26),(1+SUP_VOLUMEN!$C$27)))*INDEX(SUP_C3_EXPANSION!$C$6:$F$6,MIN(4,COUNTIF(CAPA3_EXPANSION!$D$56:DE$56,"&gt;="&amp;30)))*CAPA3_EXPANSION!DE$36)</f>
        <v>5656.5599999999995</v>
      </c>
      <c r="DF37" s="88">
        <f>IF(COUNTIF(CAPA3_EXPANSION!$D$56:DF$56,"&gt;="&amp;30)=0,0,SUP_CONTROL!$C$8*IF($B37="V",1,IF($B37="D",(1+SUP_VOLUMEN!$C$26),(1+SUP_VOLUMEN!$C$27)))*INDEX(SUP_C3_EXPANSION!$C$6:$F$6,MIN(4,COUNTIF(CAPA3_EXPANSION!$D$56:DF$56,"&gt;="&amp;30)))*CAPA3_EXPANSION!DF$36)</f>
        <v>5656.5599999999995</v>
      </c>
      <c r="DG37" s="88">
        <f>IF(COUNTIF(CAPA3_EXPANSION!$D$56:DG$56,"&gt;="&amp;30)=0,0,SUP_CONTROL!$C$8*IF($B37="V",1,IF($B37="D",(1+SUP_VOLUMEN!$C$26),(1+SUP_VOLUMEN!$C$27)))*INDEX(SUP_C3_EXPANSION!$C$6:$F$6,MIN(4,COUNTIF(CAPA3_EXPANSION!$D$56:DG$56,"&gt;="&amp;30)))*CAPA3_EXPANSION!DG$36)</f>
        <v>5656.5599999999995</v>
      </c>
      <c r="DH37" s="88">
        <f>IF(COUNTIF(CAPA3_EXPANSION!$D$56:DH$56,"&gt;="&amp;30)=0,0,SUP_CONTROL!$C$8*IF($B37="V",1,IF($B37="D",(1+SUP_VOLUMEN!$C$26),(1+SUP_VOLUMEN!$C$27)))*INDEX(SUP_C3_EXPANSION!$C$6:$F$6,MIN(4,COUNTIF(CAPA3_EXPANSION!$D$56:DH$56,"&gt;="&amp;30)))*CAPA3_EXPANSION!DH$36)</f>
        <v>5656.5599999999995</v>
      </c>
      <c r="DI37" s="88">
        <f>IF(COUNTIF(CAPA3_EXPANSION!$D$56:DI$56,"&gt;="&amp;30)=0,0,SUP_CONTROL!$C$8*IF($B37="V",1,IF($B37="D",(1+SUP_VOLUMEN!$C$26),(1+SUP_VOLUMEN!$C$27)))*INDEX(SUP_C3_EXPANSION!$C$6:$F$6,MIN(4,COUNTIF(CAPA3_EXPANSION!$D$56:DI$56,"&gt;="&amp;30)))*CAPA3_EXPANSION!DI$36)</f>
        <v>5656.5599999999995</v>
      </c>
      <c r="DJ37" s="88">
        <f>IF(COUNTIF(CAPA3_EXPANSION!$D$56:DJ$56,"&gt;="&amp;30)=0,0,SUP_CONTROL!$C$8*IF($B37="V",1,IF($B37="D",(1+SUP_VOLUMEN!$C$26),(1+SUP_VOLUMEN!$C$27)))*INDEX(SUP_C3_EXPANSION!$C$6:$F$6,MIN(4,COUNTIF(CAPA3_EXPANSION!$D$56:DJ$56,"&gt;="&amp;30)))*CAPA3_EXPANSION!DJ$36)</f>
        <v>5656.5599999999995</v>
      </c>
      <c r="DK37" s="88">
        <f>IF(COUNTIF(CAPA3_EXPANSION!$D$56:DK$56,"&gt;="&amp;30)=0,0,SUP_CONTROL!$C$8*IF($B37="V",1,IF($B37="D",(1+SUP_VOLUMEN!$C$26),(1+SUP_VOLUMEN!$C$27)))*INDEX(SUP_C3_EXPANSION!$C$6:$F$6,MIN(4,COUNTIF(CAPA3_EXPANSION!$D$56:DK$56,"&gt;="&amp;30)))*CAPA3_EXPANSION!DK$36)</f>
        <v>5656.5599999999995</v>
      </c>
      <c r="DL37" s="88">
        <f>IF(COUNTIF(CAPA3_EXPANSION!$D$56:DL$56,"&gt;="&amp;30)=0,0,SUP_CONTROL!$C$8*IF($B37="V",1,IF($B37="D",(1+SUP_VOLUMEN!$C$26),(1+SUP_VOLUMEN!$C$27)))*INDEX(SUP_C3_EXPANSION!$C$6:$F$6,MIN(4,COUNTIF(CAPA3_EXPANSION!$D$56:DL$56,"&gt;="&amp;30)))*CAPA3_EXPANSION!DL$36)</f>
        <v>5656.5599999999995</v>
      </c>
      <c r="DM37" s="88">
        <f>IF(COUNTIF(CAPA3_EXPANSION!$D$56:DM$56,"&gt;="&amp;30)=0,0,SUP_CONTROL!$C$8*IF($B37="V",1,IF($B37="D",(1+SUP_VOLUMEN!$C$26),(1+SUP_VOLUMEN!$C$27)))*INDEX(SUP_C3_EXPANSION!$C$6:$F$6,MIN(4,COUNTIF(CAPA3_EXPANSION!$D$56:DM$56,"&gt;="&amp;30)))*CAPA3_EXPANSION!DM$36)</f>
        <v>5656.5599999999995</v>
      </c>
      <c r="DN37" s="88">
        <f>IF(COUNTIF(CAPA3_EXPANSION!$D$56:DN$56,"&gt;="&amp;30)=0,0,SUP_CONTROL!$C$8*IF($B37="V",1,IF($B37="D",(1+SUP_VOLUMEN!$C$26),(1+SUP_VOLUMEN!$C$27)))*INDEX(SUP_C3_EXPANSION!$C$6:$F$6,MIN(4,COUNTIF(CAPA3_EXPANSION!$D$56:DN$56,"&gt;="&amp;30)))*CAPA3_EXPANSION!DN$36)</f>
        <v>5656.5599999999995</v>
      </c>
      <c r="DO37" s="88">
        <f>IF(COUNTIF(CAPA3_EXPANSION!$D$56:DO$56,"&gt;="&amp;30)=0,0,SUP_CONTROL!$C$8*IF($B37="V",1,IF($B37="D",(1+SUP_VOLUMEN!$C$26),(1+SUP_VOLUMEN!$C$27)))*INDEX(SUP_C3_EXPANSION!$C$6:$F$6,MIN(4,COUNTIF(CAPA3_EXPANSION!$D$56:DO$56,"&gt;="&amp;30)))*CAPA3_EXPANSION!DO$36)</f>
        <v>5656.5599999999995</v>
      </c>
      <c r="DP37" s="88">
        <f>IF(COUNTIF(CAPA3_EXPANSION!$D$56:DP$56,"&gt;="&amp;30)=0,0,SUP_CONTROL!$C$8*IF($B37="V",1,IF($B37="D",(1+SUP_VOLUMEN!$C$26),(1+SUP_VOLUMEN!$C$27)))*INDEX(SUP_C3_EXPANSION!$C$6:$F$6,MIN(4,COUNTIF(CAPA3_EXPANSION!$D$56:DP$56,"&gt;="&amp;30)))*CAPA3_EXPANSION!DP$36)</f>
        <v>5656.5599999999995</v>
      </c>
      <c r="DQ37" s="88">
        <f>IF(COUNTIF(CAPA3_EXPANSION!$D$56:DQ$56,"&gt;="&amp;30)=0,0,SUP_CONTROL!$C$8*IF($B37="V",1,IF($B37="D",(1+SUP_VOLUMEN!$C$26),(1+SUP_VOLUMEN!$C$27)))*INDEX(SUP_C3_EXPANSION!$C$6:$F$6,MIN(4,COUNTIF(CAPA3_EXPANSION!$D$56:DQ$56,"&gt;="&amp;30)))*CAPA3_EXPANSION!DQ$36)</f>
        <v>5656.5599999999995</v>
      </c>
      <c r="DR37" s="88">
        <f>IF(COUNTIF(CAPA3_EXPANSION!$D$56:DR$56,"&gt;="&amp;30)=0,0,SUP_CONTROL!$C$8*IF($B37="V",1,IF($B37="D",(1+SUP_VOLUMEN!$C$26),(1+SUP_VOLUMEN!$C$27)))*INDEX(SUP_C3_EXPANSION!$C$6:$F$6,MIN(4,COUNTIF(CAPA3_EXPANSION!$D$56:DR$56,"&gt;="&amp;30)))*CAPA3_EXPANSION!DR$36)</f>
        <v>5656.5599999999995</v>
      </c>
      <c r="DS37" s="88">
        <f>IF(COUNTIF(CAPA3_EXPANSION!$D$56:DS$56,"&gt;="&amp;30)=0,0,SUP_CONTROL!$C$8*IF($B37="V",1,IF($B37="D",(1+SUP_VOLUMEN!$C$26),(1+SUP_VOLUMEN!$C$27)))*INDEX(SUP_C3_EXPANSION!$C$6:$F$6,MIN(4,COUNTIF(CAPA3_EXPANSION!$D$56:DS$56,"&gt;="&amp;30)))*CAPA3_EXPANSION!DS$36)</f>
        <v>5656.5599999999995</v>
      </c>
    </row>
    <row r="38" spans="1:123" ht="15" customHeight="1" x14ac:dyDescent="0.2">
      <c r="A38" s="88">
        <v>41</v>
      </c>
      <c r="B38" s="104" t="str">
        <f>SUP_C3_EXPANSION!B50</f>
        <v>V</v>
      </c>
      <c r="C38" s="73">
        <f>SUP_C3_EXPANSION!G50</f>
        <v>66</v>
      </c>
      <c r="D38" s="88">
        <f>IF(COUNTIF(CAPA3_EXPANSION!$D$56:D$56,"&gt;="&amp;31)=0,0,SUP_CONTROL!$C$8*IF($B38="V",1,IF($B38="D",(1+SUP_VOLUMEN!$C$26),(1+SUP_VOLUMEN!$C$27)))*INDEX(SUP_C3_EXPANSION!$C$6:$F$6,MIN(4,COUNTIF(CAPA3_EXPANSION!$D$56:D$56,"&gt;="&amp;31)))*CAPA3_EXPANSION!D$36)</f>
        <v>0</v>
      </c>
      <c r="E38" s="88">
        <f>IF(COUNTIF(CAPA3_EXPANSION!$D$56:E$56,"&gt;="&amp;31)=0,0,SUP_CONTROL!$C$8*IF($B38="V",1,IF($B38="D",(1+SUP_VOLUMEN!$C$26),(1+SUP_VOLUMEN!$C$27)))*INDEX(SUP_C3_EXPANSION!$C$6:$F$6,MIN(4,COUNTIF(CAPA3_EXPANSION!$D$56:E$56,"&gt;="&amp;31)))*CAPA3_EXPANSION!E$36)</f>
        <v>0</v>
      </c>
      <c r="F38" s="88">
        <f>IF(COUNTIF(CAPA3_EXPANSION!$D$56:F$56,"&gt;="&amp;31)=0,0,SUP_CONTROL!$C$8*IF($B38="V",1,IF($B38="D",(1+SUP_VOLUMEN!$C$26),(1+SUP_VOLUMEN!$C$27)))*INDEX(SUP_C3_EXPANSION!$C$6:$F$6,MIN(4,COUNTIF(CAPA3_EXPANSION!$D$56:F$56,"&gt;="&amp;31)))*CAPA3_EXPANSION!F$36)</f>
        <v>0</v>
      </c>
      <c r="G38" s="88">
        <f>IF(COUNTIF(CAPA3_EXPANSION!$D$56:G$56,"&gt;="&amp;31)=0,0,SUP_CONTROL!$C$8*IF($B38="V",1,IF($B38="D",(1+SUP_VOLUMEN!$C$26),(1+SUP_VOLUMEN!$C$27)))*INDEX(SUP_C3_EXPANSION!$C$6:$F$6,MIN(4,COUNTIF(CAPA3_EXPANSION!$D$56:G$56,"&gt;="&amp;31)))*CAPA3_EXPANSION!G$36)</f>
        <v>0</v>
      </c>
      <c r="H38" s="88">
        <f>IF(COUNTIF(CAPA3_EXPANSION!$D$56:H$56,"&gt;="&amp;31)=0,0,SUP_CONTROL!$C$8*IF($B38="V",1,IF($B38="D",(1+SUP_VOLUMEN!$C$26),(1+SUP_VOLUMEN!$C$27)))*INDEX(SUP_C3_EXPANSION!$C$6:$F$6,MIN(4,COUNTIF(CAPA3_EXPANSION!$D$56:H$56,"&gt;="&amp;31)))*CAPA3_EXPANSION!H$36)</f>
        <v>0</v>
      </c>
      <c r="I38" s="88">
        <f>IF(COUNTIF(CAPA3_EXPANSION!$D$56:I$56,"&gt;="&amp;31)=0,0,SUP_CONTROL!$C$8*IF($B38="V",1,IF($B38="D",(1+SUP_VOLUMEN!$C$26),(1+SUP_VOLUMEN!$C$27)))*INDEX(SUP_C3_EXPANSION!$C$6:$F$6,MIN(4,COUNTIF(CAPA3_EXPANSION!$D$56:I$56,"&gt;="&amp;31)))*CAPA3_EXPANSION!I$36)</f>
        <v>0</v>
      </c>
      <c r="J38" s="88">
        <f>IF(COUNTIF(CAPA3_EXPANSION!$D$56:J$56,"&gt;="&amp;31)=0,0,SUP_CONTROL!$C$8*IF($B38="V",1,IF($B38="D",(1+SUP_VOLUMEN!$C$26),(1+SUP_VOLUMEN!$C$27)))*INDEX(SUP_C3_EXPANSION!$C$6:$F$6,MIN(4,COUNTIF(CAPA3_EXPANSION!$D$56:J$56,"&gt;="&amp;31)))*CAPA3_EXPANSION!J$36)</f>
        <v>0</v>
      </c>
      <c r="K38" s="88">
        <f>IF(COUNTIF(CAPA3_EXPANSION!$D$56:K$56,"&gt;="&amp;31)=0,0,SUP_CONTROL!$C$8*IF($B38="V",1,IF($B38="D",(1+SUP_VOLUMEN!$C$26),(1+SUP_VOLUMEN!$C$27)))*INDEX(SUP_C3_EXPANSION!$C$6:$F$6,MIN(4,COUNTIF(CAPA3_EXPANSION!$D$56:K$56,"&gt;="&amp;31)))*CAPA3_EXPANSION!K$36)</f>
        <v>0</v>
      </c>
      <c r="L38" s="88">
        <f>IF(COUNTIF(CAPA3_EXPANSION!$D$56:L$56,"&gt;="&amp;31)=0,0,SUP_CONTROL!$C$8*IF($B38="V",1,IF($B38="D",(1+SUP_VOLUMEN!$C$26),(1+SUP_VOLUMEN!$C$27)))*INDEX(SUP_C3_EXPANSION!$C$6:$F$6,MIN(4,COUNTIF(CAPA3_EXPANSION!$D$56:L$56,"&gt;="&amp;31)))*CAPA3_EXPANSION!L$36)</f>
        <v>0</v>
      </c>
      <c r="M38" s="88">
        <f>IF(COUNTIF(CAPA3_EXPANSION!$D$56:M$56,"&gt;="&amp;31)=0,0,SUP_CONTROL!$C$8*IF($B38="V",1,IF($B38="D",(1+SUP_VOLUMEN!$C$26),(1+SUP_VOLUMEN!$C$27)))*INDEX(SUP_C3_EXPANSION!$C$6:$F$6,MIN(4,COUNTIF(CAPA3_EXPANSION!$D$56:M$56,"&gt;="&amp;31)))*CAPA3_EXPANSION!M$36)</f>
        <v>0</v>
      </c>
      <c r="N38" s="88">
        <f>IF(COUNTIF(CAPA3_EXPANSION!$D$56:N$56,"&gt;="&amp;31)=0,0,SUP_CONTROL!$C$8*IF($B38="V",1,IF($B38="D",(1+SUP_VOLUMEN!$C$26),(1+SUP_VOLUMEN!$C$27)))*INDEX(SUP_C3_EXPANSION!$C$6:$F$6,MIN(4,COUNTIF(CAPA3_EXPANSION!$D$56:N$56,"&gt;="&amp;31)))*CAPA3_EXPANSION!N$36)</f>
        <v>0</v>
      </c>
      <c r="O38" s="88">
        <f>IF(COUNTIF(CAPA3_EXPANSION!$D$56:O$56,"&gt;="&amp;31)=0,0,SUP_CONTROL!$C$8*IF($B38="V",1,IF($B38="D",(1+SUP_VOLUMEN!$C$26),(1+SUP_VOLUMEN!$C$27)))*INDEX(SUP_C3_EXPANSION!$C$6:$F$6,MIN(4,COUNTIF(CAPA3_EXPANSION!$D$56:O$56,"&gt;="&amp;31)))*CAPA3_EXPANSION!O$36)</f>
        <v>0</v>
      </c>
      <c r="P38" s="88">
        <f>IF(COUNTIF(CAPA3_EXPANSION!$D$56:P$56,"&gt;="&amp;31)=0,0,SUP_CONTROL!$C$8*IF($B38="V",1,IF($B38="D",(1+SUP_VOLUMEN!$C$26),(1+SUP_VOLUMEN!$C$27)))*INDEX(SUP_C3_EXPANSION!$C$6:$F$6,MIN(4,COUNTIF(CAPA3_EXPANSION!$D$56:P$56,"&gt;="&amp;31)))*CAPA3_EXPANSION!P$36)</f>
        <v>0</v>
      </c>
      <c r="Q38" s="88">
        <f>IF(COUNTIF(CAPA3_EXPANSION!$D$56:Q$56,"&gt;="&amp;31)=0,0,SUP_CONTROL!$C$8*IF($B38="V",1,IF($B38="D",(1+SUP_VOLUMEN!$C$26),(1+SUP_VOLUMEN!$C$27)))*INDEX(SUP_C3_EXPANSION!$C$6:$F$6,MIN(4,COUNTIF(CAPA3_EXPANSION!$D$56:Q$56,"&gt;="&amp;31)))*CAPA3_EXPANSION!Q$36)</f>
        <v>0</v>
      </c>
      <c r="R38" s="88">
        <f>IF(COUNTIF(CAPA3_EXPANSION!$D$56:R$56,"&gt;="&amp;31)=0,0,SUP_CONTROL!$C$8*IF($B38="V",1,IF($B38="D",(1+SUP_VOLUMEN!$C$26),(1+SUP_VOLUMEN!$C$27)))*INDEX(SUP_C3_EXPANSION!$C$6:$F$6,MIN(4,COUNTIF(CAPA3_EXPANSION!$D$56:R$56,"&gt;="&amp;31)))*CAPA3_EXPANSION!R$36)</f>
        <v>0</v>
      </c>
      <c r="S38" s="88">
        <f>IF(COUNTIF(CAPA3_EXPANSION!$D$56:S$56,"&gt;="&amp;31)=0,0,SUP_CONTROL!$C$8*IF($B38="V",1,IF($B38="D",(1+SUP_VOLUMEN!$C$26),(1+SUP_VOLUMEN!$C$27)))*INDEX(SUP_C3_EXPANSION!$C$6:$F$6,MIN(4,COUNTIF(CAPA3_EXPANSION!$D$56:S$56,"&gt;="&amp;31)))*CAPA3_EXPANSION!S$36)</f>
        <v>0</v>
      </c>
      <c r="T38" s="88">
        <f>IF(COUNTIF(CAPA3_EXPANSION!$D$56:T$56,"&gt;="&amp;31)=0,0,SUP_CONTROL!$C$8*IF($B38="V",1,IF($B38="D",(1+SUP_VOLUMEN!$C$26),(1+SUP_VOLUMEN!$C$27)))*INDEX(SUP_C3_EXPANSION!$C$6:$F$6,MIN(4,COUNTIF(CAPA3_EXPANSION!$D$56:T$56,"&gt;="&amp;31)))*CAPA3_EXPANSION!T$36)</f>
        <v>0</v>
      </c>
      <c r="U38" s="88">
        <f>IF(COUNTIF(CAPA3_EXPANSION!$D$56:U$56,"&gt;="&amp;31)=0,0,SUP_CONTROL!$C$8*IF($B38="V",1,IF($B38="D",(1+SUP_VOLUMEN!$C$26),(1+SUP_VOLUMEN!$C$27)))*INDEX(SUP_C3_EXPANSION!$C$6:$F$6,MIN(4,COUNTIF(CAPA3_EXPANSION!$D$56:U$56,"&gt;="&amp;31)))*CAPA3_EXPANSION!U$36)</f>
        <v>0</v>
      </c>
      <c r="V38" s="88">
        <f>IF(COUNTIF(CAPA3_EXPANSION!$D$56:V$56,"&gt;="&amp;31)=0,0,SUP_CONTROL!$C$8*IF($B38="V",1,IF($B38="D",(1+SUP_VOLUMEN!$C$26),(1+SUP_VOLUMEN!$C$27)))*INDEX(SUP_C3_EXPANSION!$C$6:$F$6,MIN(4,COUNTIF(CAPA3_EXPANSION!$D$56:V$56,"&gt;="&amp;31)))*CAPA3_EXPANSION!V$36)</f>
        <v>0</v>
      </c>
      <c r="W38" s="88">
        <f>IF(COUNTIF(CAPA3_EXPANSION!$D$56:W$56,"&gt;="&amp;31)=0,0,SUP_CONTROL!$C$8*IF($B38="V",1,IF($B38="D",(1+SUP_VOLUMEN!$C$26),(1+SUP_VOLUMEN!$C$27)))*INDEX(SUP_C3_EXPANSION!$C$6:$F$6,MIN(4,COUNTIF(CAPA3_EXPANSION!$D$56:W$56,"&gt;="&amp;31)))*CAPA3_EXPANSION!W$36)</f>
        <v>0</v>
      </c>
      <c r="X38" s="88">
        <f>IF(COUNTIF(CAPA3_EXPANSION!$D$56:X$56,"&gt;="&amp;31)=0,0,SUP_CONTROL!$C$8*IF($B38="V",1,IF($B38="D",(1+SUP_VOLUMEN!$C$26),(1+SUP_VOLUMEN!$C$27)))*INDEX(SUP_C3_EXPANSION!$C$6:$F$6,MIN(4,COUNTIF(CAPA3_EXPANSION!$D$56:X$56,"&gt;="&amp;31)))*CAPA3_EXPANSION!X$36)</f>
        <v>0</v>
      </c>
      <c r="Y38" s="88">
        <f>IF(COUNTIF(CAPA3_EXPANSION!$D$56:Y$56,"&gt;="&amp;31)=0,0,SUP_CONTROL!$C$8*IF($B38="V",1,IF($B38="D",(1+SUP_VOLUMEN!$C$26),(1+SUP_VOLUMEN!$C$27)))*INDEX(SUP_C3_EXPANSION!$C$6:$F$6,MIN(4,COUNTIF(CAPA3_EXPANSION!$D$56:Y$56,"&gt;="&amp;31)))*CAPA3_EXPANSION!Y$36)</f>
        <v>0</v>
      </c>
      <c r="Z38" s="88">
        <f>IF(COUNTIF(CAPA3_EXPANSION!$D$56:Z$56,"&gt;="&amp;31)=0,0,SUP_CONTROL!$C$8*IF($B38="V",1,IF($B38="D",(1+SUP_VOLUMEN!$C$26),(1+SUP_VOLUMEN!$C$27)))*INDEX(SUP_C3_EXPANSION!$C$6:$F$6,MIN(4,COUNTIF(CAPA3_EXPANSION!$D$56:Z$56,"&gt;="&amp;31)))*CAPA3_EXPANSION!Z$36)</f>
        <v>0</v>
      </c>
      <c r="AA38" s="88">
        <f>IF(COUNTIF(CAPA3_EXPANSION!$D$56:AA$56,"&gt;="&amp;31)=0,0,SUP_CONTROL!$C$8*IF($B38="V",1,IF($B38="D",(1+SUP_VOLUMEN!$C$26),(1+SUP_VOLUMEN!$C$27)))*INDEX(SUP_C3_EXPANSION!$C$6:$F$6,MIN(4,COUNTIF(CAPA3_EXPANSION!$D$56:AA$56,"&gt;="&amp;31)))*CAPA3_EXPANSION!AA$36)</f>
        <v>0</v>
      </c>
      <c r="AB38" s="88">
        <f>IF(COUNTIF(CAPA3_EXPANSION!$D$56:AB$56,"&gt;="&amp;31)=0,0,SUP_CONTROL!$C$8*IF($B38="V",1,IF($B38="D",(1+SUP_VOLUMEN!$C$26),(1+SUP_VOLUMEN!$C$27)))*INDEX(SUP_C3_EXPANSION!$C$6:$F$6,MIN(4,COUNTIF(CAPA3_EXPANSION!$D$56:AB$56,"&gt;="&amp;31)))*CAPA3_EXPANSION!AB$36)</f>
        <v>0</v>
      </c>
      <c r="AC38" s="88">
        <f>IF(COUNTIF(CAPA3_EXPANSION!$D$56:AC$56,"&gt;="&amp;31)=0,0,SUP_CONTROL!$C$8*IF($B38="V",1,IF($B38="D",(1+SUP_VOLUMEN!$C$26),(1+SUP_VOLUMEN!$C$27)))*INDEX(SUP_C3_EXPANSION!$C$6:$F$6,MIN(4,COUNTIF(CAPA3_EXPANSION!$D$56:AC$56,"&gt;="&amp;31)))*CAPA3_EXPANSION!AC$36)</f>
        <v>0</v>
      </c>
      <c r="AD38" s="88">
        <f>IF(COUNTIF(CAPA3_EXPANSION!$D$56:AD$56,"&gt;="&amp;31)=0,0,SUP_CONTROL!$C$8*IF($B38="V",1,IF($B38="D",(1+SUP_VOLUMEN!$C$26),(1+SUP_VOLUMEN!$C$27)))*INDEX(SUP_C3_EXPANSION!$C$6:$F$6,MIN(4,COUNTIF(CAPA3_EXPANSION!$D$56:AD$56,"&gt;="&amp;31)))*CAPA3_EXPANSION!AD$36)</f>
        <v>0</v>
      </c>
      <c r="AE38" s="88">
        <f>IF(COUNTIF(CAPA3_EXPANSION!$D$56:AE$56,"&gt;="&amp;31)=0,0,SUP_CONTROL!$C$8*IF($B38="V",1,IF($B38="D",(1+SUP_VOLUMEN!$C$26),(1+SUP_VOLUMEN!$C$27)))*INDEX(SUP_C3_EXPANSION!$C$6:$F$6,MIN(4,COUNTIF(CAPA3_EXPANSION!$D$56:AE$56,"&gt;="&amp;31)))*CAPA3_EXPANSION!AE$36)</f>
        <v>0</v>
      </c>
      <c r="AF38" s="88">
        <f>IF(COUNTIF(CAPA3_EXPANSION!$D$56:AF$56,"&gt;="&amp;31)=0,0,SUP_CONTROL!$C$8*IF($B38="V",1,IF($B38="D",(1+SUP_VOLUMEN!$C$26),(1+SUP_VOLUMEN!$C$27)))*INDEX(SUP_C3_EXPANSION!$C$6:$F$6,MIN(4,COUNTIF(CAPA3_EXPANSION!$D$56:AF$56,"&gt;="&amp;31)))*CAPA3_EXPANSION!AF$36)</f>
        <v>0</v>
      </c>
      <c r="AG38" s="88">
        <f>IF(COUNTIF(CAPA3_EXPANSION!$D$56:AG$56,"&gt;="&amp;31)=0,0,SUP_CONTROL!$C$8*IF($B38="V",1,IF($B38="D",(1+SUP_VOLUMEN!$C$26),(1+SUP_VOLUMEN!$C$27)))*INDEX(SUP_C3_EXPANSION!$C$6:$F$6,MIN(4,COUNTIF(CAPA3_EXPANSION!$D$56:AG$56,"&gt;="&amp;31)))*CAPA3_EXPANSION!AG$36)</f>
        <v>0</v>
      </c>
      <c r="AH38" s="88">
        <f>IF(COUNTIF(CAPA3_EXPANSION!$D$56:AH$56,"&gt;="&amp;31)=0,0,SUP_CONTROL!$C$8*IF($B38="V",1,IF($B38="D",(1+SUP_VOLUMEN!$C$26),(1+SUP_VOLUMEN!$C$27)))*INDEX(SUP_C3_EXPANSION!$C$6:$F$6,MIN(4,COUNTIF(CAPA3_EXPANSION!$D$56:AH$56,"&gt;="&amp;31)))*CAPA3_EXPANSION!AH$36)</f>
        <v>0</v>
      </c>
      <c r="AI38" s="88">
        <f>IF(COUNTIF(CAPA3_EXPANSION!$D$56:AI$56,"&gt;="&amp;31)=0,0,SUP_CONTROL!$C$8*IF($B38="V",1,IF($B38="D",(1+SUP_VOLUMEN!$C$26),(1+SUP_VOLUMEN!$C$27)))*INDEX(SUP_C3_EXPANSION!$C$6:$F$6,MIN(4,COUNTIF(CAPA3_EXPANSION!$D$56:AI$56,"&gt;="&amp;31)))*CAPA3_EXPANSION!AI$36)</f>
        <v>0</v>
      </c>
      <c r="AJ38" s="88">
        <f>IF(COUNTIF(CAPA3_EXPANSION!$D$56:AJ$56,"&gt;="&amp;31)=0,0,SUP_CONTROL!$C$8*IF($B38="V",1,IF($B38="D",(1+SUP_VOLUMEN!$C$26),(1+SUP_VOLUMEN!$C$27)))*INDEX(SUP_C3_EXPANSION!$C$6:$F$6,MIN(4,COUNTIF(CAPA3_EXPANSION!$D$56:AJ$56,"&gt;="&amp;31)))*CAPA3_EXPANSION!AJ$36)</f>
        <v>0</v>
      </c>
      <c r="AK38" s="88">
        <f>IF(COUNTIF(CAPA3_EXPANSION!$D$56:AK$56,"&gt;="&amp;31)=0,0,SUP_CONTROL!$C$8*IF($B38="V",1,IF($B38="D",(1+SUP_VOLUMEN!$C$26),(1+SUP_VOLUMEN!$C$27)))*INDEX(SUP_C3_EXPANSION!$C$6:$F$6,MIN(4,COUNTIF(CAPA3_EXPANSION!$D$56:AK$56,"&gt;="&amp;31)))*CAPA3_EXPANSION!AK$36)</f>
        <v>0</v>
      </c>
      <c r="AL38" s="88">
        <f>IF(COUNTIF(CAPA3_EXPANSION!$D$56:AL$56,"&gt;="&amp;31)=0,0,SUP_CONTROL!$C$8*IF($B38="V",1,IF($B38="D",(1+SUP_VOLUMEN!$C$26),(1+SUP_VOLUMEN!$C$27)))*INDEX(SUP_C3_EXPANSION!$C$6:$F$6,MIN(4,COUNTIF(CAPA3_EXPANSION!$D$56:AL$56,"&gt;="&amp;31)))*CAPA3_EXPANSION!AL$36)</f>
        <v>0</v>
      </c>
      <c r="AM38" s="88">
        <f>IF(COUNTIF(CAPA3_EXPANSION!$D$56:AM$56,"&gt;="&amp;31)=0,0,SUP_CONTROL!$C$8*IF($B38="V",1,IF($B38="D",(1+SUP_VOLUMEN!$C$26),(1+SUP_VOLUMEN!$C$27)))*INDEX(SUP_C3_EXPANSION!$C$6:$F$6,MIN(4,COUNTIF(CAPA3_EXPANSION!$D$56:AM$56,"&gt;="&amp;31)))*CAPA3_EXPANSION!AM$36)</f>
        <v>0</v>
      </c>
      <c r="AN38" s="88">
        <f>IF(COUNTIF(CAPA3_EXPANSION!$D$56:AN$56,"&gt;="&amp;31)=0,0,SUP_CONTROL!$C$8*IF($B38="V",1,IF($B38="D",(1+SUP_VOLUMEN!$C$26),(1+SUP_VOLUMEN!$C$27)))*INDEX(SUP_C3_EXPANSION!$C$6:$F$6,MIN(4,COUNTIF(CAPA3_EXPANSION!$D$56:AN$56,"&gt;="&amp;31)))*CAPA3_EXPANSION!AN$36)</f>
        <v>0</v>
      </c>
      <c r="AO38" s="88">
        <f>IF(COUNTIF(CAPA3_EXPANSION!$D$56:AO$56,"&gt;="&amp;31)=0,0,SUP_CONTROL!$C$8*IF($B38="V",1,IF($B38="D",(1+SUP_VOLUMEN!$C$26),(1+SUP_VOLUMEN!$C$27)))*INDEX(SUP_C3_EXPANSION!$C$6:$F$6,MIN(4,COUNTIF(CAPA3_EXPANSION!$D$56:AO$56,"&gt;="&amp;31)))*CAPA3_EXPANSION!AO$36)</f>
        <v>0</v>
      </c>
      <c r="AP38" s="88">
        <f>IF(COUNTIF(CAPA3_EXPANSION!$D$56:AP$56,"&gt;="&amp;31)=0,0,SUP_CONTROL!$C$8*IF($B38="V",1,IF($B38="D",(1+SUP_VOLUMEN!$C$26),(1+SUP_VOLUMEN!$C$27)))*INDEX(SUP_C3_EXPANSION!$C$6:$F$6,MIN(4,COUNTIF(CAPA3_EXPANSION!$D$56:AP$56,"&gt;="&amp;31)))*CAPA3_EXPANSION!AP$36)</f>
        <v>0</v>
      </c>
      <c r="AQ38" s="88">
        <f>IF(COUNTIF(CAPA3_EXPANSION!$D$56:AQ$56,"&gt;="&amp;31)=0,0,SUP_CONTROL!$C$8*IF($B38="V",1,IF($B38="D",(1+SUP_VOLUMEN!$C$26),(1+SUP_VOLUMEN!$C$27)))*INDEX(SUP_C3_EXPANSION!$C$6:$F$6,MIN(4,COUNTIF(CAPA3_EXPANSION!$D$56:AQ$56,"&gt;="&amp;31)))*CAPA3_EXPANSION!AQ$36)</f>
        <v>0</v>
      </c>
      <c r="AR38" s="88">
        <f>IF(COUNTIF(CAPA3_EXPANSION!$D$56:AR$56,"&gt;="&amp;31)=0,0,SUP_CONTROL!$C$8*IF($B38="V",1,IF($B38="D",(1+SUP_VOLUMEN!$C$26),(1+SUP_VOLUMEN!$C$27)))*INDEX(SUP_C3_EXPANSION!$C$6:$F$6,MIN(4,COUNTIF(CAPA3_EXPANSION!$D$56:AR$56,"&gt;="&amp;31)))*CAPA3_EXPANSION!AR$36)</f>
        <v>0</v>
      </c>
      <c r="AS38" s="88">
        <f>IF(COUNTIF(CAPA3_EXPANSION!$D$56:AS$56,"&gt;="&amp;31)=0,0,SUP_CONTROL!$C$8*IF($B38="V",1,IF($B38="D",(1+SUP_VOLUMEN!$C$26),(1+SUP_VOLUMEN!$C$27)))*INDEX(SUP_C3_EXPANSION!$C$6:$F$6,MIN(4,COUNTIF(CAPA3_EXPANSION!$D$56:AS$56,"&gt;="&amp;31)))*CAPA3_EXPANSION!AS$36)</f>
        <v>0</v>
      </c>
      <c r="AT38" s="88">
        <f>IF(COUNTIF(CAPA3_EXPANSION!$D$56:AT$56,"&gt;="&amp;31)=0,0,SUP_CONTROL!$C$8*IF($B38="V",1,IF($B38="D",(1+SUP_VOLUMEN!$C$26),(1+SUP_VOLUMEN!$C$27)))*INDEX(SUP_C3_EXPANSION!$C$6:$F$6,MIN(4,COUNTIF(CAPA3_EXPANSION!$D$56:AT$56,"&gt;="&amp;31)))*CAPA3_EXPANSION!AT$36)</f>
        <v>0</v>
      </c>
      <c r="AU38" s="88">
        <f>IF(COUNTIF(CAPA3_EXPANSION!$D$56:AU$56,"&gt;="&amp;31)=0,0,SUP_CONTROL!$C$8*IF($B38="V",1,IF($B38="D",(1+SUP_VOLUMEN!$C$26),(1+SUP_VOLUMEN!$C$27)))*INDEX(SUP_C3_EXPANSION!$C$6:$F$6,MIN(4,COUNTIF(CAPA3_EXPANSION!$D$56:AU$56,"&gt;="&amp;31)))*CAPA3_EXPANSION!AU$36)</f>
        <v>0</v>
      </c>
      <c r="AV38" s="88">
        <f>IF(COUNTIF(CAPA3_EXPANSION!$D$56:AV$56,"&gt;="&amp;31)=0,0,SUP_CONTROL!$C$8*IF($B38="V",1,IF($B38="D",(1+SUP_VOLUMEN!$C$26),(1+SUP_VOLUMEN!$C$27)))*INDEX(SUP_C3_EXPANSION!$C$6:$F$6,MIN(4,COUNTIF(CAPA3_EXPANSION!$D$56:AV$56,"&gt;="&amp;31)))*CAPA3_EXPANSION!AV$36)</f>
        <v>0</v>
      </c>
      <c r="AW38" s="88">
        <f>IF(COUNTIF(CAPA3_EXPANSION!$D$56:AW$56,"&gt;="&amp;31)=0,0,SUP_CONTROL!$C$8*IF($B38="V",1,IF($B38="D",(1+SUP_VOLUMEN!$C$26),(1+SUP_VOLUMEN!$C$27)))*INDEX(SUP_C3_EXPANSION!$C$6:$F$6,MIN(4,COUNTIF(CAPA3_EXPANSION!$D$56:AW$56,"&gt;="&amp;31)))*CAPA3_EXPANSION!AW$36)</f>
        <v>0</v>
      </c>
      <c r="AX38" s="88">
        <f>IF(COUNTIF(CAPA3_EXPANSION!$D$56:AX$56,"&gt;="&amp;31)=0,0,SUP_CONTROL!$C$8*IF($B38="V",1,IF($B38="D",(1+SUP_VOLUMEN!$C$26),(1+SUP_VOLUMEN!$C$27)))*INDEX(SUP_C3_EXPANSION!$C$6:$F$6,MIN(4,COUNTIF(CAPA3_EXPANSION!$D$56:AX$56,"&gt;="&amp;31)))*CAPA3_EXPANSION!AX$36)</f>
        <v>0</v>
      </c>
      <c r="AY38" s="88">
        <f>IF(COUNTIF(CAPA3_EXPANSION!$D$56:AY$56,"&gt;="&amp;31)=0,0,SUP_CONTROL!$C$8*IF($B38="V",1,IF($B38="D",(1+SUP_VOLUMEN!$C$26),(1+SUP_VOLUMEN!$C$27)))*INDEX(SUP_C3_EXPANSION!$C$6:$F$6,MIN(4,COUNTIF(CAPA3_EXPANSION!$D$56:AY$56,"&gt;="&amp;31)))*CAPA3_EXPANSION!AY$36)</f>
        <v>0</v>
      </c>
      <c r="AZ38" s="88">
        <f>IF(COUNTIF(CAPA3_EXPANSION!$D$56:AZ$56,"&gt;="&amp;31)=0,0,SUP_CONTROL!$C$8*IF($B38="V",1,IF($B38="D",(1+SUP_VOLUMEN!$C$26),(1+SUP_VOLUMEN!$C$27)))*INDEX(SUP_C3_EXPANSION!$C$6:$F$6,MIN(4,COUNTIF(CAPA3_EXPANSION!$D$56:AZ$56,"&gt;="&amp;31)))*CAPA3_EXPANSION!AZ$36)</f>
        <v>0</v>
      </c>
      <c r="BA38" s="88">
        <f>IF(COUNTIF(CAPA3_EXPANSION!$D$56:BA$56,"&gt;="&amp;31)=0,0,SUP_CONTROL!$C$8*IF($B38="V",1,IF($B38="D",(1+SUP_VOLUMEN!$C$26),(1+SUP_VOLUMEN!$C$27)))*INDEX(SUP_C3_EXPANSION!$C$6:$F$6,MIN(4,COUNTIF(CAPA3_EXPANSION!$D$56:BA$56,"&gt;="&amp;31)))*CAPA3_EXPANSION!BA$36)</f>
        <v>0</v>
      </c>
      <c r="BB38" s="88">
        <f>IF(COUNTIF(CAPA3_EXPANSION!$D$56:BB$56,"&gt;="&amp;31)=0,0,SUP_CONTROL!$C$8*IF($B38="V",1,IF($B38="D",(1+SUP_VOLUMEN!$C$26),(1+SUP_VOLUMEN!$C$27)))*INDEX(SUP_C3_EXPANSION!$C$6:$F$6,MIN(4,COUNTIF(CAPA3_EXPANSION!$D$56:BB$56,"&gt;="&amp;31)))*CAPA3_EXPANSION!BB$36)</f>
        <v>0</v>
      </c>
      <c r="BC38" s="88">
        <f>IF(COUNTIF(CAPA3_EXPANSION!$D$56:BC$56,"&gt;="&amp;31)=0,0,SUP_CONTROL!$C$8*IF($B38="V",1,IF($B38="D",(1+SUP_VOLUMEN!$C$26),(1+SUP_VOLUMEN!$C$27)))*INDEX(SUP_C3_EXPANSION!$C$6:$F$6,MIN(4,COUNTIF(CAPA3_EXPANSION!$D$56:BC$56,"&gt;="&amp;31)))*CAPA3_EXPANSION!BC$36)</f>
        <v>0</v>
      </c>
      <c r="BD38" s="88">
        <f>IF(COUNTIF(CAPA3_EXPANSION!$D$56:BD$56,"&gt;="&amp;31)=0,0,SUP_CONTROL!$C$8*IF($B38="V",1,IF($B38="D",(1+SUP_VOLUMEN!$C$26),(1+SUP_VOLUMEN!$C$27)))*INDEX(SUP_C3_EXPANSION!$C$6:$F$6,MIN(4,COUNTIF(CAPA3_EXPANSION!$D$56:BD$56,"&gt;="&amp;31)))*CAPA3_EXPANSION!BD$36)</f>
        <v>0</v>
      </c>
      <c r="BE38" s="88">
        <f>IF(COUNTIF(CAPA3_EXPANSION!$D$56:BE$56,"&gt;="&amp;31)=0,0,SUP_CONTROL!$C$8*IF($B38="V",1,IF($B38="D",(1+SUP_VOLUMEN!$C$26),(1+SUP_VOLUMEN!$C$27)))*INDEX(SUP_C3_EXPANSION!$C$6:$F$6,MIN(4,COUNTIF(CAPA3_EXPANSION!$D$56:BE$56,"&gt;="&amp;31)))*CAPA3_EXPANSION!BE$36)</f>
        <v>0</v>
      </c>
      <c r="BF38" s="88">
        <f>IF(COUNTIF(CAPA3_EXPANSION!$D$56:BF$56,"&gt;="&amp;31)=0,0,SUP_CONTROL!$C$8*IF($B38="V",1,IF($B38="D",(1+SUP_VOLUMEN!$C$26),(1+SUP_VOLUMEN!$C$27)))*INDEX(SUP_C3_EXPANSION!$C$6:$F$6,MIN(4,COUNTIF(CAPA3_EXPANSION!$D$56:BF$56,"&gt;="&amp;31)))*CAPA3_EXPANSION!BF$36)</f>
        <v>0</v>
      </c>
      <c r="BG38" s="88">
        <f>IF(COUNTIF(CAPA3_EXPANSION!$D$56:BG$56,"&gt;="&amp;31)=0,0,SUP_CONTROL!$C$8*IF($B38="V",1,IF($B38="D",(1+SUP_VOLUMEN!$C$26),(1+SUP_VOLUMEN!$C$27)))*INDEX(SUP_C3_EXPANSION!$C$6:$F$6,MIN(4,COUNTIF(CAPA3_EXPANSION!$D$56:BG$56,"&gt;="&amp;31)))*CAPA3_EXPANSION!BG$36)</f>
        <v>0</v>
      </c>
      <c r="BH38" s="88">
        <f>IF(COUNTIF(CAPA3_EXPANSION!$D$56:BH$56,"&gt;="&amp;31)=0,0,SUP_CONTROL!$C$8*IF($B38="V",1,IF($B38="D",(1+SUP_VOLUMEN!$C$26),(1+SUP_VOLUMEN!$C$27)))*INDEX(SUP_C3_EXPANSION!$C$6:$F$6,MIN(4,COUNTIF(CAPA3_EXPANSION!$D$56:BH$56,"&gt;="&amp;31)))*CAPA3_EXPANSION!BH$36)</f>
        <v>0</v>
      </c>
      <c r="BI38" s="88">
        <f>IF(COUNTIF(CAPA3_EXPANSION!$D$56:BI$56,"&gt;="&amp;31)=0,0,SUP_CONTROL!$C$8*IF($B38="V",1,IF($B38="D",(1+SUP_VOLUMEN!$C$26),(1+SUP_VOLUMEN!$C$27)))*INDEX(SUP_C3_EXPANSION!$C$6:$F$6,MIN(4,COUNTIF(CAPA3_EXPANSION!$D$56:BI$56,"&gt;="&amp;31)))*CAPA3_EXPANSION!BI$36)</f>
        <v>0</v>
      </c>
      <c r="BJ38" s="88">
        <f>IF(COUNTIF(CAPA3_EXPANSION!$D$56:BJ$56,"&gt;="&amp;31)=0,0,SUP_CONTROL!$C$8*IF($B38="V",1,IF($B38="D",(1+SUP_VOLUMEN!$C$26),(1+SUP_VOLUMEN!$C$27)))*INDEX(SUP_C3_EXPANSION!$C$6:$F$6,MIN(4,COUNTIF(CAPA3_EXPANSION!$D$56:BJ$56,"&gt;="&amp;31)))*CAPA3_EXPANSION!BJ$36)</f>
        <v>0</v>
      </c>
      <c r="BK38" s="88">
        <f>IF(COUNTIF(CAPA3_EXPANSION!$D$56:BK$56,"&gt;="&amp;31)=0,0,SUP_CONTROL!$C$8*IF($B38="V",1,IF($B38="D",(1+SUP_VOLUMEN!$C$26),(1+SUP_VOLUMEN!$C$27)))*INDEX(SUP_C3_EXPANSION!$C$6:$F$6,MIN(4,COUNTIF(CAPA3_EXPANSION!$D$56:BK$56,"&gt;="&amp;31)))*CAPA3_EXPANSION!BK$36)</f>
        <v>0</v>
      </c>
      <c r="BL38" s="88">
        <f>IF(COUNTIF(CAPA3_EXPANSION!$D$56:BL$56,"&gt;="&amp;31)=0,0,SUP_CONTROL!$C$8*IF($B38="V",1,IF($B38="D",(1+SUP_VOLUMEN!$C$26),(1+SUP_VOLUMEN!$C$27)))*INDEX(SUP_C3_EXPANSION!$C$6:$F$6,MIN(4,COUNTIF(CAPA3_EXPANSION!$D$56:BL$56,"&gt;="&amp;31)))*CAPA3_EXPANSION!BL$36)</f>
        <v>0</v>
      </c>
      <c r="BM38" s="88">
        <f>IF(COUNTIF(CAPA3_EXPANSION!$D$56:BM$56,"&gt;="&amp;31)=0,0,SUP_CONTROL!$C$8*IF($B38="V",1,IF($B38="D",(1+SUP_VOLUMEN!$C$26),(1+SUP_VOLUMEN!$C$27)))*INDEX(SUP_C3_EXPANSION!$C$6:$F$6,MIN(4,COUNTIF(CAPA3_EXPANSION!$D$56:BM$56,"&gt;="&amp;31)))*CAPA3_EXPANSION!BM$36)</f>
        <v>0</v>
      </c>
      <c r="BN38" s="88">
        <f>IF(COUNTIF(CAPA3_EXPANSION!$D$56:BN$56,"&gt;="&amp;31)=0,0,SUP_CONTROL!$C$8*IF($B38="V",1,IF($B38="D",(1+SUP_VOLUMEN!$C$26),(1+SUP_VOLUMEN!$C$27)))*INDEX(SUP_C3_EXPANSION!$C$6:$F$6,MIN(4,COUNTIF(CAPA3_EXPANSION!$D$56:BN$56,"&gt;="&amp;31)))*CAPA3_EXPANSION!BN$36)</f>
        <v>0</v>
      </c>
      <c r="BO38" s="88">
        <f>IF(COUNTIF(CAPA3_EXPANSION!$D$56:BO$56,"&gt;="&amp;31)=0,0,SUP_CONTROL!$C$8*IF($B38="V",1,IF($B38="D",(1+SUP_VOLUMEN!$C$26),(1+SUP_VOLUMEN!$C$27)))*INDEX(SUP_C3_EXPANSION!$C$6:$F$6,MIN(4,COUNTIF(CAPA3_EXPANSION!$D$56:BO$56,"&gt;="&amp;31)))*CAPA3_EXPANSION!BO$36)</f>
        <v>0</v>
      </c>
      <c r="BP38" s="88">
        <f>IF(COUNTIF(CAPA3_EXPANSION!$D$56:BP$56,"&gt;="&amp;31)=0,0,SUP_CONTROL!$C$8*IF($B38="V",1,IF($B38="D",(1+SUP_VOLUMEN!$C$26),(1+SUP_VOLUMEN!$C$27)))*INDEX(SUP_C3_EXPANSION!$C$6:$F$6,MIN(4,COUNTIF(CAPA3_EXPANSION!$D$56:BP$56,"&gt;="&amp;31)))*CAPA3_EXPANSION!BP$36)</f>
        <v>0</v>
      </c>
      <c r="BQ38" s="88">
        <f>IF(COUNTIF(CAPA3_EXPANSION!$D$56:BQ$56,"&gt;="&amp;31)=0,0,SUP_CONTROL!$C$8*IF($B38="V",1,IF($B38="D",(1+SUP_VOLUMEN!$C$26),(1+SUP_VOLUMEN!$C$27)))*INDEX(SUP_C3_EXPANSION!$C$6:$F$6,MIN(4,COUNTIF(CAPA3_EXPANSION!$D$56:BQ$56,"&gt;="&amp;31)))*CAPA3_EXPANSION!BQ$36)</f>
        <v>0</v>
      </c>
      <c r="BR38" s="88">
        <f>IF(COUNTIF(CAPA3_EXPANSION!$D$56:BR$56,"&gt;="&amp;31)=0,0,SUP_CONTROL!$C$8*IF($B38="V",1,IF($B38="D",(1+SUP_VOLUMEN!$C$26),(1+SUP_VOLUMEN!$C$27)))*INDEX(SUP_C3_EXPANSION!$C$6:$F$6,MIN(4,COUNTIF(CAPA3_EXPANSION!$D$56:BR$56,"&gt;="&amp;31)))*CAPA3_EXPANSION!BR$36)</f>
        <v>0</v>
      </c>
      <c r="BS38" s="88">
        <f>IF(COUNTIF(CAPA3_EXPANSION!$D$56:BS$56,"&gt;="&amp;31)=0,0,SUP_CONTROL!$C$8*IF($B38="V",1,IF($B38="D",(1+SUP_VOLUMEN!$C$26),(1+SUP_VOLUMEN!$C$27)))*INDEX(SUP_C3_EXPANSION!$C$6:$F$6,MIN(4,COUNTIF(CAPA3_EXPANSION!$D$56:BS$56,"&gt;="&amp;31)))*CAPA3_EXPANSION!BS$36)</f>
        <v>0</v>
      </c>
      <c r="BT38" s="88">
        <f>IF(COUNTIF(CAPA3_EXPANSION!$D$56:BT$56,"&gt;="&amp;31)=0,0,SUP_CONTROL!$C$8*IF($B38="V",1,IF($B38="D",(1+SUP_VOLUMEN!$C$26),(1+SUP_VOLUMEN!$C$27)))*INDEX(SUP_C3_EXPANSION!$C$6:$F$6,MIN(4,COUNTIF(CAPA3_EXPANSION!$D$56:BT$56,"&gt;="&amp;31)))*CAPA3_EXPANSION!BT$36)</f>
        <v>1893.0957500000002</v>
      </c>
      <c r="BU38" s="88">
        <f>IF(COUNTIF(CAPA3_EXPANSION!$D$56:BU$56,"&gt;="&amp;31)=0,0,SUP_CONTROL!$C$8*IF($B38="V",1,IF($B38="D",(1+SUP_VOLUMEN!$C$26),(1+SUP_VOLUMEN!$C$27)))*INDEX(SUP_C3_EXPANSION!$C$6:$F$6,MIN(4,COUNTIF(CAPA3_EXPANSION!$D$56:BU$56,"&gt;="&amp;31)))*CAPA3_EXPANSION!BU$36)</f>
        <v>2289.5600000000004</v>
      </c>
      <c r="BV38" s="88">
        <f>IF(COUNTIF(CAPA3_EXPANSION!$D$56:BV$56,"&gt;="&amp;31)=0,0,SUP_CONTROL!$C$8*IF($B38="V",1,IF($B38="D",(1+SUP_VOLUMEN!$C$26),(1+SUP_VOLUMEN!$C$27)))*INDEX(SUP_C3_EXPANSION!$C$6:$F$6,MIN(4,COUNTIF(CAPA3_EXPANSION!$D$56:BV$56,"&gt;="&amp;31)))*CAPA3_EXPANSION!BV$36)</f>
        <v>2575.7550000000001</v>
      </c>
      <c r="BW38" s="88">
        <f>IF(COUNTIF(CAPA3_EXPANSION!$D$56:BW$56,"&gt;="&amp;31)=0,0,SUP_CONTROL!$C$8*IF($B38="V",1,IF($B38="D",(1+SUP_VOLUMEN!$C$26),(1+SUP_VOLUMEN!$C$27)))*INDEX(SUP_C3_EXPANSION!$C$6:$F$6,MIN(4,COUNTIF(CAPA3_EXPANSION!$D$56:BW$56,"&gt;="&amp;31)))*CAPA3_EXPANSION!BW$36)</f>
        <v>2861.95</v>
      </c>
      <c r="BX38" s="88">
        <f>IF(COUNTIF(CAPA3_EXPANSION!$D$56:BX$56,"&gt;="&amp;31)=0,0,SUP_CONTROL!$C$8*IF($B38="V",1,IF($B38="D",(1+SUP_VOLUMEN!$C$26),(1+SUP_VOLUMEN!$C$27)))*INDEX(SUP_C3_EXPANSION!$C$6:$F$6,MIN(4,COUNTIF(CAPA3_EXPANSION!$D$56:BX$56,"&gt;="&amp;31)))*CAPA3_EXPANSION!BX$36)</f>
        <v>2861.95</v>
      </c>
      <c r="BY38" s="88">
        <f>IF(COUNTIF(CAPA3_EXPANSION!$D$56:BY$56,"&gt;="&amp;31)=0,0,SUP_CONTROL!$C$8*IF($B38="V",1,IF($B38="D",(1+SUP_VOLUMEN!$C$26),(1+SUP_VOLUMEN!$C$27)))*INDEX(SUP_C3_EXPANSION!$C$6:$F$6,MIN(4,COUNTIF(CAPA3_EXPANSION!$D$56:BY$56,"&gt;="&amp;31)))*CAPA3_EXPANSION!BY$36)</f>
        <v>2861.95</v>
      </c>
      <c r="BZ38" s="88">
        <f>IF(COUNTIF(CAPA3_EXPANSION!$D$56:BZ$56,"&gt;="&amp;31)=0,0,SUP_CONTROL!$C$8*IF($B38="V",1,IF($B38="D",(1+SUP_VOLUMEN!$C$26),(1+SUP_VOLUMEN!$C$27)))*INDEX(SUP_C3_EXPANSION!$C$6:$F$6,MIN(4,COUNTIF(CAPA3_EXPANSION!$D$56:BZ$56,"&gt;="&amp;31)))*CAPA3_EXPANSION!BZ$36)</f>
        <v>2828.2799999999997</v>
      </c>
      <c r="CA38" s="88">
        <f>IF(COUNTIF(CAPA3_EXPANSION!$D$56:CA$56,"&gt;="&amp;31)=0,0,SUP_CONTROL!$C$8*IF($B38="V",1,IF($B38="D",(1+SUP_VOLUMEN!$C$26),(1+SUP_VOLUMEN!$C$27)))*INDEX(SUP_C3_EXPANSION!$C$6:$F$6,MIN(4,COUNTIF(CAPA3_EXPANSION!$D$56:CA$56,"&gt;="&amp;31)))*CAPA3_EXPANSION!CA$36)</f>
        <v>2828.2799999999997</v>
      </c>
      <c r="CB38" s="88">
        <f>IF(COUNTIF(CAPA3_EXPANSION!$D$56:CB$56,"&gt;="&amp;31)=0,0,SUP_CONTROL!$C$8*IF($B38="V",1,IF($B38="D",(1+SUP_VOLUMEN!$C$26),(1+SUP_VOLUMEN!$C$27)))*INDEX(SUP_C3_EXPANSION!$C$6:$F$6,MIN(4,COUNTIF(CAPA3_EXPANSION!$D$56:CB$56,"&gt;="&amp;31)))*CAPA3_EXPANSION!CB$36)</f>
        <v>2828.2799999999997</v>
      </c>
      <c r="CC38" s="88">
        <f>IF(COUNTIF(CAPA3_EXPANSION!$D$56:CC$56,"&gt;="&amp;31)=0,0,SUP_CONTROL!$C$8*IF($B38="V",1,IF($B38="D",(1+SUP_VOLUMEN!$C$26),(1+SUP_VOLUMEN!$C$27)))*INDEX(SUP_C3_EXPANSION!$C$6:$F$6,MIN(4,COUNTIF(CAPA3_EXPANSION!$D$56:CC$56,"&gt;="&amp;31)))*CAPA3_EXPANSION!CC$36)</f>
        <v>2828.2799999999997</v>
      </c>
      <c r="CD38" s="88">
        <f>IF(COUNTIF(CAPA3_EXPANSION!$D$56:CD$56,"&gt;="&amp;31)=0,0,SUP_CONTROL!$C$8*IF($B38="V",1,IF($B38="D",(1+SUP_VOLUMEN!$C$26),(1+SUP_VOLUMEN!$C$27)))*INDEX(SUP_C3_EXPANSION!$C$6:$F$6,MIN(4,COUNTIF(CAPA3_EXPANSION!$D$56:CD$56,"&gt;="&amp;31)))*CAPA3_EXPANSION!CD$36)</f>
        <v>2828.2799999999997</v>
      </c>
      <c r="CE38" s="88">
        <f>IF(COUNTIF(CAPA3_EXPANSION!$D$56:CE$56,"&gt;="&amp;31)=0,0,SUP_CONTROL!$C$8*IF($B38="V",1,IF($B38="D",(1+SUP_VOLUMEN!$C$26),(1+SUP_VOLUMEN!$C$27)))*INDEX(SUP_C3_EXPANSION!$C$6:$F$6,MIN(4,COUNTIF(CAPA3_EXPANSION!$D$56:CE$56,"&gt;="&amp;31)))*CAPA3_EXPANSION!CE$36)</f>
        <v>2828.2799999999997</v>
      </c>
      <c r="CF38" s="88">
        <f>IF(COUNTIF(CAPA3_EXPANSION!$D$56:CF$56,"&gt;="&amp;31)=0,0,SUP_CONTROL!$C$8*IF($B38="V",1,IF($B38="D",(1+SUP_VOLUMEN!$C$26),(1+SUP_VOLUMEN!$C$27)))*INDEX(SUP_C3_EXPANSION!$C$6:$F$6,MIN(4,COUNTIF(CAPA3_EXPANSION!$D$56:CF$56,"&gt;="&amp;31)))*CAPA3_EXPANSION!CF$36)</f>
        <v>2828.2799999999997</v>
      </c>
      <c r="CG38" s="88">
        <f>IF(COUNTIF(CAPA3_EXPANSION!$D$56:CG$56,"&gt;="&amp;31)=0,0,SUP_CONTROL!$C$8*IF($B38="V",1,IF($B38="D",(1+SUP_VOLUMEN!$C$26),(1+SUP_VOLUMEN!$C$27)))*INDEX(SUP_C3_EXPANSION!$C$6:$F$6,MIN(4,COUNTIF(CAPA3_EXPANSION!$D$56:CG$56,"&gt;="&amp;31)))*CAPA3_EXPANSION!CG$36)</f>
        <v>2828.2799999999997</v>
      </c>
      <c r="CH38" s="88">
        <f>IF(COUNTIF(CAPA3_EXPANSION!$D$56:CH$56,"&gt;="&amp;31)=0,0,SUP_CONTROL!$C$8*IF($B38="V",1,IF($B38="D",(1+SUP_VOLUMEN!$C$26),(1+SUP_VOLUMEN!$C$27)))*INDEX(SUP_C3_EXPANSION!$C$6:$F$6,MIN(4,COUNTIF(CAPA3_EXPANSION!$D$56:CH$56,"&gt;="&amp;31)))*CAPA3_EXPANSION!CH$36)</f>
        <v>2828.2799999999997</v>
      </c>
      <c r="CI38" s="88">
        <f>IF(COUNTIF(CAPA3_EXPANSION!$D$56:CI$56,"&gt;="&amp;31)=0,0,SUP_CONTROL!$C$8*IF($B38="V",1,IF($B38="D",(1+SUP_VOLUMEN!$C$26),(1+SUP_VOLUMEN!$C$27)))*INDEX(SUP_C3_EXPANSION!$C$6:$F$6,MIN(4,COUNTIF(CAPA3_EXPANSION!$D$56:CI$56,"&gt;="&amp;31)))*CAPA3_EXPANSION!CI$36)</f>
        <v>2828.2799999999997</v>
      </c>
      <c r="CJ38" s="88">
        <f>IF(COUNTIF(CAPA3_EXPANSION!$D$56:CJ$56,"&gt;="&amp;31)=0,0,SUP_CONTROL!$C$8*IF($B38="V",1,IF($B38="D",(1+SUP_VOLUMEN!$C$26),(1+SUP_VOLUMEN!$C$27)))*INDEX(SUP_C3_EXPANSION!$C$6:$F$6,MIN(4,COUNTIF(CAPA3_EXPANSION!$D$56:CJ$56,"&gt;="&amp;31)))*CAPA3_EXPANSION!CJ$36)</f>
        <v>2828.2799999999997</v>
      </c>
      <c r="CK38" s="88">
        <f>IF(COUNTIF(CAPA3_EXPANSION!$D$56:CK$56,"&gt;="&amp;31)=0,0,SUP_CONTROL!$C$8*IF($B38="V",1,IF($B38="D",(1+SUP_VOLUMEN!$C$26),(1+SUP_VOLUMEN!$C$27)))*INDEX(SUP_C3_EXPANSION!$C$6:$F$6,MIN(4,COUNTIF(CAPA3_EXPANSION!$D$56:CK$56,"&gt;="&amp;31)))*CAPA3_EXPANSION!CK$36)</f>
        <v>2828.2799999999997</v>
      </c>
      <c r="CL38" s="88">
        <f>IF(COUNTIF(CAPA3_EXPANSION!$D$56:CL$56,"&gt;="&amp;31)=0,0,SUP_CONTROL!$C$8*IF($B38="V",1,IF($B38="D",(1+SUP_VOLUMEN!$C$26),(1+SUP_VOLUMEN!$C$27)))*INDEX(SUP_C3_EXPANSION!$C$6:$F$6,MIN(4,COUNTIF(CAPA3_EXPANSION!$D$56:CL$56,"&gt;="&amp;31)))*CAPA3_EXPANSION!CL$36)</f>
        <v>2828.2799999999997</v>
      </c>
      <c r="CM38" s="88">
        <f>IF(COUNTIF(CAPA3_EXPANSION!$D$56:CM$56,"&gt;="&amp;31)=0,0,SUP_CONTROL!$C$8*IF($B38="V",1,IF($B38="D",(1+SUP_VOLUMEN!$C$26),(1+SUP_VOLUMEN!$C$27)))*INDEX(SUP_C3_EXPANSION!$C$6:$F$6,MIN(4,COUNTIF(CAPA3_EXPANSION!$D$56:CM$56,"&gt;="&amp;31)))*CAPA3_EXPANSION!CM$36)</f>
        <v>2828.2799999999997</v>
      </c>
      <c r="CN38" s="88">
        <f>IF(COUNTIF(CAPA3_EXPANSION!$D$56:CN$56,"&gt;="&amp;31)=0,0,SUP_CONTROL!$C$8*IF($B38="V",1,IF($B38="D",(1+SUP_VOLUMEN!$C$26),(1+SUP_VOLUMEN!$C$27)))*INDEX(SUP_C3_EXPANSION!$C$6:$F$6,MIN(4,COUNTIF(CAPA3_EXPANSION!$D$56:CN$56,"&gt;="&amp;31)))*CAPA3_EXPANSION!CN$36)</f>
        <v>2828.2799999999997</v>
      </c>
      <c r="CO38" s="88">
        <f>IF(COUNTIF(CAPA3_EXPANSION!$D$56:CO$56,"&gt;="&amp;31)=0,0,SUP_CONTROL!$C$8*IF($B38="V",1,IF($B38="D",(1+SUP_VOLUMEN!$C$26),(1+SUP_VOLUMEN!$C$27)))*INDEX(SUP_C3_EXPANSION!$C$6:$F$6,MIN(4,COUNTIF(CAPA3_EXPANSION!$D$56:CO$56,"&gt;="&amp;31)))*CAPA3_EXPANSION!CO$36)</f>
        <v>2828.2799999999997</v>
      </c>
      <c r="CP38" s="88">
        <f>IF(COUNTIF(CAPA3_EXPANSION!$D$56:CP$56,"&gt;="&amp;31)=0,0,SUP_CONTROL!$C$8*IF($B38="V",1,IF($B38="D",(1+SUP_VOLUMEN!$C$26),(1+SUP_VOLUMEN!$C$27)))*INDEX(SUP_C3_EXPANSION!$C$6:$F$6,MIN(4,COUNTIF(CAPA3_EXPANSION!$D$56:CP$56,"&gt;="&amp;31)))*CAPA3_EXPANSION!CP$36)</f>
        <v>2828.2799999999997</v>
      </c>
      <c r="CQ38" s="88">
        <f>IF(COUNTIF(CAPA3_EXPANSION!$D$56:CQ$56,"&gt;="&amp;31)=0,0,SUP_CONTROL!$C$8*IF($B38="V",1,IF($B38="D",(1+SUP_VOLUMEN!$C$26),(1+SUP_VOLUMEN!$C$27)))*INDEX(SUP_C3_EXPANSION!$C$6:$F$6,MIN(4,COUNTIF(CAPA3_EXPANSION!$D$56:CQ$56,"&gt;="&amp;31)))*CAPA3_EXPANSION!CQ$36)</f>
        <v>2828.2799999999997</v>
      </c>
      <c r="CR38" s="88">
        <f>IF(COUNTIF(CAPA3_EXPANSION!$D$56:CR$56,"&gt;="&amp;31)=0,0,SUP_CONTROL!$C$8*IF($B38="V",1,IF($B38="D",(1+SUP_VOLUMEN!$C$26),(1+SUP_VOLUMEN!$C$27)))*INDEX(SUP_C3_EXPANSION!$C$6:$F$6,MIN(4,COUNTIF(CAPA3_EXPANSION!$D$56:CR$56,"&gt;="&amp;31)))*CAPA3_EXPANSION!CR$36)</f>
        <v>2828.2799999999997</v>
      </c>
      <c r="CS38" s="88">
        <f>IF(COUNTIF(CAPA3_EXPANSION!$D$56:CS$56,"&gt;="&amp;31)=0,0,SUP_CONTROL!$C$8*IF($B38="V",1,IF($B38="D",(1+SUP_VOLUMEN!$C$26),(1+SUP_VOLUMEN!$C$27)))*INDEX(SUP_C3_EXPANSION!$C$6:$F$6,MIN(4,COUNTIF(CAPA3_EXPANSION!$D$56:CS$56,"&gt;="&amp;31)))*CAPA3_EXPANSION!CS$36)</f>
        <v>2828.2799999999997</v>
      </c>
      <c r="CT38" s="88">
        <f>IF(COUNTIF(CAPA3_EXPANSION!$D$56:CT$56,"&gt;="&amp;31)=0,0,SUP_CONTROL!$C$8*IF($B38="V",1,IF($B38="D",(1+SUP_VOLUMEN!$C$26),(1+SUP_VOLUMEN!$C$27)))*INDEX(SUP_C3_EXPANSION!$C$6:$F$6,MIN(4,COUNTIF(CAPA3_EXPANSION!$D$56:CT$56,"&gt;="&amp;31)))*CAPA3_EXPANSION!CT$36)</f>
        <v>2828.2799999999997</v>
      </c>
      <c r="CU38" s="88">
        <f>IF(COUNTIF(CAPA3_EXPANSION!$D$56:CU$56,"&gt;="&amp;31)=0,0,SUP_CONTROL!$C$8*IF($B38="V",1,IF($B38="D",(1+SUP_VOLUMEN!$C$26),(1+SUP_VOLUMEN!$C$27)))*INDEX(SUP_C3_EXPANSION!$C$6:$F$6,MIN(4,COUNTIF(CAPA3_EXPANSION!$D$56:CU$56,"&gt;="&amp;31)))*CAPA3_EXPANSION!CU$36)</f>
        <v>2828.2799999999997</v>
      </c>
      <c r="CV38" s="88">
        <f>IF(COUNTIF(CAPA3_EXPANSION!$D$56:CV$56,"&gt;="&amp;31)=0,0,SUP_CONTROL!$C$8*IF($B38="V",1,IF($B38="D",(1+SUP_VOLUMEN!$C$26),(1+SUP_VOLUMEN!$C$27)))*INDEX(SUP_C3_EXPANSION!$C$6:$F$6,MIN(4,COUNTIF(CAPA3_EXPANSION!$D$56:CV$56,"&gt;="&amp;31)))*CAPA3_EXPANSION!CV$36)</f>
        <v>2828.2799999999997</v>
      </c>
      <c r="CW38" s="88">
        <f>IF(COUNTIF(CAPA3_EXPANSION!$D$56:CW$56,"&gt;="&amp;31)=0,0,SUP_CONTROL!$C$8*IF($B38="V",1,IF($B38="D",(1+SUP_VOLUMEN!$C$26),(1+SUP_VOLUMEN!$C$27)))*INDEX(SUP_C3_EXPANSION!$C$6:$F$6,MIN(4,COUNTIF(CAPA3_EXPANSION!$D$56:CW$56,"&gt;="&amp;31)))*CAPA3_EXPANSION!CW$36)</f>
        <v>2828.2799999999997</v>
      </c>
      <c r="CX38" s="88">
        <f>IF(COUNTIF(CAPA3_EXPANSION!$D$56:CX$56,"&gt;="&amp;31)=0,0,SUP_CONTROL!$C$8*IF($B38="V",1,IF($B38="D",(1+SUP_VOLUMEN!$C$26),(1+SUP_VOLUMEN!$C$27)))*INDEX(SUP_C3_EXPANSION!$C$6:$F$6,MIN(4,COUNTIF(CAPA3_EXPANSION!$D$56:CX$56,"&gt;="&amp;31)))*CAPA3_EXPANSION!CX$36)</f>
        <v>2828.2799999999997</v>
      </c>
      <c r="CY38" s="88">
        <f>IF(COUNTIF(CAPA3_EXPANSION!$D$56:CY$56,"&gt;="&amp;31)=0,0,SUP_CONTROL!$C$8*IF($B38="V",1,IF($B38="D",(1+SUP_VOLUMEN!$C$26),(1+SUP_VOLUMEN!$C$27)))*INDEX(SUP_C3_EXPANSION!$C$6:$F$6,MIN(4,COUNTIF(CAPA3_EXPANSION!$D$56:CY$56,"&gt;="&amp;31)))*CAPA3_EXPANSION!CY$36)</f>
        <v>2828.2799999999997</v>
      </c>
      <c r="CZ38" s="88">
        <f>IF(COUNTIF(CAPA3_EXPANSION!$D$56:CZ$56,"&gt;="&amp;31)=0,0,SUP_CONTROL!$C$8*IF($B38="V",1,IF($B38="D",(1+SUP_VOLUMEN!$C$26),(1+SUP_VOLUMEN!$C$27)))*INDEX(SUP_C3_EXPANSION!$C$6:$F$6,MIN(4,COUNTIF(CAPA3_EXPANSION!$D$56:CZ$56,"&gt;="&amp;31)))*CAPA3_EXPANSION!CZ$36)</f>
        <v>2828.2799999999997</v>
      </c>
      <c r="DA38" s="88">
        <f>IF(COUNTIF(CAPA3_EXPANSION!$D$56:DA$56,"&gt;="&amp;31)=0,0,SUP_CONTROL!$C$8*IF($B38="V",1,IF($B38="D",(1+SUP_VOLUMEN!$C$26),(1+SUP_VOLUMEN!$C$27)))*INDEX(SUP_C3_EXPANSION!$C$6:$F$6,MIN(4,COUNTIF(CAPA3_EXPANSION!$D$56:DA$56,"&gt;="&amp;31)))*CAPA3_EXPANSION!DA$36)</f>
        <v>2828.2799999999997</v>
      </c>
      <c r="DB38" s="88">
        <f>IF(COUNTIF(CAPA3_EXPANSION!$D$56:DB$56,"&gt;="&amp;31)=0,0,SUP_CONTROL!$C$8*IF($B38="V",1,IF($B38="D",(1+SUP_VOLUMEN!$C$26),(1+SUP_VOLUMEN!$C$27)))*INDEX(SUP_C3_EXPANSION!$C$6:$F$6,MIN(4,COUNTIF(CAPA3_EXPANSION!$D$56:DB$56,"&gt;="&amp;31)))*CAPA3_EXPANSION!DB$36)</f>
        <v>2828.2799999999997</v>
      </c>
      <c r="DC38" s="88">
        <f>IF(COUNTIF(CAPA3_EXPANSION!$D$56:DC$56,"&gt;="&amp;31)=0,0,SUP_CONTROL!$C$8*IF($B38="V",1,IF($B38="D",(1+SUP_VOLUMEN!$C$26),(1+SUP_VOLUMEN!$C$27)))*INDEX(SUP_C3_EXPANSION!$C$6:$F$6,MIN(4,COUNTIF(CAPA3_EXPANSION!$D$56:DC$56,"&gt;="&amp;31)))*CAPA3_EXPANSION!DC$36)</f>
        <v>2828.2799999999997</v>
      </c>
      <c r="DD38" s="88">
        <f>IF(COUNTIF(CAPA3_EXPANSION!$D$56:DD$56,"&gt;="&amp;31)=0,0,SUP_CONTROL!$C$8*IF($B38="V",1,IF($B38="D",(1+SUP_VOLUMEN!$C$26),(1+SUP_VOLUMEN!$C$27)))*INDEX(SUP_C3_EXPANSION!$C$6:$F$6,MIN(4,COUNTIF(CAPA3_EXPANSION!$D$56:DD$56,"&gt;="&amp;31)))*CAPA3_EXPANSION!DD$36)</f>
        <v>2828.2799999999997</v>
      </c>
      <c r="DE38" s="88">
        <f>IF(COUNTIF(CAPA3_EXPANSION!$D$56:DE$56,"&gt;="&amp;31)=0,0,SUP_CONTROL!$C$8*IF($B38="V",1,IF($B38="D",(1+SUP_VOLUMEN!$C$26),(1+SUP_VOLUMEN!$C$27)))*INDEX(SUP_C3_EXPANSION!$C$6:$F$6,MIN(4,COUNTIF(CAPA3_EXPANSION!$D$56:DE$56,"&gt;="&amp;31)))*CAPA3_EXPANSION!DE$36)</f>
        <v>2828.2799999999997</v>
      </c>
      <c r="DF38" s="88">
        <f>IF(COUNTIF(CAPA3_EXPANSION!$D$56:DF$56,"&gt;="&amp;31)=0,0,SUP_CONTROL!$C$8*IF($B38="V",1,IF($B38="D",(1+SUP_VOLUMEN!$C$26),(1+SUP_VOLUMEN!$C$27)))*INDEX(SUP_C3_EXPANSION!$C$6:$F$6,MIN(4,COUNTIF(CAPA3_EXPANSION!$D$56:DF$56,"&gt;="&amp;31)))*CAPA3_EXPANSION!DF$36)</f>
        <v>2828.2799999999997</v>
      </c>
      <c r="DG38" s="88">
        <f>IF(COUNTIF(CAPA3_EXPANSION!$D$56:DG$56,"&gt;="&amp;31)=0,0,SUP_CONTROL!$C$8*IF($B38="V",1,IF($B38="D",(1+SUP_VOLUMEN!$C$26),(1+SUP_VOLUMEN!$C$27)))*INDEX(SUP_C3_EXPANSION!$C$6:$F$6,MIN(4,COUNTIF(CAPA3_EXPANSION!$D$56:DG$56,"&gt;="&amp;31)))*CAPA3_EXPANSION!DG$36)</f>
        <v>2828.2799999999997</v>
      </c>
      <c r="DH38" s="88">
        <f>IF(COUNTIF(CAPA3_EXPANSION!$D$56:DH$56,"&gt;="&amp;31)=0,0,SUP_CONTROL!$C$8*IF($B38="V",1,IF($B38="D",(1+SUP_VOLUMEN!$C$26),(1+SUP_VOLUMEN!$C$27)))*INDEX(SUP_C3_EXPANSION!$C$6:$F$6,MIN(4,COUNTIF(CAPA3_EXPANSION!$D$56:DH$56,"&gt;="&amp;31)))*CAPA3_EXPANSION!DH$36)</f>
        <v>2828.2799999999997</v>
      </c>
      <c r="DI38" s="88">
        <f>IF(COUNTIF(CAPA3_EXPANSION!$D$56:DI$56,"&gt;="&amp;31)=0,0,SUP_CONTROL!$C$8*IF($B38="V",1,IF($B38="D",(1+SUP_VOLUMEN!$C$26),(1+SUP_VOLUMEN!$C$27)))*INDEX(SUP_C3_EXPANSION!$C$6:$F$6,MIN(4,COUNTIF(CAPA3_EXPANSION!$D$56:DI$56,"&gt;="&amp;31)))*CAPA3_EXPANSION!DI$36)</f>
        <v>2828.2799999999997</v>
      </c>
      <c r="DJ38" s="88">
        <f>IF(COUNTIF(CAPA3_EXPANSION!$D$56:DJ$56,"&gt;="&amp;31)=0,0,SUP_CONTROL!$C$8*IF($B38="V",1,IF($B38="D",(1+SUP_VOLUMEN!$C$26),(1+SUP_VOLUMEN!$C$27)))*INDEX(SUP_C3_EXPANSION!$C$6:$F$6,MIN(4,COUNTIF(CAPA3_EXPANSION!$D$56:DJ$56,"&gt;="&amp;31)))*CAPA3_EXPANSION!DJ$36)</f>
        <v>2828.2799999999997</v>
      </c>
      <c r="DK38" s="88">
        <f>IF(COUNTIF(CAPA3_EXPANSION!$D$56:DK$56,"&gt;="&amp;31)=0,0,SUP_CONTROL!$C$8*IF($B38="V",1,IF($B38="D",(1+SUP_VOLUMEN!$C$26),(1+SUP_VOLUMEN!$C$27)))*INDEX(SUP_C3_EXPANSION!$C$6:$F$6,MIN(4,COUNTIF(CAPA3_EXPANSION!$D$56:DK$56,"&gt;="&amp;31)))*CAPA3_EXPANSION!DK$36)</f>
        <v>2828.2799999999997</v>
      </c>
      <c r="DL38" s="88">
        <f>IF(COUNTIF(CAPA3_EXPANSION!$D$56:DL$56,"&gt;="&amp;31)=0,0,SUP_CONTROL!$C$8*IF($B38="V",1,IF($B38="D",(1+SUP_VOLUMEN!$C$26),(1+SUP_VOLUMEN!$C$27)))*INDEX(SUP_C3_EXPANSION!$C$6:$F$6,MIN(4,COUNTIF(CAPA3_EXPANSION!$D$56:DL$56,"&gt;="&amp;31)))*CAPA3_EXPANSION!DL$36)</f>
        <v>2828.2799999999997</v>
      </c>
      <c r="DM38" s="88">
        <f>IF(COUNTIF(CAPA3_EXPANSION!$D$56:DM$56,"&gt;="&amp;31)=0,0,SUP_CONTROL!$C$8*IF($B38="V",1,IF($B38="D",(1+SUP_VOLUMEN!$C$26),(1+SUP_VOLUMEN!$C$27)))*INDEX(SUP_C3_EXPANSION!$C$6:$F$6,MIN(4,COUNTIF(CAPA3_EXPANSION!$D$56:DM$56,"&gt;="&amp;31)))*CAPA3_EXPANSION!DM$36)</f>
        <v>2828.2799999999997</v>
      </c>
      <c r="DN38" s="88">
        <f>IF(COUNTIF(CAPA3_EXPANSION!$D$56:DN$56,"&gt;="&amp;31)=0,0,SUP_CONTROL!$C$8*IF($B38="V",1,IF($B38="D",(1+SUP_VOLUMEN!$C$26),(1+SUP_VOLUMEN!$C$27)))*INDEX(SUP_C3_EXPANSION!$C$6:$F$6,MIN(4,COUNTIF(CAPA3_EXPANSION!$D$56:DN$56,"&gt;="&amp;31)))*CAPA3_EXPANSION!DN$36)</f>
        <v>2828.2799999999997</v>
      </c>
      <c r="DO38" s="88">
        <f>IF(COUNTIF(CAPA3_EXPANSION!$D$56:DO$56,"&gt;="&amp;31)=0,0,SUP_CONTROL!$C$8*IF($B38="V",1,IF($B38="D",(1+SUP_VOLUMEN!$C$26),(1+SUP_VOLUMEN!$C$27)))*INDEX(SUP_C3_EXPANSION!$C$6:$F$6,MIN(4,COUNTIF(CAPA3_EXPANSION!$D$56:DO$56,"&gt;="&amp;31)))*CAPA3_EXPANSION!DO$36)</f>
        <v>2828.2799999999997</v>
      </c>
      <c r="DP38" s="88">
        <f>IF(COUNTIF(CAPA3_EXPANSION!$D$56:DP$56,"&gt;="&amp;31)=0,0,SUP_CONTROL!$C$8*IF($B38="V",1,IF($B38="D",(1+SUP_VOLUMEN!$C$26),(1+SUP_VOLUMEN!$C$27)))*INDEX(SUP_C3_EXPANSION!$C$6:$F$6,MIN(4,COUNTIF(CAPA3_EXPANSION!$D$56:DP$56,"&gt;="&amp;31)))*CAPA3_EXPANSION!DP$36)</f>
        <v>2828.2799999999997</v>
      </c>
      <c r="DQ38" s="88">
        <f>IF(COUNTIF(CAPA3_EXPANSION!$D$56:DQ$56,"&gt;="&amp;31)=0,0,SUP_CONTROL!$C$8*IF($B38="V",1,IF($B38="D",(1+SUP_VOLUMEN!$C$26),(1+SUP_VOLUMEN!$C$27)))*INDEX(SUP_C3_EXPANSION!$C$6:$F$6,MIN(4,COUNTIF(CAPA3_EXPANSION!$D$56:DQ$56,"&gt;="&amp;31)))*CAPA3_EXPANSION!DQ$36)</f>
        <v>2828.2799999999997</v>
      </c>
      <c r="DR38" s="88">
        <f>IF(COUNTIF(CAPA3_EXPANSION!$D$56:DR$56,"&gt;="&amp;31)=0,0,SUP_CONTROL!$C$8*IF($B38="V",1,IF($B38="D",(1+SUP_VOLUMEN!$C$26),(1+SUP_VOLUMEN!$C$27)))*INDEX(SUP_C3_EXPANSION!$C$6:$F$6,MIN(4,COUNTIF(CAPA3_EXPANSION!$D$56:DR$56,"&gt;="&amp;31)))*CAPA3_EXPANSION!DR$36)</f>
        <v>2828.2799999999997</v>
      </c>
      <c r="DS38" s="88">
        <f>IF(COUNTIF(CAPA3_EXPANSION!$D$56:DS$56,"&gt;="&amp;31)=0,0,SUP_CONTROL!$C$8*IF($B38="V",1,IF($B38="D",(1+SUP_VOLUMEN!$C$26),(1+SUP_VOLUMEN!$C$27)))*INDEX(SUP_C3_EXPANSION!$C$6:$F$6,MIN(4,COUNTIF(CAPA3_EXPANSION!$D$56:DS$56,"&gt;="&amp;31)))*CAPA3_EXPANSION!DS$36)</f>
        <v>2828.2799999999997</v>
      </c>
    </row>
    <row r="39" spans="1:123" ht="15" customHeight="1" x14ac:dyDescent="0.2">
      <c r="A39" s="88">
        <v>42</v>
      </c>
      <c r="B39" s="104" t="str">
        <f>SUP_C3_EXPANSION!B51</f>
        <v>V</v>
      </c>
      <c r="C39" s="73">
        <f>SUP_C3_EXPANSION!G51</f>
        <v>67</v>
      </c>
      <c r="D39" s="88">
        <f>IF(COUNTIF(CAPA3_EXPANSION!$D$56:D$56,"&gt;="&amp;32)=0,0,SUP_CONTROL!$C$8*IF($B39="V",1,IF($B39="D",(1+SUP_VOLUMEN!$C$26),(1+SUP_VOLUMEN!$C$27)))*INDEX(SUP_C3_EXPANSION!$C$6:$F$6,MIN(4,COUNTIF(CAPA3_EXPANSION!$D$56:D$56,"&gt;="&amp;32)))*CAPA3_EXPANSION!D$36)</f>
        <v>0</v>
      </c>
      <c r="E39" s="88">
        <f>IF(COUNTIF(CAPA3_EXPANSION!$D$56:E$56,"&gt;="&amp;32)=0,0,SUP_CONTROL!$C$8*IF($B39="V",1,IF($B39="D",(1+SUP_VOLUMEN!$C$26),(1+SUP_VOLUMEN!$C$27)))*INDEX(SUP_C3_EXPANSION!$C$6:$F$6,MIN(4,COUNTIF(CAPA3_EXPANSION!$D$56:E$56,"&gt;="&amp;32)))*CAPA3_EXPANSION!E$36)</f>
        <v>0</v>
      </c>
      <c r="F39" s="88">
        <f>IF(COUNTIF(CAPA3_EXPANSION!$D$56:F$56,"&gt;="&amp;32)=0,0,SUP_CONTROL!$C$8*IF($B39="V",1,IF($B39="D",(1+SUP_VOLUMEN!$C$26),(1+SUP_VOLUMEN!$C$27)))*INDEX(SUP_C3_EXPANSION!$C$6:$F$6,MIN(4,COUNTIF(CAPA3_EXPANSION!$D$56:F$56,"&gt;="&amp;32)))*CAPA3_EXPANSION!F$36)</f>
        <v>0</v>
      </c>
      <c r="G39" s="88">
        <f>IF(COUNTIF(CAPA3_EXPANSION!$D$56:G$56,"&gt;="&amp;32)=0,0,SUP_CONTROL!$C$8*IF($B39="V",1,IF($B39="D",(1+SUP_VOLUMEN!$C$26),(1+SUP_VOLUMEN!$C$27)))*INDEX(SUP_C3_EXPANSION!$C$6:$F$6,MIN(4,COUNTIF(CAPA3_EXPANSION!$D$56:G$56,"&gt;="&amp;32)))*CAPA3_EXPANSION!G$36)</f>
        <v>0</v>
      </c>
      <c r="H39" s="88">
        <f>IF(COUNTIF(CAPA3_EXPANSION!$D$56:H$56,"&gt;="&amp;32)=0,0,SUP_CONTROL!$C$8*IF($B39="V",1,IF($B39="D",(1+SUP_VOLUMEN!$C$26),(1+SUP_VOLUMEN!$C$27)))*INDEX(SUP_C3_EXPANSION!$C$6:$F$6,MIN(4,COUNTIF(CAPA3_EXPANSION!$D$56:H$56,"&gt;="&amp;32)))*CAPA3_EXPANSION!H$36)</f>
        <v>0</v>
      </c>
      <c r="I39" s="88">
        <f>IF(COUNTIF(CAPA3_EXPANSION!$D$56:I$56,"&gt;="&amp;32)=0,0,SUP_CONTROL!$C$8*IF($B39="V",1,IF($B39="D",(1+SUP_VOLUMEN!$C$26),(1+SUP_VOLUMEN!$C$27)))*INDEX(SUP_C3_EXPANSION!$C$6:$F$6,MIN(4,COUNTIF(CAPA3_EXPANSION!$D$56:I$56,"&gt;="&amp;32)))*CAPA3_EXPANSION!I$36)</f>
        <v>0</v>
      </c>
      <c r="J39" s="88">
        <f>IF(COUNTIF(CAPA3_EXPANSION!$D$56:J$56,"&gt;="&amp;32)=0,0,SUP_CONTROL!$C$8*IF($B39="V",1,IF($B39="D",(1+SUP_VOLUMEN!$C$26),(1+SUP_VOLUMEN!$C$27)))*INDEX(SUP_C3_EXPANSION!$C$6:$F$6,MIN(4,COUNTIF(CAPA3_EXPANSION!$D$56:J$56,"&gt;="&amp;32)))*CAPA3_EXPANSION!J$36)</f>
        <v>0</v>
      </c>
      <c r="K39" s="88">
        <f>IF(COUNTIF(CAPA3_EXPANSION!$D$56:K$56,"&gt;="&amp;32)=0,0,SUP_CONTROL!$C$8*IF($B39="V",1,IF($B39="D",(1+SUP_VOLUMEN!$C$26),(1+SUP_VOLUMEN!$C$27)))*INDEX(SUP_C3_EXPANSION!$C$6:$F$6,MIN(4,COUNTIF(CAPA3_EXPANSION!$D$56:K$56,"&gt;="&amp;32)))*CAPA3_EXPANSION!K$36)</f>
        <v>0</v>
      </c>
      <c r="L39" s="88">
        <f>IF(COUNTIF(CAPA3_EXPANSION!$D$56:L$56,"&gt;="&amp;32)=0,0,SUP_CONTROL!$C$8*IF($B39="V",1,IF($B39="D",(1+SUP_VOLUMEN!$C$26),(1+SUP_VOLUMEN!$C$27)))*INDEX(SUP_C3_EXPANSION!$C$6:$F$6,MIN(4,COUNTIF(CAPA3_EXPANSION!$D$56:L$56,"&gt;="&amp;32)))*CAPA3_EXPANSION!L$36)</f>
        <v>0</v>
      </c>
      <c r="M39" s="88">
        <f>IF(COUNTIF(CAPA3_EXPANSION!$D$56:M$56,"&gt;="&amp;32)=0,0,SUP_CONTROL!$C$8*IF($B39="V",1,IF($B39="D",(1+SUP_VOLUMEN!$C$26),(1+SUP_VOLUMEN!$C$27)))*INDEX(SUP_C3_EXPANSION!$C$6:$F$6,MIN(4,COUNTIF(CAPA3_EXPANSION!$D$56:M$56,"&gt;="&amp;32)))*CAPA3_EXPANSION!M$36)</f>
        <v>0</v>
      </c>
      <c r="N39" s="88">
        <f>IF(COUNTIF(CAPA3_EXPANSION!$D$56:N$56,"&gt;="&amp;32)=0,0,SUP_CONTROL!$C$8*IF($B39="V",1,IF($B39="D",(1+SUP_VOLUMEN!$C$26),(1+SUP_VOLUMEN!$C$27)))*INDEX(SUP_C3_EXPANSION!$C$6:$F$6,MIN(4,COUNTIF(CAPA3_EXPANSION!$D$56:N$56,"&gt;="&amp;32)))*CAPA3_EXPANSION!N$36)</f>
        <v>0</v>
      </c>
      <c r="O39" s="88">
        <f>IF(COUNTIF(CAPA3_EXPANSION!$D$56:O$56,"&gt;="&amp;32)=0,0,SUP_CONTROL!$C$8*IF($B39="V",1,IF($B39="D",(1+SUP_VOLUMEN!$C$26),(1+SUP_VOLUMEN!$C$27)))*INDEX(SUP_C3_EXPANSION!$C$6:$F$6,MIN(4,COUNTIF(CAPA3_EXPANSION!$D$56:O$56,"&gt;="&amp;32)))*CAPA3_EXPANSION!O$36)</f>
        <v>0</v>
      </c>
      <c r="P39" s="88">
        <f>IF(COUNTIF(CAPA3_EXPANSION!$D$56:P$56,"&gt;="&amp;32)=0,0,SUP_CONTROL!$C$8*IF($B39="V",1,IF($B39="D",(1+SUP_VOLUMEN!$C$26),(1+SUP_VOLUMEN!$C$27)))*INDEX(SUP_C3_EXPANSION!$C$6:$F$6,MIN(4,COUNTIF(CAPA3_EXPANSION!$D$56:P$56,"&gt;="&amp;32)))*CAPA3_EXPANSION!P$36)</f>
        <v>0</v>
      </c>
      <c r="Q39" s="88">
        <f>IF(COUNTIF(CAPA3_EXPANSION!$D$56:Q$56,"&gt;="&amp;32)=0,0,SUP_CONTROL!$C$8*IF($B39="V",1,IF($B39="D",(1+SUP_VOLUMEN!$C$26),(1+SUP_VOLUMEN!$C$27)))*INDEX(SUP_C3_EXPANSION!$C$6:$F$6,MIN(4,COUNTIF(CAPA3_EXPANSION!$D$56:Q$56,"&gt;="&amp;32)))*CAPA3_EXPANSION!Q$36)</f>
        <v>0</v>
      </c>
      <c r="R39" s="88">
        <f>IF(COUNTIF(CAPA3_EXPANSION!$D$56:R$56,"&gt;="&amp;32)=0,0,SUP_CONTROL!$C$8*IF($B39="V",1,IF($B39="D",(1+SUP_VOLUMEN!$C$26),(1+SUP_VOLUMEN!$C$27)))*INDEX(SUP_C3_EXPANSION!$C$6:$F$6,MIN(4,COUNTIF(CAPA3_EXPANSION!$D$56:R$56,"&gt;="&amp;32)))*CAPA3_EXPANSION!R$36)</f>
        <v>0</v>
      </c>
      <c r="S39" s="88">
        <f>IF(COUNTIF(CAPA3_EXPANSION!$D$56:S$56,"&gt;="&amp;32)=0,0,SUP_CONTROL!$C$8*IF($B39="V",1,IF($B39="D",(1+SUP_VOLUMEN!$C$26),(1+SUP_VOLUMEN!$C$27)))*INDEX(SUP_C3_EXPANSION!$C$6:$F$6,MIN(4,COUNTIF(CAPA3_EXPANSION!$D$56:S$56,"&gt;="&amp;32)))*CAPA3_EXPANSION!S$36)</f>
        <v>0</v>
      </c>
      <c r="T39" s="88">
        <f>IF(COUNTIF(CAPA3_EXPANSION!$D$56:T$56,"&gt;="&amp;32)=0,0,SUP_CONTROL!$C$8*IF($B39="V",1,IF($B39="D",(1+SUP_VOLUMEN!$C$26),(1+SUP_VOLUMEN!$C$27)))*INDEX(SUP_C3_EXPANSION!$C$6:$F$6,MIN(4,COUNTIF(CAPA3_EXPANSION!$D$56:T$56,"&gt;="&amp;32)))*CAPA3_EXPANSION!T$36)</f>
        <v>0</v>
      </c>
      <c r="U39" s="88">
        <f>IF(COUNTIF(CAPA3_EXPANSION!$D$56:U$56,"&gt;="&amp;32)=0,0,SUP_CONTROL!$C$8*IF($B39="V",1,IF($B39="D",(1+SUP_VOLUMEN!$C$26),(1+SUP_VOLUMEN!$C$27)))*INDEX(SUP_C3_EXPANSION!$C$6:$F$6,MIN(4,COUNTIF(CAPA3_EXPANSION!$D$56:U$56,"&gt;="&amp;32)))*CAPA3_EXPANSION!U$36)</f>
        <v>0</v>
      </c>
      <c r="V39" s="88">
        <f>IF(COUNTIF(CAPA3_EXPANSION!$D$56:V$56,"&gt;="&amp;32)=0,0,SUP_CONTROL!$C$8*IF($B39="V",1,IF($B39="D",(1+SUP_VOLUMEN!$C$26),(1+SUP_VOLUMEN!$C$27)))*INDEX(SUP_C3_EXPANSION!$C$6:$F$6,MIN(4,COUNTIF(CAPA3_EXPANSION!$D$56:V$56,"&gt;="&amp;32)))*CAPA3_EXPANSION!V$36)</f>
        <v>0</v>
      </c>
      <c r="W39" s="88">
        <f>IF(COUNTIF(CAPA3_EXPANSION!$D$56:W$56,"&gt;="&amp;32)=0,0,SUP_CONTROL!$C$8*IF($B39="V",1,IF($B39="D",(1+SUP_VOLUMEN!$C$26),(1+SUP_VOLUMEN!$C$27)))*INDEX(SUP_C3_EXPANSION!$C$6:$F$6,MIN(4,COUNTIF(CAPA3_EXPANSION!$D$56:W$56,"&gt;="&amp;32)))*CAPA3_EXPANSION!W$36)</f>
        <v>0</v>
      </c>
      <c r="X39" s="88">
        <f>IF(COUNTIF(CAPA3_EXPANSION!$D$56:X$56,"&gt;="&amp;32)=0,0,SUP_CONTROL!$C$8*IF($B39="V",1,IF($B39="D",(1+SUP_VOLUMEN!$C$26),(1+SUP_VOLUMEN!$C$27)))*INDEX(SUP_C3_EXPANSION!$C$6:$F$6,MIN(4,COUNTIF(CAPA3_EXPANSION!$D$56:X$56,"&gt;="&amp;32)))*CAPA3_EXPANSION!X$36)</f>
        <v>0</v>
      </c>
      <c r="Y39" s="88">
        <f>IF(COUNTIF(CAPA3_EXPANSION!$D$56:Y$56,"&gt;="&amp;32)=0,0,SUP_CONTROL!$C$8*IF($B39="V",1,IF($B39="D",(1+SUP_VOLUMEN!$C$26),(1+SUP_VOLUMEN!$C$27)))*INDEX(SUP_C3_EXPANSION!$C$6:$F$6,MIN(4,COUNTIF(CAPA3_EXPANSION!$D$56:Y$56,"&gt;="&amp;32)))*CAPA3_EXPANSION!Y$36)</f>
        <v>0</v>
      </c>
      <c r="Z39" s="88">
        <f>IF(COUNTIF(CAPA3_EXPANSION!$D$56:Z$56,"&gt;="&amp;32)=0,0,SUP_CONTROL!$C$8*IF($B39="V",1,IF($B39="D",(1+SUP_VOLUMEN!$C$26),(1+SUP_VOLUMEN!$C$27)))*INDEX(SUP_C3_EXPANSION!$C$6:$F$6,MIN(4,COUNTIF(CAPA3_EXPANSION!$D$56:Z$56,"&gt;="&amp;32)))*CAPA3_EXPANSION!Z$36)</f>
        <v>0</v>
      </c>
      <c r="AA39" s="88">
        <f>IF(COUNTIF(CAPA3_EXPANSION!$D$56:AA$56,"&gt;="&amp;32)=0,0,SUP_CONTROL!$C$8*IF($B39="V",1,IF($B39="D",(1+SUP_VOLUMEN!$C$26),(1+SUP_VOLUMEN!$C$27)))*INDEX(SUP_C3_EXPANSION!$C$6:$F$6,MIN(4,COUNTIF(CAPA3_EXPANSION!$D$56:AA$56,"&gt;="&amp;32)))*CAPA3_EXPANSION!AA$36)</f>
        <v>0</v>
      </c>
      <c r="AB39" s="88">
        <f>IF(COUNTIF(CAPA3_EXPANSION!$D$56:AB$56,"&gt;="&amp;32)=0,0,SUP_CONTROL!$C$8*IF($B39="V",1,IF($B39="D",(1+SUP_VOLUMEN!$C$26),(1+SUP_VOLUMEN!$C$27)))*INDEX(SUP_C3_EXPANSION!$C$6:$F$6,MIN(4,COUNTIF(CAPA3_EXPANSION!$D$56:AB$56,"&gt;="&amp;32)))*CAPA3_EXPANSION!AB$36)</f>
        <v>0</v>
      </c>
      <c r="AC39" s="88">
        <f>IF(COUNTIF(CAPA3_EXPANSION!$D$56:AC$56,"&gt;="&amp;32)=0,0,SUP_CONTROL!$C$8*IF($B39="V",1,IF($B39="D",(1+SUP_VOLUMEN!$C$26),(1+SUP_VOLUMEN!$C$27)))*INDEX(SUP_C3_EXPANSION!$C$6:$F$6,MIN(4,COUNTIF(CAPA3_EXPANSION!$D$56:AC$56,"&gt;="&amp;32)))*CAPA3_EXPANSION!AC$36)</f>
        <v>0</v>
      </c>
      <c r="AD39" s="88">
        <f>IF(COUNTIF(CAPA3_EXPANSION!$D$56:AD$56,"&gt;="&amp;32)=0,0,SUP_CONTROL!$C$8*IF($B39="V",1,IF($B39="D",(1+SUP_VOLUMEN!$C$26),(1+SUP_VOLUMEN!$C$27)))*INDEX(SUP_C3_EXPANSION!$C$6:$F$6,MIN(4,COUNTIF(CAPA3_EXPANSION!$D$56:AD$56,"&gt;="&amp;32)))*CAPA3_EXPANSION!AD$36)</f>
        <v>0</v>
      </c>
      <c r="AE39" s="88">
        <f>IF(COUNTIF(CAPA3_EXPANSION!$D$56:AE$56,"&gt;="&amp;32)=0,0,SUP_CONTROL!$C$8*IF($B39="V",1,IF($B39="D",(1+SUP_VOLUMEN!$C$26),(1+SUP_VOLUMEN!$C$27)))*INDEX(SUP_C3_EXPANSION!$C$6:$F$6,MIN(4,COUNTIF(CAPA3_EXPANSION!$D$56:AE$56,"&gt;="&amp;32)))*CAPA3_EXPANSION!AE$36)</f>
        <v>0</v>
      </c>
      <c r="AF39" s="88">
        <f>IF(COUNTIF(CAPA3_EXPANSION!$D$56:AF$56,"&gt;="&amp;32)=0,0,SUP_CONTROL!$C$8*IF($B39="V",1,IF($B39="D",(1+SUP_VOLUMEN!$C$26),(1+SUP_VOLUMEN!$C$27)))*INDEX(SUP_C3_EXPANSION!$C$6:$F$6,MIN(4,COUNTIF(CAPA3_EXPANSION!$D$56:AF$56,"&gt;="&amp;32)))*CAPA3_EXPANSION!AF$36)</f>
        <v>0</v>
      </c>
      <c r="AG39" s="88">
        <f>IF(COUNTIF(CAPA3_EXPANSION!$D$56:AG$56,"&gt;="&amp;32)=0,0,SUP_CONTROL!$C$8*IF($B39="V",1,IF($B39="D",(1+SUP_VOLUMEN!$C$26),(1+SUP_VOLUMEN!$C$27)))*INDEX(SUP_C3_EXPANSION!$C$6:$F$6,MIN(4,COUNTIF(CAPA3_EXPANSION!$D$56:AG$56,"&gt;="&amp;32)))*CAPA3_EXPANSION!AG$36)</f>
        <v>0</v>
      </c>
      <c r="AH39" s="88">
        <f>IF(COUNTIF(CAPA3_EXPANSION!$D$56:AH$56,"&gt;="&amp;32)=0,0,SUP_CONTROL!$C$8*IF($B39="V",1,IF($B39="D",(1+SUP_VOLUMEN!$C$26),(1+SUP_VOLUMEN!$C$27)))*INDEX(SUP_C3_EXPANSION!$C$6:$F$6,MIN(4,COUNTIF(CAPA3_EXPANSION!$D$56:AH$56,"&gt;="&amp;32)))*CAPA3_EXPANSION!AH$36)</f>
        <v>0</v>
      </c>
      <c r="AI39" s="88">
        <f>IF(COUNTIF(CAPA3_EXPANSION!$D$56:AI$56,"&gt;="&amp;32)=0,0,SUP_CONTROL!$C$8*IF($B39="V",1,IF($B39="D",(1+SUP_VOLUMEN!$C$26),(1+SUP_VOLUMEN!$C$27)))*INDEX(SUP_C3_EXPANSION!$C$6:$F$6,MIN(4,COUNTIF(CAPA3_EXPANSION!$D$56:AI$56,"&gt;="&amp;32)))*CAPA3_EXPANSION!AI$36)</f>
        <v>0</v>
      </c>
      <c r="AJ39" s="88">
        <f>IF(COUNTIF(CAPA3_EXPANSION!$D$56:AJ$56,"&gt;="&amp;32)=0,0,SUP_CONTROL!$C$8*IF($B39="V",1,IF($B39="D",(1+SUP_VOLUMEN!$C$26),(1+SUP_VOLUMEN!$C$27)))*INDEX(SUP_C3_EXPANSION!$C$6:$F$6,MIN(4,COUNTIF(CAPA3_EXPANSION!$D$56:AJ$56,"&gt;="&amp;32)))*CAPA3_EXPANSION!AJ$36)</f>
        <v>0</v>
      </c>
      <c r="AK39" s="88">
        <f>IF(COUNTIF(CAPA3_EXPANSION!$D$56:AK$56,"&gt;="&amp;32)=0,0,SUP_CONTROL!$C$8*IF($B39="V",1,IF($B39="D",(1+SUP_VOLUMEN!$C$26),(1+SUP_VOLUMEN!$C$27)))*INDEX(SUP_C3_EXPANSION!$C$6:$F$6,MIN(4,COUNTIF(CAPA3_EXPANSION!$D$56:AK$56,"&gt;="&amp;32)))*CAPA3_EXPANSION!AK$36)</f>
        <v>0</v>
      </c>
      <c r="AL39" s="88">
        <f>IF(COUNTIF(CAPA3_EXPANSION!$D$56:AL$56,"&gt;="&amp;32)=0,0,SUP_CONTROL!$C$8*IF($B39="V",1,IF($B39="D",(1+SUP_VOLUMEN!$C$26),(1+SUP_VOLUMEN!$C$27)))*INDEX(SUP_C3_EXPANSION!$C$6:$F$6,MIN(4,COUNTIF(CAPA3_EXPANSION!$D$56:AL$56,"&gt;="&amp;32)))*CAPA3_EXPANSION!AL$36)</f>
        <v>0</v>
      </c>
      <c r="AM39" s="88">
        <f>IF(COUNTIF(CAPA3_EXPANSION!$D$56:AM$56,"&gt;="&amp;32)=0,0,SUP_CONTROL!$C$8*IF($B39="V",1,IF($B39="D",(1+SUP_VOLUMEN!$C$26),(1+SUP_VOLUMEN!$C$27)))*INDEX(SUP_C3_EXPANSION!$C$6:$F$6,MIN(4,COUNTIF(CAPA3_EXPANSION!$D$56:AM$56,"&gt;="&amp;32)))*CAPA3_EXPANSION!AM$36)</f>
        <v>0</v>
      </c>
      <c r="AN39" s="88">
        <f>IF(COUNTIF(CAPA3_EXPANSION!$D$56:AN$56,"&gt;="&amp;32)=0,0,SUP_CONTROL!$C$8*IF($B39="V",1,IF($B39="D",(1+SUP_VOLUMEN!$C$26),(1+SUP_VOLUMEN!$C$27)))*INDEX(SUP_C3_EXPANSION!$C$6:$F$6,MIN(4,COUNTIF(CAPA3_EXPANSION!$D$56:AN$56,"&gt;="&amp;32)))*CAPA3_EXPANSION!AN$36)</f>
        <v>0</v>
      </c>
      <c r="AO39" s="88">
        <f>IF(COUNTIF(CAPA3_EXPANSION!$D$56:AO$56,"&gt;="&amp;32)=0,0,SUP_CONTROL!$C$8*IF($B39="V",1,IF($B39="D",(1+SUP_VOLUMEN!$C$26),(1+SUP_VOLUMEN!$C$27)))*INDEX(SUP_C3_EXPANSION!$C$6:$F$6,MIN(4,COUNTIF(CAPA3_EXPANSION!$D$56:AO$56,"&gt;="&amp;32)))*CAPA3_EXPANSION!AO$36)</f>
        <v>0</v>
      </c>
      <c r="AP39" s="88">
        <f>IF(COUNTIF(CAPA3_EXPANSION!$D$56:AP$56,"&gt;="&amp;32)=0,0,SUP_CONTROL!$C$8*IF($B39="V",1,IF($B39="D",(1+SUP_VOLUMEN!$C$26),(1+SUP_VOLUMEN!$C$27)))*INDEX(SUP_C3_EXPANSION!$C$6:$F$6,MIN(4,COUNTIF(CAPA3_EXPANSION!$D$56:AP$56,"&gt;="&amp;32)))*CAPA3_EXPANSION!AP$36)</f>
        <v>0</v>
      </c>
      <c r="AQ39" s="88">
        <f>IF(COUNTIF(CAPA3_EXPANSION!$D$56:AQ$56,"&gt;="&amp;32)=0,0,SUP_CONTROL!$C$8*IF($B39="V",1,IF($B39="D",(1+SUP_VOLUMEN!$C$26),(1+SUP_VOLUMEN!$C$27)))*INDEX(SUP_C3_EXPANSION!$C$6:$F$6,MIN(4,COUNTIF(CAPA3_EXPANSION!$D$56:AQ$56,"&gt;="&amp;32)))*CAPA3_EXPANSION!AQ$36)</f>
        <v>0</v>
      </c>
      <c r="AR39" s="88">
        <f>IF(COUNTIF(CAPA3_EXPANSION!$D$56:AR$56,"&gt;="&amp;32)=0,0,SUP_CONTROL!$C$8*IF($B39="V",1,IF($B39="D",(1+SUP_VOLUMEN!$C$26),(1+SUP_VOLUMEN!$C$27)))*INDEX(SUP_C3_EXPANSION!$C$6:$F$6,MIN(4,COUNTIF(CAPA3_EXPANSION!$D$56:AR$56,"&gt;="&amp;32)))*CAPA3_EXPANSION!AR$36)</f>
        <v>0</v>
      </c>
      <c r="AS39" s="88">
        <f>IF(COUNTIF(CAPA3_EXPANSION!$D$56:AS$56,"&gt;="&amp;32)=0,0,SUP_CONTROL!$C$8*IF($B39="V",1,IF($B39="D",(1+SUP_VOLUMEN!$C$26),(1+SUP_VOLUMEN!$C$27)))*INDEX(SUP_C3_EXPANSION!$C$6:$F$6,MIN(4,COUNTIF(CAPA3_EXPANSION!$D$56:AS$56,"&gt;="&amp;32)))*CAPA3_EXPANSION!AS$36)</f>
        <v>0</v>
      </c>
      <c r="AT39" s="88">
        <f>IF(COUNTIF(CAPA3_EXPANSION!$D$56:AT$56,"&gt;="&amp;32)=0,0,SUP_CONTROL!$C$8*IF($B39="V",1,IF($B39="D",(1+SUP_VOLUMEN!$C$26),(1+SUP_VOLUMEN!$C$27)))*INDEX(SUP_C3_EXPANSION!$C$6:$F$6,MIN(4,COUNTIF(CAPA3_EXPANSION!$D$56:AT$56,"&gt;="&amp;32)))*CAPA3_EXPANSION!AT$36)</f>
        <v>0</v>
      </c>
      <c r="AU39" s="88">
        <f>IF(COUNTIF(CAPA3_EXPANSION!$D$56:AU$56,"&gt;="&amp;32)=0,0,SUP_CONTROL!$C$8*IF($B39="V",1,IF($B39="D",(1+SUP_VOLUMEN!$C$26),(1+SUP_VOLUMEN!$C$27)))*INDEX(SUP_C3_EXPANSION!$C$6:$F$6,MIN(4,COUNTIF(CAPA3_EXPANSION!$D$56:AU$56,"&gt;="&amp;32)))*CAPA3_EXPANSION!AU$36)</f>
        <v>0</v>
      </c>
      <c r="AV39" s="88">
        <f>IF(COUNTIF(CAPA3_EXPANSION!$D$56:AV$56,"&gt;="&amp;32)=0,0,SUP_CONTROL!$C$8*IF($B39="V",1,IF($B39="D",(1+SUP_VOLUMEN!$C$26),(1+SUP_VOLUMEN!$C$27)))*INDEX(SUP_C3_EXPANSION!$C$6:$F$6,MIN(4,COUNTIF(CAPA3_EXPANSION!$D$56:AV$56,"&gt;="&amp;32)))*CAPA3_EXPANSION!AV$36)</f>
        <v>0</v>
      </c>
      <c r="AW39" s="88">
        <f>IF(COUNTIF(CAPA3_EXPANSION!$D$56:AW$56,"&gt;="&amp;32)=0,0,SUP_CONTROL!$C$8*IF($B39="V",1,IF($B39="D",(1+SUP_VOLUMEN!$C$26),(1+SUP_VOLUMEN!$C$27)))*INDEX(SUP_C3_EXPANSION!$C$6:$F$6,MIN(4,COUNTIF(CAPA3_EXPANSION!$D$56:AW$56,"&gt;="&amp;32)))*CAPA3_EXPANSION!AW$36)</f>
        <v>0</v>
      </c>
      <c r="AX39" s="88">
        <f>IF(COUNTIF(CAPA3_EXPANSION!$D$56:AX$56,"&gt;="&amp;32)=0,0,SUP_CONTROL!$C$8*IF($B39="V",1,IF($B39="D",(1+SUP_VOLUMEN!$C$26),(1+SUP_VOLUMEN!$C$27)))*INDEX(SUP_C3_EXPANSION!$C$6:$F$6,MIN(4,COUNTIF(CAPA3_EXPANSION!$D$56:AX$56,"&gt;="&amp;32)))*CAPA3_EXPANSION!AX$36)</f>
        <v>0</v>
      </c>
      <c r="AY39" s="88">
        <f>IF(COUNTIF(CAPA3_EXPANSION!$D$56:AY$56,"&gt;="&amp;32)=0,0,SUP_CONTROL!$C$8*IF($B39="V",1,IF($B39="D",(1+SUP_VOLUMEN!$C$26),(1+SUP_VOLUMEN!$C$27)))*INDEX(SUP_C3_EXPANSION!$C$6:$F$6,MIN(4,COUNTIF(CAPA3_EXPANSION!$D$56:AY$56,"&gt;="&amp;32)))*CAPA3_EXPANSION!AY$36)</f>
        <v>0</v>
      </c>
      <c r="AZ39" s="88">
        <f>IF(COUNTIF(CAPA3_EXPANSION!$D$56:AZ$56,"&gt;="&amp;32)=0,0,SUP_CONTROL!$C$8*IF($B39="V",1,IF($B39="D",(1+SUP_VOLUMEN!$C$26),(1+SUP_VOLUMEN!$C$27)))*INDEX(SUP_C3_EXPANSION!$C$6:$F$6,MIN(4,COUNTIF(CAPA3_EXPANSION!$D$56:AZ$56,"&gt;="&amp;32)))*CAPA3_EXPANSION!AZ$36)</f>
        <v>0</v>
      </c>
      <c r="BA39" s="88">
        <f>IF(COUNTIF(CAPA3_EXPANSION!$D$56:BA$56,"&gt;="&amp;32)=0,0,SUP_CONTROL!$C$8*IF($B39="V",1,IF($B39="D",(1+SUP_VOLUMEN!$C$26),(1+SUP_VOLUMEN!$C$27)))*INDEX(SUP_C3_EXPANSION!$C$6:$F$6,MIN(4,COUNTIF(CAPA3_EXPANSION!$D$56:BA$56,"&gt;="&amp;32)))*CAPA3_EXPANSION!BA$36)</f>
        <v>0</v>
      </c>
      <c r="BB39" s="88">
        <f>IF(COUNTIF(CAPA3_EXPANSION!$D$56:BB$56,"&gt;="&amp;32)=0,0,SUP_CONTROL!$C$8*IF($B39="V",1,IF($B39="D",(1+SUP_VOLUMEN!$C$26),(1+SUP_VOLUMEN!$C$27)))*INDEX(SUP_C3_EXPANSION!$C$6:$F$6,MIN(4,COUNTIF(CAPA3_EXPANSION!$D$56:BB$56,"&gt;="&amp;32)))*CAPA3_EXPANSION!BB$36)</f>
        <v>0</v>
      </c>
      <c r="BC39" s="88">
        <f>IF(COUNTIF(CAPA3_EXPANSION!$D$56:BC$56,"&gt;="&amp;32)=0,0,SUP_CONTROL!$C$8*IF($B39="V",1,IF($B39="D",(1+SUP_VOLUMEN!$C$26),(1+SUP_VOLUMEN!$C$27)))*INDEX(SUP_C3_EXPANSION!$C$6:$F$6,MIN(4,COUNTIF(CAPA3_EXPANSION!$D$56:BC$56,"&gt;="&amp;32)))*CAPA3_EXPANSION!BC$36)</f>
        <v>0</v>
      </c>
      <c r="BD39" s="88">
        <f>IF(COUNTIF(CAPA3_EXPANSION!$D$56:BD$56,"&gt;="&amp;32)=0,0,SUP_CONTROL!$C$8*IF($B39="V",1,IF($B39="D",(1+SUP_VOLUMEN!$C$26),(1+SUP_VOLUMEN!$C$27)))*INDEX(SUP_C3_EXPANSION!$C$6:$F$6,MIN(4,COUNTIF(CAPA3_EXPANSION!$D$56:BD$56,"&gt;="&amp;32)))*CAPA3_EXPANSION!BD$36)</f>
        <v>0</v>
      </c>
      <c r="BE39" s="88">
        <f>IF(COUNTIF(CAPA3_EXPANSION!$D$56:BE$56,"&gt;="&amp;32)=0,0,SUP_CONTROL!$C$8*IF($B39="V",1,IF($B39="D",(1+SUP_VOLUMEN!$C$26),(1+SUP_VOLUMEN!$C$27)))*INDEX(SUP_C3_EXPANSION!$C$6:$F$6,MIN(4,COUNTIF(CAPA3_EXPANSION!$D$56:BE$56,"&gt;="&amp;32)))*CAPA3_EXPANSION!BE$36)</f>
        <v>0</v>
      </c>
      <c r="BF39" s="88">
        <f>IF(COUNTIF(CAPA3_EXPANSION!$D$56:BF$56,"&gt;="&amp;32)=0,0,SUP_CONTROL!$C$8*IF($B39="V",1,IF($B39="D",(1+SUP_VOLUMEN!$C$26),(1+SUP_VOLUMEN!$C$27)))*INDEX(SUP_C3_EXPANSION!$C$6:$F$6,MIN(4,COUNTIF(CAPA3_EXPANSION!$D$56:BF$56,"&gt;="&amp;32)))*CAPA3_EXPANSION!BF$36)</f>
        <v>0</v>
      </c>
      <c r="BG39" s="88">
        <f>IF(COUNTIF(CAPA3_EXPANSION!$D$56:BG$56,"&gt;="&amp;32)=0,0,SUP_CONTROL!$C$8*IF($B39="V",1,IF($B39="D",(1+SUP_VOLUMEN!$C$26),(1+SUP_VOLUMEN!$C$27)))*INDEX(SUP_C3_EXPANSION!$C$6:$F$6,MIN(4,COUNTIF(CAPA3_EXPANSION!$D$56:BG$56,"&gt;="&amp;32)))*CAPA3_EXPANSION!BG$36)</f>
        <v>0</v>
      </c>
      <c r="BH39" s="88">
        <f>IF(COUNTIF(CAPA3_EXPANSION!$D$56:BH$56,"&gt;="&amp;32)=0,0,SUP_CONTROL!$C$8*IF($B39="V",1,IF($B39="D",(1+SUP_VOLUMEN!$C$26),(1+SUP_VOLUMEN!$C$27)))*INDEX(SUP_C3_EXPANSION!$C$6:$F$6,MIN(4,COUNTIF(CAPA3_EXPANSION!$D$56:BH$56,"&gt;="&amp;32)))*CAPA3_EXPANSION!BH$36)</f>
        <v>0</v>
      </c>
      <c r="BI39" s="88">
        <f>IF(COUNTIF(CAPA3_EXPANSION!$D$56:BI$56,"&gt;="&amp;32)=0,0,SUP_CONTROL!$C$8*IF($B39="V",1,IF($B39="D",(1+SUP_VOLUMEN!$C$26),(1+SUP_VOLUMEN!$C$27)))*INDEX(SUP_C3_EXPANSION!$C$6:$F$6,MIN(4,COUNTIF(CAPA3_EXPANSION!$D$56:BI$56,"&gt;="&amp;32)))*CAPA3_EXPANSION!BI$36)</f>
        <v>0</v>
      </c>
      <c r="BJ39" s="88">
        <f>IF(COUNTIF(CAPA3_EXPANSION!$D$56:BJ$56,"&gt;="&amp;32)=0,0,SUP_CONTROL!$C$8*IF($B39="V",1,IF($B39="D",(1+SUP_VOLUMEN!$C$26),(1+SUP_VOLUMEN!$C$27)))*INDEX(SUP_C3_EXPANSION!$C$6:$F$6,MIN(4,COUNTIF(CAPA3_EXPANSION!$D$56:BJ$56,"&gt;="&amp;32)))*CAPA3_EXPANSION!BJ$36)</f>
        <v>0</v>
      </c>
      <c r="BK39" s="88">
        <f>IF(COUNTIF(CAPA3_EXPANSION!$D$56:BK$56,"&gt;="&amp;32)=0,0,SUP_CONTROL!$C$8*IF($B39="V",1,IF($B39="D",(1+SUP_VOLUMEN!$C$26),(1+SUP_VOLUMEN!$C$27)))*INDEX(SUP_C3_EXPANSION!$C$6:$F$6,MIN(4,COUNTIF(CAPA3_EXPANSION!$D$56:BK$56,"&gt;="&amp;32)))*CAPA3_EXPANSION!BK$36)</f>
        <v>0</v>
      </c>
      <c r="BL39" s="88">
        <f>IF(COUNTIF(CAPA3_EXPANSION!$D$56:BL$56,"&gt;="&amp;32)=0,0,SUP_CONTROL!$C$8*IF($B39="V",1,IF($B39="D",(1+SUP_VOLUMEN!$C$26),(1+SUP_VOLUMEN!$C$27)))*INDEX(SUP_C3_EXPANSION!$C$6:$F$6,MIN(4,COUNTIF(CAPA3_EXPANSION!$D$56:BL$56,"&gt;="&amp;32)))*CAPA3_EXPANSION!BL$36)</f>
        <v>0</v>
      </c>
      <c r="BM39" s="88">
        <f>IF(COUNTIF(CAPA3_EXPANSION!$D$56:BM$56,"&gt;="&amp;32)=0,0,SUP_CONTROL!$C$8*IF($B39="V",1,IF($B39="D",(1+SUP_VOLUMEN!$C$26),(1+SUP_VOLUMEN!$C$27)))*INDEX(SUP_C3_EXPANSION!$C$6:$F$6,MIN(4,COUNTIF(CAPA3_EXPANSION!$D$56:BM$56,"&gt;="&amp;32)))*CAPA3_EXPANSION!BM$36)</f>
        <v>0</v>
      </c>
      <c r="BN39" s="88">
        <f>IF(COUNTIF(CAPA3_EXPANSION!$D$56:BN$56,"&gt;="&amp;32)=0,0,SUP_CONTROL!$C$8*IF($B39="V",1,IF($B39="D",(1+SUP_VOLUMEN!$C$26),(1+SUP_VOLUMEN!$C$27)))*INDEX(SUP_C3_EXPANSION!$C$6:$F$6,MIN(4,COUNTIF(CAPA3_EXPANSION!$D$56:BN$56,"&gt;="&amp;32)))*CAPA3_EXPANSION!BN$36)</f>
        <v>0</v>
      </c>
      <c r="BO39" s="88">
        <f>IF(COUNTIF(CAPA3_EXPANSION!$D$56:BO$56,"&gt;="&amp;32)=0,0,SUP_CONTROL!$C$8*IF($B39="V",1,IF($B39="D",(1+SUP_VOLUMEN!$C$26),(1+SUP_VOLUMEN!$C$27)))*INDEX(SUP_C3_EXPANSION!$C$6:$F$6,MIN(4,COUNTIF(CAPA3_EXPANSION!$D$56:BO$56,"&gt;="&amp;32)))*CAPA3_EXPANSION!BO$36)</f>
        <v>0</v>
      </c>
      <c r="BP39" s="88">
        <f>IF(COUNTIF(CAPA3_EXPANSION!$D$56:BP$56,"&gt;="&amp;32)=0,0,SUP_CONTROL!$C$8*IF($B39="V",1,IF($B39="D",(1+SUP_VOLUMEN!$C$26),(1+SUP_VOLUMEN!$C$27)))*INDEX(SUP_C3_EXPANSION!$C$6:$F$6,MIN(4,COUNTIF(CAPA3_EXPANSION!$D$56:BP$56,"&gt;="&amp;32)))*CAPA3_EXPANSION!BP$36)</f>
        <v>0</v>
      </c>
      <c r="BQ39" s="88">
        <f>IF(COUNTIF(CAPA3_EXPANSION!$D$56:BQ$56,"&gt;="&amp;32)=0,0,SUP_CONTROL!$C$8*IF($B39="V",1,IF($B39="D",(1+SUP_VOLUMEN!$C$26),(1+SUP_VOLUMEN!$C$27)))*INDEX(SUP_C3_EXPANSION!$C$6:$F$6,MIN(4,COUNTIF(CAPA3_EXPANSION!$D$56:BQ$56,"&gt;="&amp;32)))*CAPA3_EXPANSION!BQ$36)</f>
        <v>0</v>
      </c>
      <c r="BR39" s="88">
        <f>IF(COUNTIF(CAPA3_EXPANSION!$D$56:BR$56,"&gt;="&amp;32)=0,0,SUP_CONTROL!$C$8*IF($B39="V",1,IF($B39="D",(1+SUP_VOLUMEN!$C$26),(1+SUP_VOLUMEN!$C$27)))*INDEX(SUP_C3_EXPANSION!$C$6:$F$6,MIN(4,COUNTIF(CAPA3_EXPANSION!$D$56:BR$56,"&gt;="&amp;32)))*CAPA3_EXPANSION!BR$36)</f>
        <v>0</v>
      </c>
      <c r="BS39" s="88">
        <f>IF(COUNTIF(CAPA3_EXPANSION!$D$56:BS$56,"&gt;="&amp;32)=0,0,SUP_CONTROL!$C$8*IF($B39="V",1,IF($B39="D",(1+SUP_VOLUMEN!$C$26),(1+SUP_VOLUMEN!$C$27)))*INDEX(SUP_C3_EXPANSION!$C$6:$F$6,MIN(4,COUNTIF(CAPA3_EXPANSION!$D$56:BS$56,"&gt;="&amp;32)))*CAPA3_EXPANSION!BS$36)</f>
        <v>0</v>
      </c>
      <c r="BT39" s="88">
        <f>IF(COUNTIF(CAPA3_EXPANSION!$D$56:BT$56,"&gt;="&amp;32)=0,0,SUP_CONTROL!$C$8*IF($B39="V",1,IF($B39="D",(1+SUP_VOLUMEN!$C$26),(1+SUP_VOLUMEN!$C$27)))*INDEX(SUP_C3_EXPANSION!$C$6:$F$6,MIN(4,COUNTIF(CAPA3_EXPANSION!$D$56:BT$56,"&gt;="&amp;32)))*CAPA3_EXPANSION!BT$36)</f>
        <v>0</v>
      </c>
      <c r="BU39" s="88">
        <f>IF(COUNTIF(CAPA3_EXPANSION!$D$56:BU$56,"&gt;="&amp;32)=0,0,SUP_CONTROL!$C$8*IF($B39="V",1,IF($B39="D",(1+SUP_VOLUMEN!$C$26),(1+SUP_VOLUMEN!$C$27)))*INDEX(SUP_C3_EXPANSION!$C$6:$F$6,MIN(4,COUNTIF(CAPA3_EXPANSION!$D$56:BU$56,"&gt;="&amp;32)))*CAPA3_EXPANSION!BU$36)</f>
        <v>1860.2675000000002</v>
      </c>
      <c r="BV39" s="88">
        <f>IF(COUNTIF(CAPA3_EXPANSION!$D$56:BV$56,"&gt;="&amp;32)=0,0,SUP_CONTROL!$C$8*IF($B39="V",1,IF($B39="D",(1+SUP_VOLUMEN!$C$26),(1+SUP_VOLUMEN!$C$27)))*INDEX(SUP_C3_EXPANSION!$C$6:$F$6,MIN(4,COUNTIF(CAPA3_EXPANSION!$D$56:BV$56,"&gt;="&amp;32)))*CAPA3_EXPANSION!BV$36)</f>
        <v>2289.5600000000004</v>
      </c>
      <c r="BW39" s="88">
        <f>IF(COUNTIF(CAPA3_EXPANSION!$D$56:BW$56,"&gt;="&amp;32)=0,0,SUP_CONTROL!$C$8*IF($B39="V",1,IF($B39="D",(1+SUP_VOLUMEN!$C$26),(1+SUP_VOLUMEN!$C$27)))*INDEX(SUP_C3_EXPANSION!$C$6:$F$6,MIN(4,COUNTIF(CAPA3_EXPANSION!$D$56:BW$56,"&gt;="&amp;32)))*CAPA3_EXPANSION!BW$36)</f>
        <v>2575.7550000000001</v>
      </c>
      <c r="BX39" s="88">
        <f>IF(COUNTIF(CAPA3_EXPANSION!$D$56:BX$56,"&gt;="&amp;32)=0,0,SUP_CONTROL!$C$8*IF($B39="V",1,IF($B39="D",(1+SUP_VOLUMEN!$C$26),(1+SUP_VOLUMEN!$C$27)))*INDEX(SUP_C3_EXPANSION!$C$6:$F$6,MIN(4,COUNTIF(CAPA3_EXPANSION!$D$56:BX$56,"&gt;="&amp;32)))*CAPA3_EXPANSION!BX$36)</f>
        <v>2861.95</v>
      </c>
      <c r="BY39" s="88">
        <f>IF(COUNTIF(CAPA3_EXPANSION!$D$56:BY$56,"&gt;="&amp;32)=0,0,SUP_CONTROL!$C$8*IF($B39="V",1,IF($B39="D",(1+SUP_VOLUMEN!$C$26),(1+SUP_VOLUMEN!$C$27)))*INDEX(SUP_C3_EXPANSION!$C$6:$F$6,MIN(4,COUNTIF(CAPA3_EXPANSION!$D$56:BY$56,"&gt;="&amp;32)))*CAPA3_EXPANSION!BY$36)</f>
        <v>2861.95</v>
      </c>
      <c r="BZ39" s="88">
        <f>IF(COUNTIF(CAPA3_EXPANSION!$D$56:BZ$56,"&gt;="&amp;32)=0,0,SUP_CONTROL!$C$8*IF($B39="V",1,IF($B39="D",(1+SUP_VOLUMEN!$C$26),(1+SUP_VOLUMEN!$C$27)))*INDEX(SUP_C3_EXPANSION!$C$6:$F$6,MIN(4,COUNTIF(CAPA3_EXPANSION!$D$56:BZ$56,"&gt;="&amp;32)))*CAPA3_EXPANSION!BZ$36)</f>
        <v>2828.2799999999997</v>
      </c>
      <c r="CA39" s="88">
        <f>IF(COUNTIF(CAPA3_EXPANSION!$D$56:CA$56,"&gt;="&amp;32)=0,0,SUP_CONTROL!$C$8*IF($B39="V",1,IF($B39="D",(1+SUP_VOLUMEN!$C$26),(1+SUP_VOLUMEN!$C$27)))*INDEX(SUP_C3_EXPANSION!$C$6:$F$6,MIN(4,COUNTIF(CAPA3_EXPANSION!$D$56:CA$56,"&gt;="&amp;32)))*CAPA3_EXPANSION!CA$36)</f>
        <v>2828.2799999999997</v>
      </c>
      <c r="CB39" s="88">
        <f>IF(COUNTIF(CAPA3_EXPANSION!$D$56:CB$56,"&gt;="&amp;32)=0,0,SUP_CONTROL!$C$8*IF($B39="V",1,IF($B39="D",(1+SUP_VOLUMEN!$C$26),(1+SUP_VOLUMEN!$C$27)))*INDEX(SUP_C3_EXPANSION!$C$6:$F$6,MIN(4,COUNTIF(CAPA3_EXPANSION!$D$56:CB$56,"&gt;="&amp;32)))*CAPA3_EXPANSION!CB$36)</f>
        <v>2828.2799999999997</v>
      </c>
      <c r="CC39" s="88">
        <f>IF(COUNTIF(CAPA3_EXPANSION!$D$56:CC$56,"&gt;="&amp;32)=0,0,SUP_CONTROL!$C$8*IF($B39="V",1,IF($B39="D",(1+SUP_VOLUMEN!$C$26),(1+SUP_VOLUMEN!$C$27)))*INDEX(SUP_C3_EXPANSION!$C$6:$F$6,MIN(4,COUNTIF(CAPA3_EXPANSION!$D$56:CC$56,"&gt;="&amp;32)))*CAPA3_EXPANSION!CC$36)</f>
        <v>2828.2799999999997</v>
      </c>
      <c r="CD39" s="88">
        <f>IF(COUNTIF(CAPA3_EXPANSION!$D$56:CD$56,"&gt;="&amp;32)=0,0,SUP_CONTROL!$C$8*IF($B39="V",1,IF($B39="D",(1+SUP_VOLUMEN!$C$26),(1+SUP_VOLUMEN!$C$27)))*INDEX(SUP_C3_EXPANSION!$C$6:$F$6,MIN(4,COUNTIF(CAPA3_EXPANSION!$D$56:CD$56,"&gt;="&amp;32)))*CAPA3_EXPANSION!CD$36)</f>
        <v>2828.2799999999997</v>
      </c>
      <c r="CE39" s="88">
        <f>IF(COUNTIF(CAPA3_EXPANSION!$D$56:CE$56,"&gt;="&amp;32)=0,0,SUP_CONTROL!$C$8*IF($B39="V",1,IF($B39="D",(1+SUP_VOLUMEN!$C$26),(1+SUP_VOLUMEN!$C$27)))*INDEX(SUP_C3_EXPANSION!$C$6:$F$6,MIN(4,COUNTIF(CAPA3_EXPANSION!$D$56:CE$56,"&gt;="&amp;32)))*CAPA3_EXPANSION!CE$36)</f>
        <v>2828.2799999999997</v>
      </c>
      <c r="CF39" s="88">
        <f>IF(COUNTIF(CAPA3_EXPANSION!$D$56:CF$56,"&gt;="&amp;32)=0,0,SUP_CONTROL!$C$8*IF($B39="V",1,IF($B39="D",(1+SUP_VOLUMEN!$C$26),(1+SUP_VOLUMEN!$C$27)))*INDEX(SUP_C3_EXPANSION!$C$6:$F$6,MIN(4,COUNTIF(CAPA3_EXPANSION!$D$56:CF$56,"&gt;="&amp;32)))*CAPA3_EXPANSION!CF$36)</f>
        <v>2828.2799999999997</v>
      </c>
      <c r="CG39" s="88">
        <f>IF(COUNTIF(CAPA3_EXPANSION!$D$56:CG$56,"&gt;="&amp;32)=0,0,SUP_CONTROL!$C$8*IF($B39="V",1,IF($B39="D",(1+SUP_VOLUMEN!$C$26),(1+SUP_VOLUMEN!$C$27)))*INDEX(SUP_C3_EXPANSION!$C$6:$F$6,MIN(4,COUNTIF(CAPA3_EXPANSION!$D$56:CG$56,"&gt;="&amp;32)))*CAPA3_EXPANSION!CG$36)</f>
        <v>2828.2799999999997</v>
      </c>
      <c r="CH39" s="88">
        <f>IF(COUNTIF(CAPA3_EXPANSION!$D$56:CH$56,"&gt;="&amp;32)=0,0,SUP_CONTROL!$C$8*IF($B39="V",1,IF($B39="D",(1+SUP_VOLUMEN!$C$26),(1+SUP_VOLUMEN!$C$27)))*INDEX(SUP_C3_EXPANSION!$C$6:$F$6,MIN(4,COUNTIF(CAPA3_EXPANSION!$D$56:CH$56,"&gt;="&amp;32)))*CAPA3_EXPANSION!CH$36)</f>
        <v>2828.2799999999997</v>
      </c>
      <c r="CI39" s="88">
        <f>IF(COUNTIF(CAPA3_EXPANSION!$D$56:CI$56,"&gt;="&amp;32)=0,0,SUP_CONTROL!$C$8*IF($B39="V",1,IF($B39="D",(1+SUP_VOLUMEN!$C$26),(1+SUP_VOLUMEN!$C$27)))*INDEX(SUP_C3_EXPANSION!$C$6:$F$6,MIN(4,COUNTIF(CAPA3_EXPANSION!$D$56:CI$56,"&gt;="&amp;32)))*CAPA3_EXPANSION!CI$36)</f>
        <v>2828.2799999999997</v>
      </c>
      <c r="CJ39" s="88">
        <f>IF(COUNTIF(CAPA3_EXPANSION!$D$56:CJ$56,"&gt;="&amp;32)=0,0,SUP_CONTROL!$C$8*IF($B39="V",1,IF($B39="D",(1+SUP_VOLUMEN!$C$26),(1+SUP_VOLUMEN!$C$27)))*INDEX(SUP_C3_EXPANSION!$C$6:$F$6,MIN(4,COUNTIF(CAPA3_EXPANSION!$D$56:CJ$56,"&gt;="&amp;32)))*CAPA3_EXPANSION!CJ$36)</f>
        <v>2828.2799999999997</v>
      </c>
      <c r="CK39" s="88">
        <f>IF(COUNTIF(CAPA3_EXPANSION!$D$56:CK$56,"&gt;="&amp;32)=0,0,SUP_CONTROL!$C$8*IF($B39="V",1,IF($B39="D",(1+SUP_VOLUMEN!$C$26),(1+SUP_VOLUMEN!$C$27)))*INDEX(SUP_C3_EXPANSION!$C$6:$F$6,MIN(4,COUNTIF(CAPA3_EXPANSION!$D$56:CK$56,"&gt;="&amp;32)))*CAPA3_EXPANSION!CK$36)</f>
        <v>2828.2799999999997</v>
      </c>
      <c r="CL39" s="88">
        <f>IF(COUNTIF(CAPA3_EXPANSION!$D$56:CL$56,"&gt;="&amp;32)=0,0,SUP_CONTROL!$C$8*IF($B39="V",1,IF($B39="D",(1+SUP_VOLUMEN!$C$26),(1+SUP_VOLUMEN!$C$27)))*INDEX(SUP_C3_EXPANSION!$C$6:$F$6,MIN(4,COUNTIF(CAPA3_EXPANSION!$D$56:CL$56,"&gt;="&amp;32)))*CAPA3_EXPANSION!CL$36)</f>
        <v>2828.2799999999997</v>
      </c>
      <c r="CM39" s="88">
        <f>IF(COUNTIF(CAPA3_EXPANSION!$D$56:CM$56,"&gt;="&amp;32)=0,0,SUP_CONTROL!$C$8*IF($B39="V",1,IF($B39="D",(1+SUP_VOLUMEN!$C$26),(1+SUP_VOLUMEN!$C$27)))*INDEX(SUP_C3_EXPANSION!$C$6:$F$6,MIN(4,COUNTIF(CAPA3_EXPANSION!$D$56:CM$56,"&gt;="&amp;32)))*CAPA3_EXPANSION!CM$36)</f>
        <v>2828.2799999999997</v>
      </c>
      <c r="CN39" s="88">
        <f>IF(COUNTIF(CAPA3_EXPANSION!$D$56:CN$56,"&gt;="&amp;32)=0,0,SUP_CONTROL!$C$8*IF($B39="V",1,IF($B39="D",(1+SUP_VOLUMEN!$C$26),(1+SUP_VOLUMEN!$C$27)))*INDEX(SUP_C3_EXPANSION!$C$6:$F$6,MIN(4,COUNTIF(CAPA3_EXPANSION!$D$56:CN$56,"&gt;="&amp;32)))*CAPA3_EXPANSION!CN$36)</f>
        <v>2828.2799999999997</v>
      </c>
      <c r="CO39" s="88">
        <f>IF(COUNTIF(CAPA3_EXPANSION!$D$56:CO$56,"&gt;="&amp;32)=0,0,SUP_CONTROL!$C$8*IF($B39="V",1,IF($B39="D",(1+SUP_VOLUMEN!$C$26),(1+SUP_VOLUMEN!$C$27)))*INDEX(SUP_C3_EXPANSION!$C$6:$F$6,MIN(4,COUNTIF(CAPA3_EXPANSION!$D$56:CO$56,"&gt;="&amp;32)))*CAPA3_EXPANSION!CO$36)</f>
        <v>2828.2799999999997</v>
      </c>
      <c r="CP39" s="88">
        <f>IF(COUNTIF(CAPA3_EXPANSION!$D$56:CP$56,"&gt;="&amp;32)=0,0,SUP_CONTROL!$C$8*IF($B39="V",1,IF($B39="D",(1+SUP_VOLUMEN!$C$26),(1+SUP_VOLUMEN!$C$27)))*INDEX(SUP_C3_EXPANSION!$C$6:$F$6,MIN(4,COUNTIF(CAPA3_EXPANSION!$D$56:CP$56,"&gt;="&amp;32)))*CAPA3_EXPANSION!CP$36)</f>
        <v>2828.2799999999997</v>
      </c>
      <c r="CQ39" s="88">
        <f>IF(COUNTIF(CAPA3_EXPANSION!$D$56:CQ$56,"&gt;="&amp;32)=0,0,SUP_CONTROL!$C$8*IF($B39="V",1,IF($B39="D",(1+SUP_VOLUMEN!$C$26),(1+SUP_VOLUMEN!$C$27)))*INDEX(SUP_C3_EXPANSION!$C$6:$F$6,MIN(4,COUNTIF(CAPA3_EXPANSION!$D$56:CQ$56,"&gt;="&amp;32)))*CAPA3_EXPANSION!CQ$36)</f>
        <v>2828.2799999999997</v>
      </c>
      <c r="CR39" s="88">
        <f>IF(COUNTIF(CAPA3_EXPANSION!$D$56:CR$56,"&gt;="&amp;32)=0,0,SUP_CONTROL!$C$8*IF($B39="V",1,IF($B39="D",(1+SUP_VOLUMEN!$C$26),(1+SUP_VOLUMEN!$C$27)))*INDEX(SUP_C3_EXPANSION!$C$6:$F$6,MIN(4,COUNTIF(CAPA3_EXPANSION!$D$56:CR$56,"&gt;="&amp;32)))*CAPA3_EXPANSION!CR$36)</f>
        <v>2828.2799999999997</v>
      </c>
      <c r="CS39" s="88">
        <f>IF(COUNTIF(CAPA3_EXPANSION!$D$56:CS$56,"&gt;="&amp;32)=0,0,SUP_CONTROL!$C$8*IF($B39="V",1,IF($B39="D",(1+SUP_VOLUMEN!$C$26),(1+SUP_VOLUMEN!$C$27)))*INDEX(SUP_C3_EXPANSION!$C$6:$F$6,MIN(4,COUNTIF(CAPA3_EXPANSION!$D$56:CS$56,"&gt;="&amp;32)))*CAPA3_EXPANSION!CS$36)</f>
        <v>2828.2799999999997</v>
      </c>
      <c r="CT39" s="88">
        <f>IF(COUNTIF(CAPA3_EXPANSION!$D$56:CT$56,"&gt;="&amp;32)=0,0,SUP_CONTROL!$C$8*IF($B39="V",1,IF($B39="D",(1+SUP_VOLUMEN!$C$26),(1+SUP_VOLUMEN!$C$27)))*INDEX(SUP_C3_EXPANSION!$C$6:$F$6,MIN(4,COUNTIF(CAPA3_EXPANSION!$D$56:CT$56,"&gt;="&amp;32)))*CAPA3_EXPANSION!CT$36)</f>
        <v>2828.2799999999997</v>
      </c>
      <c r="CU39" s="88">
        <f>IF(COUNTIF(CAPA3_EXPANSION!$D$56:CU$56,"&gt;="&amp;32)=0,0,SUP_CONTROL!$C$8*IF($B39="V",1,IF($B39="D",(1+SUP_VOLUMEN!$C$26),(1+SUP_VOLUMEN!$C$27)))*INDEX(SUP_C3_EXPANSION!$C$6:$F$6,MIN(4,COUNTIF(CAPA3_EXPANSION!$D$56:CU$56,"&gt;="&amp;32)))*CAPA3_EXPANSION!CU$36)</f>
        <v>2828.2799999999997</v>
      </c>
      <c r="CV39" s="88">
        <f>IF(COUNTIF(CAPA3_EXPANSION!$D$56:CV$56,"&gt;="&amp;32)=0,0,SUP_CONTROL!$C$8*IF($B39="V",1,IF($B39="D",(1+SUP_VOLUMEN!$C$26),(1+SUP_VOLUMEN!$C$27)))*INDEX(SUP_C3_EXPANSION!$C$6:$F$6,MIN(4,COUNTIF(CAPA3_EXPANSION!$D$56:CV$56,"&gt;="&amp;32)))*CAPA3_EXPANSION!CV$36)</f>
        <v>2828.2799999999997</v>
      </c>
      <c r="CW39" s="88">
        <f>IF(COUNTIF(CAPA3_EXPANSION!$D$56:CW$56,"&gt;="&amp;32)=0,0,SUP_CONTROL!$C$8*IF($B39="V",1,IF($B39="D",(1+SUP_VOLUMEN!$C$26),(1+SUP_VOLUMEN!$C$27)))*INDEX(SUP_C3_EXPANSION!$C$6:$F$6,MIN(4,COUNTIF(CAPA3_EXPANSION!$D$56:CW$56,"&gt;="&amp;32)))*CAPA3_EXPANSION!CW$36)</f>
        <v>2828.2799999999997</v>
      </c>
      <c r="CX39" s="88">
        <f>IF(COUNTIF(CAPA3_EXPANSION!$D$56:CX$56,"&gt;="&amp;32)=0,0,SUP_CONTROL!$C$8*IF($B39="V",1,IF($B39="D",(1+SUP_VOLUMEN!$C$26),(1+SUP_VOLUMEN!$C$27)))*INDEX(SUP_C3_EXPANSION!$C$6:$F$6,MIN(4,COUNTIF(CAPA3_EXPANSION!$D$56:CX$56,"&gt;="&amp;32)))*CAPA3_EXPANSION!CX$36)</f>
        <v>2828.2799999999997</v>
      </c>
      <c r="CY39" s="88">
        <f>IF(COUNTIF(CAPA3_EXPANSION!$D$56:CY$56,"&gt;="&amp;32)=0,0,SUP_CONTROL!$C$8*IF($B39="V",1,IF($B39="D",(1+SUP_VOLUMEN!$C$26),(1+SUP_VOLUMEN!$C$27)))*INDEX(SUP_C3_EXPANSION!$C$6:$F$6,MIN(4,COUNTIF(CAPA3_EXPANSION!$D$56:CY$56,"&gt;="&amp;32)))*CAPA3_EXPANSION!CY$36)</f>
        <v>2828.2799999999997</v>
      </c>
      <c r="CZ39" s="88">
        <f>IF(COUNTIF(CAPA3_EXPANSION!$D$56:CZ$56,"&gt;="&amp;32)=0,0,SUP_CONTROL!$C$8*IF($B39="V",1,IF($B39="D",(1+SUP_VOLUMEN!$C$26),(1+SUP_VOLUMEN!$C$27)))*INDEX(SUP_C3_EXPANSION!$C$6:$F$6,MIN(4,COUNTIF(CAPA3_EXPANSION!$D$56:CZ$56,"&gt;="&amp;32)))*CAPA3_EXPANSION!CZ$36)</f>
        <v>2828.2799999999997</v>
      </c>
      <c r="DA39" s="88">
        <f>IF(COUNTIF(CAPA3_EXPANSION!$D$56:DA$56,"&gt;="&amp;32)=0,0,SUP_CONTROL!$C$8*IF($B39="V",1,IF($B39="D",(1+SUP_VOLUMEN!$C$26),(1+SUP_VOLUMEN!$C$27)))*INDEX(SUP_C3_EXPANSION!$C$6:$F$6,MIN(4,COUNTIF(CAPA3_EXPANSION!$D$56:DA$56,"&gt;="&amp;32)))*CAPA3_EXPANSION!DA$36)</f>
        <v>2828.2799999999997</v>
      </c>
      <c r="DB39" s="88">
        <f>IF(COUNTIF(CAPA3_EXPANSION!$D$56:DB$56,"&gt;="&amp;32)=0,0,SUP_CONTROL!$C$8*IF($B39="V",1,IF($B39="D",(1+SUP_VOLUMEN!$C$26),(1+SUP_VOLUMEN!$C$27)))*INDEX(SUP_C3_EXPANSION!$C$6:$F$6,MIN(4,COUNTIF(CAPA3_EXPANSION!$D$56:DB$56,"&gt;="&amp;32)))*CAPA3_EXPANSION!DB$36)</f>
        <v>2828.2799999999997</v>
      </c>
      <c r="DC39" s="88">
        <f>IF(COUNTIF(CAPA3_EXPANSION!$D$56:DC$56,"&gt;="&amp;32)=0,0,SUP_CONTROL!$C$8*IF($B39="V",1,IF($B39="D",(1+SUP_VOLUMEN!$C$26),(1+SUP_VOLUMEN!$C$27)))*INDEX(SUP_C3_EXPANSION!$C$6:$F$6,MIN(4,COUNTIF(CAPA3_EXPANSION!$D$56:DC$56,"&gt;="&amp;32)))*CAPA3_EXPANSION!DC$36)</f>
        <v>2828.2799999999997</v>
      </c>
      <c r="DD39" s="88">
        <f>IF(COUNTIF(CAPA3_EXPANSION!$D$56:DD$56,"&gt;="&amp;32)=0,0,SUP_CONTROL!$C$8*IF($B39="V",1,IF($B39="D",(1+SUP_VOLUMEN!$C$26),(1+SUP_VOLUMEN!$C$27)))*INDEX(SUP_C3_EXPANSION!$C$6:$F$6,MIN(4,COUNTIF(CAPA3_EXPANSION!$D$56:DD$56,"&gt;="&amp;32)))*CAPA3_EXPANSION!DD$36)</f>
        <v>2828.2799999999997</v>
      </c>
      <c r="DE39" s="88">
        <f>IF(COUNTIF(CAPA3_EXPANSION!$D$56:DE$56,"&gt;="&amp;32)=0,0,SUP_CONTROL!$C$8*IF($B39="V",1,IF($B39="D",(1+SUP_VOLUMEN!$C$26),(1+SUP_VOLUMEN!$C$27)))*INDEX(SUP_C3_EXPANSION!$C$6:$F$6,MIN(4,COUNTIF(CAPA3_EXPANSION!$D$56:DE$56,"&gt;="&amp;32)))*CAPA3_EXPANSION!DE$36)</f>
        <v>2828.2799999999997</v>
      </c>
      <c r="DF39" s="88">
        <f>IF(COUNTIF(CAPA3_EXPANSION!$D$56:DF$56,"&gt;="&amp;32)=0,0,SUP_CONTROL!$C$8*IF($B39="V",1,IF($B39="D",(1+SUP_VOLUMEN!$C$26),(1+SUP_VOLUMEN!$C$27)))*INDEX(SUP_C3_EXPANSION!$C$6:$F$6,MIN(4,COUNTIF(CAPA3_EXPANSION!$D$56:DF$56,"&gt;="&amp;32)))*CAPA3_EXPANSION!DF$36)</f>
        <v>2828.2799999999997</v>
      </c>
      <c r="DG39" s="88">
        <f>IF(COUNTIF(CAPA3_EXPANSION!$D$56:DG$56,"&gt;="&amp;32)=0,0,SUP_CONTROL!$C$8*IF($B39="V",1,IF($B39="D",(1+SUP_VOLUMEN!$C$26),(1+SUP_VOLUMEN!$C$27)))*INDEX(SUP_C3_EXPANSION!$C$6:$F$6,MIN(4,COUNTIF(CAPA3_EXPANSION!$D$56:DG$56,"&gt;="&amp;32)))*CAPA3_EXPANSION!DG$36)</f>
        <v>2828.2799999999997</v>
      </c>
      <c r="DH39" s="88">
        <f>IF(COUNTIF(CAPA3_EXPANSION!$D$56:DH$56,"&gt;="&amp;32)=0,0,SUP_CONTROL!$C$8*IF($B39="V",1,IF($B39="D",(1+SUP_VOLUMEN!$C$26),(1+SUP_VOLUMEN!$C$27)))*INDEX(SUP_C3_EXPANSION!$C$6:$F$6,MIN(4,COUNTIF(CAPA3_EXPANSION!$D$56:DH$56,"&gt;="&amp;32)))*CAPA3_EXPANSION!DH$36)</f>
        <v>2828.2799999999997</v>
      </c>
      <c r="DI39" s="88">
        <f>IF(COUNTIF(CAPA3_EXPANSION!$D$56:DI$56,"&gt;="&amp;32)=0,0,SUP_CONTROL!$C$8*IF($B39="V",1,IF($B39="D",(1+SUP_VOLUMEN!$C$26),(1+SUP_VOLUMEN!$C$27)))*INDEX(SUP_C3_EXPANSION!$C$6:$F$6,MIN(4,COUNTIF(CAPA3_EXPANSION!$D$56:DI$56,"&gt;="&amp;32)))*CAPA3_EXPANSION!DI$36)</f>
        <v>2828.2799999999997</v>
      </c>
      <c r="DJ39" s="88">
        <f>IF(COUNTIF(CAPA3_EXPANSION!$D$56:DJ$56,"&gt;="&amp;32)=0,0,SUP_CONTROL!$C$8*IF($B39="V",1,IF($B39="D",(1+SUP_VOLUMEN!$C$26),(1+SUP_VOLUMEN!$C$27)))*INDEX(SUP_C3_EXPANSION!$C$6:$F$6,MIN(4,COUNTIF(CAPA3_EXPANSION!$D$56:DJ$56,"&gt;="&amp;32)))*CAPA3_EXPANSION!DJ$36)</f>
        <v>2828.2799999999997</v>
      </c>
      <c r="DK39" s="88">
        <f>IF(COUNTIF(CAPA3_EXPANSION!$D$56:DK$56,"&gt;="&amp;32)=0,0,SUP_CONTROL!$C$8*IF($B39="V",1,IF($B39="D",(1+SUP_VOLUMEN!$C$26),(1+SUP_VOLUMEN!$C$27)))*INDEX(SUP_C3_EXPANSION!$C$6:$F$6,MIN(4,COUNTIF(CAPA3_EXPANSION!$D$56:DK$56,"&gt;="&amp;32)))*CAPA3_EXPANSION!DK$36)</f>
        <v>2828.2799999999997</v>
      </c>
      <c r="DL39" s="88">
        <f>IF(COUNTIF(CAPA3_EXPANSION!$D$56:DL$56,"&gt;="&amp;32)=0,0,SUP_CONTROL!$C$8*IF($B39="V",1,IF($B39="D",(1+SUP_VOLUMEN!$C$26),(1+SUP_VOLUMEN!$C$27)))*INDEX(SUP_C3_EXPANSION!$C$6:$F$6,MIN(4,COUNTIF(CAPA3_EXPANSION!$D$56:DL$56,"&gt;="&amp;32)))*CAPA3_EXPANSION!DL$36)</f>
        <v>2828.2799999999997</v>
      </c>
      <c r="DM39" s="88">
        <f>IF(COUNTIF(CAPA3_EXPANSION!$D$56:DM$56,"&gt;="&amp;32)=0,0,SUP_CONTROL!$C$8*IF($B39="V",1,IF($B39="D",(1+SUP_VOLUMEN!$C$26),(1+SUP_VOLUMEN!$C$27)))*INDEX(SUP_C3_EXPANSION!$C$6:$F$6,MIN(4,COUNTIF(CAPA3_EXPANSION!$D$56:DM$56,"&gt;="&amp;32)))*CAPA3_EXPANSION!DM$36)</f>
        <v>2828.2799999999997</v>
      </c>
      <c r="DN39" s="88">
        <f>IF(COUNTIF(CAPA3_EXPANSION!$D$56:DN$56,"&gt;="&amp;32)=0,0,SUP_CONTROL!$C$8*IF($B39="V",1,IF($B39="D",(1+SUP_VOLUMEN!$C$26),(1+SUP_VOLUMEN!$C$27)))*INDEX(SUP_C3_EXPANSION!$C$6:$F$6,MIN(4,COUNTIF(CAPA3_EXPANSION!$D$56:DN$56,"&gt;="&amp;32)))*CAPA3_EXPANSION!DN$36)</f>
        <v>2828.2799999999997</v>
      </c>
      <c r="DO39" s="88">
        <f>IF(COUNTIF(CAPA3_EXPANSION!$D$56:DO$56,"&gt;="&amp;32)=0,0,SUP_CONTROL!$C$8*IF($B39="V",1,IF($B39="D",(1+SUP_VOLUMEN!$C$26),(1+SUP_VOLUMEN!$C$27)))*INDEX(SUP_C3_EXPANSION!$C$6:$F$6,MIN(4,COUNTIF(CAPA3_EXPANSION!$D$56:DO$56,"&gt;="&amp;32)))*CAPA3_EXPANSION!DO$36)</f>
        <v>2828.2799999999997</v>
      </c>
      <c r="DP39" s="88">
        <f>IF(COUNTIF(CAPA3_EXPANSION!$D$56:DP$56,"&gt;="&amp;32)=0,0,SUP_CONTROL!$C$8*IF($B39="V",1,IF($B39="D",(1+SUP_VOLUMEN!$C$26),(1+SUP_VOLUMEN!$C$27)))*INDEX(SUP_C3_EXPANSION!$C$6:$F$6,MIN(4,COUNTIF(CAPA3_EXPANSION!$D$56:DP$56,"&gt;="&amp;32)))*CAPA3_EXPANSION!DP$36)</f>
        <v>2828.2799999999997</v>
      </c>
      <c r="DQ39" s="88">
        <f>IF(COUNTIF(CAPA3_EXPANSION!$D$56:DQ$56,"&gt;="&amp;32)=0,0,SUP_CONTROL!$C$8*IF($B39="V",1,IF($B39="D",(1+SUP_VOLUMEN!$C$26),(1+SUP_VOLUMEN!$C$27)))*INDEX(SUP_C3_EXPANSION!$C$6:$F$6,MIN(4,COUNTIF(CAPA3_EXPANSION!$D$56:DQ$56,"&gt;="&amp;32)))*CAPA3_EXPANSION!DQ$36)</f>
        <v>2828.2799999999997</v>
      </c>
      <c r="DR39" s="88">
        <f>IF(COUNTIF(CAPA3_EXPANSION!$D$56:DR$56,"&gt;="&amp;32)=0,0,SUP_CONTROL!$C$8*IF($B39="V",1,IF($B39="D",(1+SUP_VOLUMEN!$C$26),(1+SUP_VOLUMEN!$C$27)))*INDEX(SUP_C3_EXPANSION!$C$6:$F$6,MIN(4,COUNTIF(CAPA3_EXPANSION!$D$56:DR$56,"&gt;="&amp;32)))*CAPA3_EXPANSION!DR$36)</f>
        <v>2828.2799999999997</v>
      </c>
      <c r="DS39" s="88">
        <f>IF(COUNTIF(CAPA3_EXPANSION!$D$56:DS$56,"&gt;="&amp;32)=0,0,SUP_CONTROL!$C$8*IF($B39="V",1,IF($B39="D",(1+SUP_VOLUMEN!$C$26),(1+SUP_VOLUMEN!$C$27)))*INDEX(SUP_C3_EXPANSION!$C$6:$F$6,MIN(4,COUNTIF(CAPA3_EXPANSION!$D$56:DS$56,"&gt;="&amp;32)))*CAPA3_EXPANSION!DS$36)</f>
        <v>2828.2799999999997</v>
      </c>
    </row>
    <row r="40" spans="1:123" ht="15" customHeight="1" x14ac:dyDescent="0.2">
      <c r="A40" s="88">
        <v>43</v>
      </c>
      <c r="B40" s="104" t="str">
        <f>SUP_C3_EXPANSION!B52</f>
        <v>V</v>
      </c>
      <c r="C40" s="73">
        <f>SUP_C3_EXPANSION!G52</f>
        <v>68</v>
      </c>
      <c r="D40" s="88">
        <f>IF(COUNTIF(CAPA3_EXPANSION!$D$56:D$56,"&gt;="&amp;33)=0,0,SUP_CONTROL!$C$8*IF($B40="V",1,IF($B40="D",(1+SUP_VOLUMEN!$C$26),(1+SUP_VOLUMEN!$C$27)))*INDEX(SUP_C3_EXPANSION!$C$6:$F$6,MIN(4,COUNTIF(CAPA3_EXPANSION!$D$56:D$56,"&gt;="&amp;33)))*CAPA3_EXPANSION!D$36)</f>
        <v>0</v>
      </c>
      <c r="E40" s="88">
        <f>IF(COUNTIF(CAPA3_EXPANSION!$D$56:E$56,"&gt;="&amp;33)=0,0,SUP_CONTROL!$C$8*IF($B40="V",1,IF($B40="D",(1+SUP_VOLUMEN!$C$26),(1+SUP_VOLUMEN!$C$27)))*INDEX(SUP_C3_EXPANSION!$C$6:$F$6,MIN(4,COUNTIF(CAPA3_EXPANSION!$D$56:E$56,"&gt;="&amp;33)))*CAPA3_EXPANSION!E$36)</f>
        <v>0</v>
      </c>
      <c r="F40" s="88">
        <f>IF(COUNTIF(CAPA3_EXPANSION!$D$56:F$56,"&gt;="&amp;33)=0,0,SUP_CONTROL!$C$8*IF($B40="V",1,IF($B40="D",(1+SUP_VOLUMEN!$C$26),(1+SUP_VOLUMEN!$C$27)))*INDEX(SUP_C3_EXPANSION!$C$6:$F$6,MIN(4,COUNTIF(CAPA3_EXPANSION!$D$56:F$56,"&gt;="&amp;33)))*CAPA3_EXPANSION!F$36)</f>
        <v>0</v>
      </c>
      <c r="G40" s="88">
        <f>IF(COUNTIF(CAPA3_EXPANSION!$D$56:G$56,"&gt;="&amp;33)=0,0,SUP_CONTROL!$C$8*IF($B40="V",1,IF($B40="D",(1+SUP_VOLUMEN!$C$26),(1+SUP_VOLUMEN!$C$27)))*INDEX(SUP_C3_EXPANSION!$C$6:$F$6,MIN(4,COUNTIF(CAPA3_EXPANSION!$D$56:G$56,"&gt;="&amp;33)))*CAPA3_EXPANSION!G$36)</f>
        <v>0</v>
      </c>
      <c r="H40" s="88">
        <f>IF(COUNTIF(CAPA3_EXPANSION!$D$56:H$56,"&gt;="&amp;33)=0,0,SUP_CONTROL!$C$8*IF($B40="V",1,IF($B40="D",(1+SUP_VOLUMEN!$C$26),(1+SUP_VOLUMEN!$C$27)))*INDEX(SUP_C3_EXPANSION!$C$6:$F$6,MIN(4,COUNTIF(CAPA3_EXPANSION!$D$56:H$56,"&gt;="&amp;33)))*CAPA3_EXPANSION!H$36)</f>
        <v>0</v>
      </c>
      <c r="I40" s="88">
        <f>IF(COUNTIF(CAPA3_EXPANSION!$D$56:I$56,"&gt;="&amp;33)=0,0,SUP_CONTROL!$C$8*IF($B40="V",1,IF($B40="D",(1+SUP_VOLUMEN!$C$26),(1+SUP_VOLUMEN!$C$27)))*INDEX(SUP_C3_EXPANSION!$C$6:$F$6,MIN(4,COUNTIF(CAPA3_EXPANSION!$D$56:I$56,"&gt;="&amp;33)))*CAPA3_EXPANSION!I$36)</f>
        <v>0</v>
      </c>
      <c r="J40" s="88">
        <f>IF(COUNTIF(CAPA3_EXPANSION!$D$56:J$56,"&gt;="&amp;33)=0,0,SUP_CONTROL!$C$8*IF($B40="V",1,IF($B40="D",(1+SUP_VOLUMEN!$C$26),(1+SUP_VOLUMEN!$C$27)))*INDEX(SUP_C3_EXPANSION!$C$6:$F$6,MIN(4,COUNTIF(CAPA3_EXPANSION!$D$56:J$56,"&gt;="&amp;33)))*CAPA3_EXPANSION!J$36)</f>
        <v>0</v>
      </c>
      <c r="K40" s="88">
        <f>IF(COUNTIF(CAPA3_EXPANSION!$D$56:K$56,"&gt;="&amp;33)=0,0,SUP_CONTROL!$C$8*IF($B40="V",1,IF($B40="D",(1+SUP_VOLUMEN!$C$26),(1+SUP_VOLUMEN!$C$27)))*INDEX(SUP_C3_EXPANSION!$C$6:$F$6,MIN(4,COUNTIF(CAPA3_EXPANSION!$D$56:K$56,"&gt;="&amp;33)))*CAPA3_EXPANSION!K$36)</f>
        <v>0</v>
      </c>
      <c r="L40" s="88">
        <f>IF(COUNTIF(CAPA3_EXPANSION!$D$56:L$56,"&gt;="&amp;33)=0,0,SUP_CONTROL!$C$8*IF($B40="V",1,IF($B40="D",(1+SUP_VOLUMEN!$C$26),(1+SUP_VOLUMEN!$C$27)))*INDEX(SUP_C3_EXPANSION!$C$6:$F$6,MIN(4,COUNTIF(CAPA3_EXPANSION!$D$56:L$56,"&gt;="&amp;33)))*CAPA3_EXPANSION!L$36)</f>
        <v>0</v>
      </c>
      <c r="M40" s="88">
        <f>IF(COUNTIF(CAPA3_EXPANSION!$D$56:M$56,"&gt;="&amp;33)=0,0,SUP_CONTROL!$C$8*IF($B40="V",1,IF($B40="D",(1+SUP_VOLUMEN!$C$26),(1+SUP_VOLUMEN!$C$27)))*INDEX(SUP_C3_EXPANSION!$C$6:$F$6,MIN(4,COUNTIF(CAPA3_EXPANSION!$D$56:M$56,"&gt;="&amp;33)))*CAPA3_EXPANSION!M$36)</f>
        <v>0</v>
      </c>
      <c r="N40" s="88">
        <f>IF(COUNTIF(CAPA3_EXPANSION!$D$56:N$56,"&gt;="&amp;33)=0,0,SUP_CONTROL!$C$8*IF($B40="V",1,IF($B40="D",(1+SUP_VOLUMEN!$C$26),(1+SUP_VOLUMEN!$C$27)))*INDEX(SUP_C3_EXPANSION!$C$6:$F$6,MIN(4,COUNTIF(CAPA3_EXPANSION!$D$56:N$56,"&gt;="&amp;33)))*CAPA3_EXPANSION!N$36)</f>
        <v>0</v>
      </c>
      <c r="O40" s="88">
        <f>IF(COUNTIF(CAPA3_EXPANSION!$D$56:O$56,"&gt;="&amp;33)=0,0,SUP_CONTROL!$C$8*IF($B40="V",1,IF($B40="D",(1+SUP_VOLUMEN!$C$26),(1+SUP_VOLUMEN!$C$27)))*INDEX(SUP_C3_EXPANSION!$C$6:$F$6,MIN(4,COUNTIF(CAPA3_EXPANSION!$D$56:O$56,"&gt;="&amp;33)))*CAPA3_EXPANSION!O$36)</f>
        <v>0</v>
      </c>
      <c r="P40" s="88">
        <f>IF(COUNTIF(CAPA3_EXPANSION!$D$56:P$56,"&gt;="&amp;33)=0,0,SUP_CONTROL!$C$8*IF($B40="V",1,IF($B40="D",(1+SUP_VOLUMEN!$C$26),(1+SUP_VOLUMEN!$C$27)))*INDEX(SUP_C3_EXPANSION!$C$6:$F$6,MIN(4,COUNTIF(CAPA3_EXPANSION!$D$56:P$56,"&gt;="&amp;33)))*CAPA3_EXPANSION!P$36)</f>
        <v>0</v>
      </c>
      <c r="Q40" s="88">
        <f>IF(COUNTIF(CAPA3_EXPANSION!$D$56:Q$56,"&gt;="&amp;33)=0,0,SUP_CONTROL!$C$8*IF($B40="V",1,IF($B40="D",(1+SUP_VOLUMEN!$C$26),(1+SUP_VOLUMEN!$C$27)))*INDEX(SUP_C3_EXPANSION!$C$6:$F$6,MIN(4,COUNTIF(CAPA3_EXPANSION!$D$56:Q$56,"&gt;="&amp;33)))*CAPA3_EXPANSION!Q$36)</f>
        <v>0</v>
      </c>
      <c r="R40" s="88">
        <f>IF(COUNTIF(CAPA3_EXPANSION!$D$56:R$56,"&gt;="&amp;33)=0,0,SUP_CONTROL!$C$8*IF($B40="V",1,IF($B40="D",(1+SUP_VOLUMEN!$C$26),(1+SUP_VOLUMEN!$C$27)))*INDEX(SUP_C3_EXPANSION!$C$6:$F$6,MIN(4,COUNTIF(CAPA3_EXPANSION!$D$56:R$56,"&gt;="&amp;33)))*CAPA3_EXPANSION!R$36)</f>
        <v>0</v>
      </c>
      <c r="S40" s="88">
        <f>IF(COUNTIF(CAPA3_EXPANSION!$D$56:S$56,"&gt;="&amp;33)=0,0,SUP_CONTROL!$C$8*IF($B40="V",1,IF($B40="D",(1+SUP_VOLUMEN!$C$26),(1+SUP_VOLUMEN!$C$27)))*INDEX(SUP_C3_EXPANSION!$C$6:$F$6,MIN(4,COUNTIF(CAPA3_EXPANSION!$D$56:S$56,"&gt;="&amp;33)))*CAPA3_EXPANSION!S$36)</f>
        <v>0</v>
      </c>
      <c r="T40" s="88">
        <f>IF(COUNTIF(CAPA3_EXPANSION!$D$56:T$56,"&gt;="&amp;33)=0,0,SUP_CONTROL!$C$8*IF($B40="V",1,IF($B40="D",(1+SUP_VOLUMEN!$C$26),(1+SUP_VOLUMEN!$C$27)))*INDEX(SUP_C3_EXPANSION!$C$6:$F$6,MIN(4,COUNTIF(CAPA3_EXPANSION!$D$56:T$56,"&gt;="&amp;33)))*CAPA3_EXPANSION!T$36)</f>
        <v>0</v>
      </c>
      <c r="U40" s="88">
        <f>IF(COUNTIF(CAPA3_EXPANSION!$D$56:U$56,"&gt;="&amp;33)=0,0,SUP_CONTROL!$C$8*IF($B40="V",1,IF($B40="D",(1+SUP_VOLUMEN!$C$26),(1+SUP_VOLUMEN!$C$27)))*INDEX(SUP_C3_EXPANSION!$C$6:$F$6,MIN(4,COUNTIF(CAPA3_EXPANSION!$D$56:U$56,"&gt;="&amp;33)))*CAPA3_EXPANSION!U$36)</f>
        <v>0</v>
      </c>
      <c r="V40" s="88">
        <f>IF(COUNTIF(CAPA3_EXPANSION!$D$56:V$56,"&gt;="&amp;33)=0,0,SUP_CONTROL!$C$8*IF($B40="V",1,IF($B40="D",(1+SUP_VOLUMEN!$C$26),(1+SUP_VOLUMEN!$C$27)))*INDEX(SUP_C3_EXPANSION!$C$6:$F$6,MIN(4,COUNTIF(CAPA3_EXPANSION!$D$56:V$56,"&gt;="&amp;33)))*CAPA3_EXPANSION!V$36)</f>
        <v>0</v>
      </c>
      <c r="W40" s="88">
        <f>IF(COUNTIF(CAPA3_EXPANSION!$D$56:W$56,"&gt;="&amp;33)=0,0,SUP_CONTROL!$C$8*IF($B40="V",1,IF($B40="D",(1+SUP_VOLUMEN!$C$26),(1+SUP_VOLUMEN!$C$27)))*INDEX(SUP_C3_EXPANSION!$C$6:$F$6,MIN(4,COUNTIF(CAPA3_EXPANSION!$D$56:W$56,"&gt;="&amp;33)))*CAPA3_EXPANSION!W$36)</f>
        <v>0</v>
      </c>
      <c r="X40" s="88">
        <f>IF(COUNTIF(CAPA3_EXPANSION!$D$56:X$56,"&gt;="&amp;33)=0,0,SUP_CONTROL!$C$8*IF($B40="V",1,IF($B40="D",(1+SUP_VOLUMEN!$C$26),(1+SUP_VOLUMEN!$C$27)))*INDEX(SUP_C3_EXPANSION!$C$6:$F$6,MIN(4,COUNTIF(CAPA3_EXPANSION!$D$56:X$56,"&gt;="&amp;33)))*CAPA3_EXPANSION!X$36)</f>
        <v>0</v>
      </c>
      <c r="Y40" s="88">
        <f>IF(COUNTIF(CAPA3_EXPANSION!$D$56:Y$56,"&gt;="&amp;33)=0,0,SUP_CONTROL!$C$8*IF($B40="V",1,IF($B40="D",(1+SUP_VOLUMEN!$C$26),(1+SUP_VOLUMEN!$C$27)))*INDEX(SUP_C3_EXPANSION!$C$6:$F$6,MIN(4,COUNTIF(CAPA3_EXPANSION!$D$56:Y$56,"&gt;="&amp;33)))*CAPA3_EXPANSION!Y$36)</f>
        <v>0</v>
      </c>
      <c r="Z40" s="88">
        <f>IF(COUNTIF(CAPA3_EXPANSION!$D$56:Z$56,"&gt;="&amp;33)=0,0,SUP_CONTROL!$C$8*IF($B40="V",1,IF($B40="D",(1+SUP_VOLUMEN!$C$26),(1+SUP_VOLUMEN!$C$27)))*INDEX(SUP_C3_EXPANSION!$C$6:$F$6,MIN(4,COUNTIF(CAPA3_EXPANSION!$D$56:Z$56,"&gt;="&amp;33)))*CAPA3_EXPANSION!Z$36)</f>
        <v>0</v>
      </c>
      <c r="AA40" s="88">
        <f>IF(COUNTIF(CAPA3_EXPANSION!$D$56:AA$56,"&gt;="&amp;33)=0,0,SUP_CONTROL!$C$8*IF($B40="V",1,IF($B40="D",(1+SUP_VOLUMEN!$C$26),(1+SUP_VOLUMEN!$C$27)))*INDEX(SUP_C3_EXPANSION!$C$6:$F$6,MIN(4,COUNTIF(CAPA3_EXPANSION!$D$56:AA$56,"&gt;="&amp;33)))*CAPA3_EXPANSION!AA$36)</f>
        <v>0</v>
      </c>
      <c r="AB40" s="88">
        <f>IF(COUNTIF(CAPA3_EXPANSION!$D$56:AB$56,"&gt;="&amp;33)=0,0,SUP_CONTROL!$C$8*IF($B40="V",1,IF($B40="D",(1+SUP_VOLUMEN!$C$26),(1+SUP_VOLUMEN!$C$27)))*INDEX(SUP_C3_EXPANSION!$C$6:$F$6,MIN(4,COUNTIF(CAPA3_EXPANSION!$D$56:AB$56,"&gt;="&amp;33)))*CAPA3_EXPANSION!AB$36)</f>
        <v>0</v>
      </c>
      <c r="AC40" s="88">
        <f>IF(COUNTIF(CAPA3_EXPANSION!$D$56:AC$56,"&gt;="&amp;33)=0,0,SUP_CONTROL!$C$8*IF($B40="V",1,IF($B40="D",(1+SUP_VOLUMEN!$C$26),(1+SUP_VOLUMEN!$C$27)))*INDEX(SUP_C3_EXPANSION!$C$6:$F$6,MIN(4,COUNTIF(CAPA3_EXPANSION!$D$56:AC$56,"&gt;="&amp;33)))*CAPA3_EXPANSION!AC$36)</f>
        <v>0</v>
      </c>
      <c r="AD40" s="88">
        <f>IF(COUNTIF(CAPA3_EXPANSION!$D$56:AD$56,"&gt;="&amp;33)=0,0,SUP_CONTROL!$C$8*IF($B40="V",1,IF($B40="D",(1+SUP_VOLUMEN!$C$26),(1+SUP_VOLUMEN!$C$27)))*INDEX(SUP_C3_EXPANSION!$C$6:$F$6,MIN(4,COUNTIF(CAPA3_EXPANSION!$D$56:AD$56,"&gt;="&amp;33)))*CAPA3_EXPANSION!AD$36)</f>
        <v>0</v>
      </c>
      <c r="AE40" s="88">
        <f>IF(COUNTIF(CAPA3_EXPANSION!$D$56:AE$56,"&gt;="&amp;33)=0,0,SUP_CONTROL!$C$8*IF($B40="V",1,IF($B40="D",(1+SUP_VOLUMEN!$C$26),(1+SUP_VOLUMEN!$C$27)))*INDEX(SUP_C3_EXPANSION!$C$6:$F$6,MIN(4,COUNTIF(CAPA3_EXPANSION!$D$56:AE$56,"&gt;="&amp;33)))*CAPA3_EXPANSION!AE$36)</f>
        <v>0</v>
      </c>
      <c r="AF40" s="88">
        <f>IF(COUNTIF(CAPA3_EXPANSION!$D$56:AF$56,"&gt;="&amp;33)=0,0,SUP_CONTROL!$C$8*IF($B40="V",1,IF($B40="D",(1+SUP_VOLUMEN!$C$26),(1+SUP_VOLUMEN!$C$27)))*INDEX(SUP_C3_EXPANSION!$C$6:$F$6,MIN(4,COUNTIF(CAPA3_EXPANSION!$D$56:AF$56,"&gt;="&amp;33)))*CAPA3_EXPANSION!AF$36)</f>
        <v>0</v>
      </c>
      <c r="AG40" s="88">
        <f>IF(COUNTIF(CAPA3_EXPANSION!$D$56:AG$56,"&gt;="&amp;33)=0,0,SUP_CONTROL!$C$8*IF($B40="V",1,IF($B40="D",(1+SUP_VOLUMEN!$C$26),(1+SUP_VOLUMEN!$C$27)))*INDEX(SUP_C3_EXPANSION!$C$6:$F$6,MIN(4,COUNTIF(CAPA3_EXPANSION!$D$56:AG$56,"&gt;="&amp;33)))*CAPA3_EXPANSION!AG$36)</f>
        <v>0</v>
      </c>
      <c r="AH40" s="88">
        <f>IF(COUNTIF(CAPA3_EXPANSION!$D$56:AH$56,"&gt;="&amp;33)=0,0,SUP_CONTROL!$C$8*IF($B40="V",1,IF($B40="D",(1+SUP_VOLUMEN!$C$26),(1+SUP_VOLUMEN!$C$27)))*INDEX(SUP_C3_EXPANSION!$C$6:$F$6,MIN(4,COUNTIF(CAPA3_EXPANSION!$D$56:AH$56,"&gt;="&amp;33)))*CAPA3_EXPANSION!AH$36)</f>
        <v>0</v>
      </c>
      <c r="AI40" s="88">
        <f>IF(COUNTIF(CAPA3_EXPANSION!$D$56:AI$56,"&gt;="&amp;33)=0,0,SUP_CONTROL!$C$8*IF($B40="V",1,IF($B40="D",(1+SUP_VOLUMEN!$C$26),(1+SUP_VOLUMEN!$C$27)))*INDEX(SUP_C3_EXPANSION!$C$6:$F$6,MIN(4,COUNTIF(CAPA3_EXPANSION!$D$56:AI$56,"&gt;="&amp;33)))*CAPA3_EXPANSION!AI$36)</f>
        <v>0</v>
      </c>
      <c r="AJ40" s="88">
        <f>IF(COUNTIF(CAPA3_EXPANSION!$D$56:AJ$56,"&gt;="&amp;33)=0,0,SUP_CONTROL!$C$8*IF($B40="V",1,IF($B40="D",(1+SUP_VOLUMEN!$C$26),(1+SUP_VOLUMEN!$C$27)))*INDEX(SUP_C3_EXPANSION!$C$6:$F$6,MIN(4,COUNTIF(CAPA3_EXPANSION!$D$56:AJ$56,"&gt;="&amp;33)))*CAPA3_EXPANSION!AJ$36)</f>
        <v>0</v>
      </c>
      <c r="AK40" s="88">
        <f>IF(COUNTIF(CAPA3_EXPANSION!$D$56:AK$56,"&gt;="&amp;33)=0,0,SUP_CONTROL!$C$8*IF($B40="V",1,IF($B40="D",(1+SUP_VOLUMEN!$C$26),(1+SUP_VOLUMEN!$C$27)))*INDEX(SUP_C3_EXPANSION!$C$6:$F$6,MIN(4,COUNTIF(CAPA3_EXPANSION!$D$56:AK$56,"&gt;="&amp;33)))*CAPA3_EXPANSION!AK$36)</f>
        <v>0</v>
      </c>
      <c r="AL40" s="88">
        <f>IF(COUNTIF(CAPA3_EXPANSION!$D$56:AL$56,"&gt;="&amp;33)=0,0,SUP_CONTROL!$C$8*IF($B40="V",1,IF($B40="D",(1+SUP_VOLUMEN!$C$26),(1+SUP_VOLUMEN!$C$27)))*INDEX(SUP_C3_EXPANSION!$C$6:$F$6,MIN(4,COUNTIF(CAPA3_EXPANSION!$D$56:AL$56,"&gt;="&amp;33)))*CAPA3_EXPANSION!AL$36)</f>
        <v>0</v>
      </c>
      <c r="AM40" s="88">
        <f>IF(COUNTIF(CAPA3_EXPANSION!$D$56:AM$56,"&gt;="&amp;33)=0,0,SUP_CONTROL!$C$8*IF($B40="V",1,IF($B40="D",(1+SUP_VOLUMEN!$C$26),(1+SUP_VOLUMEN!$C$27)))*INDEX(SUP_C3_EXPANSION!$C$6:$F$6,MIN(4,COUNTIF(CAPA3_EXPANSION!$D$56:AM$56,"&gt;="&amp;33)))*CAPA3_EXPANSION!AM$36)</f>
        <v>0</v>
      </c>
      <c r="AN40" s="88">
        <f>IF(COUNTIF(CAPA3_EXPANSION!$D$56:AN$56,"&gt;="&amp;33)=0,0,SUP_CONTROL!$C$8*IF($B40="V",1,IF($B40="D",(1+SUP_VOLUMEN!$C$26),(1+SUP_VOLUMEN!$C$27)))*INDEX(SUP_C3_EXPANSION!$C$6:$F$6,MIN(4,COUNTIF(CAPA3_EXPANSION!$D$56:AN$56,"&gt;="&amp;33)))*CAPA3_EXPANSION!AN$36)</f>
        <v>0</v>
      </c>
      <c r="AO40" s="88">
        <f>IF(COUNTIF(CAPA3_EXPANSION!$D$56:AO$56,"&gt;="&amp;33)=0,0,SUP_CONTROL!$C$8*IF($B40="V",1,IF($B40="D",(1+SUP_VOLUMEN!$C$26),(1+SUP_VOLUMEN!$C$27)))*INDEX(SUP_C3_EXPANSION!$C$6:$F$6,MIN(4,COUNTIF(CAPA3_EXPANSION!$D$56:AO$56,"&gt;="&amp;33)))*CAPA3_EXPANSION!AO$36)</f>
        <v>0</v>
      </c>
      <c r="AP40" s="88">
        <f>IF(COUNTIF(CAPA3_EXPANSION!$D$56:AP$56,"&gt;="&amp;33)=0,0,SUP_CONTROL!$C$8*IF($B40="V",1,IF($B40="D",(1+SUP_VOLUMEN!$C$26),(1+SUP_VOLUMEN!$C$27)))*INDEX(SUP_C3_EXPANSION!$C$6:$F$6,MIN(4,COUNTIF(CAPA3_EXPANSION!$D$56:AP$56,"&gt;="&amp;33)))*CAPA3_EXPANSION!AP$36)</f>
        <v>0</v>
      </c>
      <c r="AQ40" s="88">
        <f>IF(COUNTIF(CAPA3_EXPANSION!$D$56:AQ$56,"&gt;="&amp;33)=0,0,SUP_CONTROL!$C$8*IF($B40="V",1,IF($B40="D",(1+SUP_VOLUMEN!$C$26),(1+SUP_VOLUMEN!$C$27)))*INDEX(SUP_C3_EXPANSION!$C$6:$F$6,MIN(4,COUNTIF(CAPA3_EXPANSION!$D$56:AQ$56,"&gt;="&amp;33)))*CAPA3_EXPANSION!AQ$36)</f>
        <v>0</v>
      </c>
      <c r="AR40" s="88">
        <f>IF(COUNTIF(CAPA3_EXPANSION!$D$56:AR$56,"&gt;="&amp;33)=0,0,SUP_CONTROL!$C$8*IF($B40="V",1,IF($B40="D",(1+SUP_VOLUMEN!$C$26),(1+SUP_VOLUMEN!$C$27)))*INDEX(SUP_C3_EXPANSION!$C$6:$F$6,MIN(4,COUNTIF(CAPA3_EXPANSION!$D$56:AR$56,"&gt;="&amp;33)))*CAPA3_EXPANSION!AR$36)</f>
        <v>0</v>
      </c>
      <c r="AS40" s="88">
        <f>IF(COUNTIF(CAPA3_EXPANSION!$D$56:AS$56,"&gt;="&amp;33)=0,0,SUP_CONTROL!$C$8*IF($B40="V",1,IF($B40="D",(1+SUP_VOLUMEN!$C$26),(1+SUP_VOLUMEN!$C$27)))*INDEX(SUP_C3_EXPANSION!$C$6:$F$6,MIN(4,COUNTIF(CAPA3_EXPANSION!$D$56:AS$56,"&gt;="&amp;33)))*CAPA3_EXPANSION!AS$36)</f>
        <v>0</v>
      </c>
      <c r="AT40" s="88">
        <f>IF(COUNTIF(CAPA3_EXPANSION!$D$56:AT$56,"&gt;="&amp;33)=0,0,SUP_CONTROL!$C$8*IF($B40="V",1,IF($B40="D",(1+SUP_VOLUMEN!$C$26),(1+SUP_VOLUMEN!$C$27)))*INDEX(SUP_C3_EXPANSION!$C$6:$F$6,MIN(4,COUNTIF(CAPA3_EXPANSION!$D$56:AT$56,"&gt;="&amp;33)))*CAPA3_EXPANSION!AT$36)</f>
        <v>0</v>
      </c>
      <c r="AU40" s="88">
        <f>IF(COUNTIF(CAPA3_EXPANSION!$D$56:AU$56,"&gt;="&amp;33)=0,0,SUP_CONTROL!$C$8*IF($B40="V",1,IF($B40="D",(1+SUP_VOLUMEN!$C$26),(1+SUP_VOLUMEN!$C$27)))*INDEX(SUP_C3_EXPANSION!$C$6:$F$6,MIN(4,COUNTIF(CAPA3_EXPANSION!$D$56:AU$56,"&gt;="&amp;33)))*CAPA3_EXPANSION!AU$36)</f>
        <v>0</v>
      </c>
      <c r="AV40" s="88">
        <f>IF(COUNTIF(CAPA3_EXPANSION!$D$56:AV$56,"&gt;="&amp;33)=0,0,SUP_CONTROL!$C$8*IF($B40="V",1,IF($B40="D",(1+SUP_VOLUMEN!$C$26),(1+SUP_VOLUMEN!$C$27)))*INDEX(SUP_C3_EXPANSION!$C$6:$F$6,MIN(4,COUNTIF(CAPA3_EXPANSION!$D$56:AV$56,"&gt;="&amp;33)))*CAPA3_EXPANSION!AV$36)</f>
        <v>0</v>
      </c>
      <c r="AW40" s="88">
        <f>IF(COUNTIF(CAPA3_EXPANSION!$D$56:AW$56,"&gt;="&amp;33)=0,0,SUP_CONTROL!$C$8*IF($B40="V",1,IF($B40="D",(1+SUP_VOLUMEN!$C$26),(1+SUP_VOLUMEN!$C$27)))*INDEX(SUP_C3_EXPANSION!$C$6:$F$6,MIN(4,COUNTIF(CAPA3_EXPANSION!$D$56:AW$56,"&gt;="&amp;33)))*CAPA3_EXPANSION!AW$36)</f>
        <v>0</v>
      </c>
      <c r="AX40" s="88">
        <f>IF(COUNTIF(CAPA3_EXPANSION!$D$56:AX$56,"&gt;="&amp;33)=0,0,SUP_CONTROL!$C$8*IF($B40="V",1,IF($B40="D",(1+SUP_VOLUMEN!$C$26),(1+SUP_VOLUMEN!$C$27)))*INDEX(SUP_C3_EXPANSION!$C$6:$F$6,MIN(4,COUNTIF(CAPA3_EXPANSION!$D$56:AX$56,"&gt;="&amp;33)))*CAPA3_EXPANSION!AX$36)</f>
        <v>0</v>
      </c>
      <c r="AY40" s="88">
        <f>IF(COUNTIF(CAPA3_EXPANSION!$D$56:AY$56,"&gt;="&amp;33)=0,0,SUP_CONTROL!$C$8*IF($B40="V",1,IF($B40="D",(1+SUP_VOLUMEN!$C$26),(1+SUP_VOLUMEN!$C$27)))*INDEX(SUP_C3_EXPANSION!$C$6:$F$6,MIN(4,COUNTIF(CAPA3_EXPANSION!$D$56:AY$56,"&gt;="&amp;33)))*CAPA3_EXPANSION!AY$36)</f>
        <v>0</v>
      </c>
      <c r="AZ40" s="88">
        <f>IF(COUNTIF(CAPA3_EXPANSION!$D$56:AZ$56,"&gt;="&amp;33)=0,0,SUP_CONTROL!$C$8*IF($B40="V",1,IF($B40="D",(1+SUP_VOLUMEN!$C$26),(1+SUP_VOLUMEN!$C$27)))*INDEX(SUP_C3_EXPANSION!$C$6:$F$6,MIN(4,COUNTIF(CAPA3_EXPANSION!$D$56:AZ$56,"&gt;="&amp;33)))*CAPA3_EXPANSION!AZ$36)</f>
        <v>0</v>
      </c>
      <c r="BA40" s="88">
        <f>IF(COUNTIF(CAPA3_EXPANSION!$D$56:BA$56,"&gt;="&amp;33)=0,0,SUP_CONTROL!$C$8*IF($B40="V",1,IF($B40="D",(1+SUP_VOLUMEN!$C$26),(1+SUP_VOLUMEN!$C$27)))*INDEX(SUP_C3_EXPANSION!$C$6:$F$6,MIN(4,COUNTIF(CAPA3_EXPANSION!$D$56:BA$56,"&gt;="&amp;33)))*CAPA3_EXPANSION!BA$36)</f>
        <v>0</v>
      </c>
      <c r="BB40" s="88">
        <f>IF(COUNTIF(CAPA3_EXPANSION!$D$56:BB$56,"&gt;="&amp;33)=0,0,SUP_CONTROL!$C$8*IF($B40="V",1,IF($B40="D",(1+SUP_VOLUMEN!$C$26),(1+SUP_VOLUMEN!$C$27)))*INDEX(SUP_C3_EXPANSION!$C$6:$F$6,MIN(4,COUNTIF(CAPA3_EXPANSION!$D$56:BB$56,"&gt;="&amp;33)))*CAPA3_EXPANSION!BB$36)</f>
        <v>0</v>
      </c>
      <c r="BC40" s="88">
        <f>IF(COUNTIF(CAPA3_EXPANSION!$D$56:BC$56,"&gt;="&amp;33)=0,0,SUP_CONTROL!$C$8*IF($B40="V",1,IF($B40="D",(1+SUP_VOLUMEN!$C$26),(1+SUP_VOLUMEN!$C$27)))*INDEX(SUP_C3_EXPANSION!$C$6:$F$6,MIN(4,COUNTIF(CAPA3_EXPANSION!$D$56:BC$56,"&gt;="&amp;33)))*CAPA3_EXPANSION!BC$36)</f>
        <v>0</v>
      </c>
      <c r="BD40" s="88">
        <f>IF(COUNTIF(CAPA3_EXPANSION!$D$56:BD$56,"&gt;="&amp;33)=0,0,SUP_CONTROL!$C$8*IF($B40="V",1,IF($B40="D",(1+SUP_VOLUMEN!$C$26),(1+SUP_VOLUMEN!$C$27)))*INDEX(SUP_C3_EXPANSION!$C$6:$F$6,MIN(4,COUNTIF(CAPA3_EXPANSION!$D$56:BD$56,"&gt;="&amp;33)))*CAPA3_EXPANSION!BD$36)</f>
        <v>0</v>
      </c>
      <c r="BE40" s="88">
        <f>IF(COUNTIF(CAPA3_EXPANSION!$D$56:BE$56,"&gt;="&amp;33)=0,0,SUP_CONTROL!$C$8*IF($B40="V",1,IF($B40="D",(1+SUP_VOLUMEN!$C$26),(1+SUP_VOLUMEN!$C$27)))*INDEX(SUP_C3_EXPANSION!$C$6:$F$6,MIN(4,COUNTIF(CAPA3_EXPANSION!$D$56:BE$56,"&gt;="&amp;33)))*CAPA3_EXPANSION!BE$36)</f>
        <v>0</v>
      </c>
      <c r="BF40" s="88">
        <f>IF(COUNTIF(CAPA3_EXPANSION!$D$56:BF$56,"&gt;="&amp;33)=0,0,SUP_CONTROL!$C$8*IF($B40="V",1,IF($B40="D",(1+SUP_VOLUMEN!$C$26),(1+SUP_VOLUMEN!$C$27)))*INDEX(SUP_C3_EXPANSION!$C$6:$F$6,MIN(4,COUNTIF(CAPA3_EXPANSION!$D$56:BF$56,"&gt;="&amp;33)))*CAPA3_EXPANSION!BF$36)</f>
        <v>0</v>
      </c>
      <c r="BG40" s="88">
        <f>IF(COUNTIF(CAPA3_EXPANSION!$D$56:BG$56,"&gt;="&amp;33)=0,0,SUP_CONTROL!$C$8*IF($B40="V",1,IF($B40="D",(1+SUP_VOLUMEN!$C$26),(1+SUP_VOLUMEN!$C$27)))*INDEX(SUP_C3_EXPANSION!$C$6:$F$6,MIN(4,COUNTIF(CAPA3_EXPANSION!$D$56:BG$56,"&gt;="&amp;33)))*CAPA3_EXPANSION!BG$36)</f>
        <v>0</v>
      </c>
      <c r="BH40" s="88">
        <f>IF(COUNTIF(CAPA3_EXPANSION!$D$56:BH$56,"&gt;="&amp;33)=0,0,SUP_CONTROL!$C$8*IF($B40="V",1,IF($B40="D",(1+SUP_VOLUMEN!$C$26),(1+SUP_VOLUMEN!$C$27)))*INDEX(SUP_C3_EXPANSION!$C$6:$F$6,MIN(4,COUNTIF(CAPA3_EXPANSION!$D$56:BH$56,"&gt;="&amp;33)))*CAPA3_EXPANSION!BH$36)</f>
        <v>0</v>
      </c>
      <c r="BI40" s="88">
        <f>IF(COUNTIF(CAPA3_EXPANSION!$D$56:BI$56,"&gt;="&amp;33)=0,0,SUP_CONTROL!$C$8*IF($B40="V",1,IF($B40="D",(1+SUP_VOLUMEN!$C$26),(1+SUP_VOLUMEN!$C$27)))*INDEX(SUP_C3_EXPANSION!$C$6:$F$6,MIN(4,COUNTIF(CAPA3_EXPANSION!$D$56:BI$56,"&gt;="&amp;33)))*CAPA3_EXPANSION!BI$36)</f>
        <v>0</v>
      </c>
      <c r="BJ40" s="88">
        <f>IF(COUNTIF(CAPA3_EXPANSION!$D$56:BJ$56,"&gt;="&amp;33)=0,0,SUP_CONTROL!$C$8*IF($B40="V",1,IF($B40="D",(1+SUP_VOLUMEN!$C$26),(1+SUP_VOLUMEN!$C$27)))*INDEX(SUP_C3_EXPANSION!$C$6:$F$6,MIN(4,COUNTIF(CAPA3_EXPANSION!$D$56:BJ$56,"&gt;="&amp;33)))*CAPA3_EXPANSION!BJ$36)</f>
        <v>0</v>
      </c>
      <c r="BK40" s="88">
        <f>IF(COUNTIF(CAPA3_EXPANSION!$D$56:BK$56,"&gt;="&amp;33)=0,0,SUP_CONTROL!$C$8*IF($B40="V",1,IF($B40="D",(1+SUP_VOLUMEN!$C$26),(1+SUP_VOLUMEN!$C$27)))*INDEX(SUP_C3_EXPANSION!$C$6:$F$6,MIN(4,COUNTIF(CAPA3_EXPANSION!$D$56:BK$56,"&gt;="&amp;33)))*CAPA3_EXPANSION!BK$36)</f>
        <v>0</v>
      </c>
      <c r="BL40" s="88">
        <f>IF(COUNTIF(CAPA3_EXPANSION!$D$56:BL$56,"&gt;="&amp;33)=0,0,SUP_CONTROL!$C$8*IF($B40="V",1,IF($B40="D",(1+SUP_VOLUMEN!$C$26),(1+SUP_VOLUMEN!$C$27)))*INDEX(SUP_C3_EXPANSION!$C$6:$F$6,MIN(4,COUNTIF(CAPA3_EXPANSION!$D$56:BL$56,"&gt;="&amp;33)))*CAPA3_EXPANSION!BL$36)</f>
        <v>0</v>
      </c>
      <c r="BM40" s="88">
        <f>IF(COUNTIF(CAPA3_EXPANSION!$D$56:BM$56,"&gt;="&amp;33)=0,0,SUP_CONTROL!$C$8*IF($B40="V",1,IF($B40="D",(1+SUP_VOLUMEN!$C$26),(1+SUP_VOLUMEN!$C$27)))*INDEX(SUP_C3_EXPANSION!$C$6:$F$6,MIN(4,COUNTIF(CAPA3_EXPANSION!$D$56:BM$56,"&gt;="&amp;33)))*CAPA3_EXPANSION!BM$36)</f>
        <v>0</v>
      </c>
      <c r="BN40" s="88">
        <f>IF(COUNTIF(CAPA3_EXPANSION!$D$56:BN$56,"&gt;="&amp;33)=0,0,SUP_CONTROL!$C$8*IF($B40="V",1,IF($B40="D",(1+SUP_VOLUMEN!$C$26),(1+SUP_VOLUMEN!$C$27)))*INDEX(SUP_C3_EXPANSION!$C$6:$F$6,MIN(4,COUNTIF(CAPA3_EXPANSION!$D$56:BN$56,"&gt;="&amp;33)))*CAPA3_EXPANSION!BN$36)</f>
        <v>0</v>
      </c>
      <c r="BO40" s="88">
        <f>IF(COUNTIF(CAPA3_EXPANSION!$D$56:BO$56,"&gt;="&amp;33)=0,0,SUP_CONTROL!$C$8*IF($B40="V",1,IF($B40="D",(1+SUP_VOLUMEN!$C$26),(1+SUP_VOLUMEN!$C$27)))*INDEX(SUP_C3_EXPANSION!$C$6:$F$6,MIN(4,COUNTIF(CAPA3_EXPANSION!$D$56:BO$56,"&gt;="&amp;33)))*CAPA3_EXPANSION!BO$36)</f>
        <v>0</v>
      </c>
      <c r="BP40" s="88">
        <f>IF(COUNTIF(CAPA3_EXPANSION!$D$56:BP$56,"&gt;="&amp;33)=0,0,SUP_CONTROL!$C$8*IF($B40="V",1,IF($B40="D",(1+SUP_VOLUMEN!$C$26),(1+SUP_VOLUMEN!$C$27)))*INDEX(SUP_C3_EXPANSION!$C$6:$F$6,MIN(4,COUNTIF(CAPA3_EXPANSION!$D$56:BP$56,"&gt;="&amp;33)))*CAPA3_EXPANSION!BP$36)</f>
        <v>0</v>
      </c>
      <c r="BQ40" s="88">
        <f>IF(COUNTIF(CAPA3_EXPANSION!$D$56:BQ$56,"&gt;="&amp;33)=0,0,SUP_CONTROL!$C$8*IF($B40="V",1,IF($B40="D",(1+SUP_VOLUMEN!$C$26),(1+SUP_VOLUMEN!$C$27)))*INDEX(SUP_C3_EXPANSION!$C$6:$F$6,MIN(4,COUNTIF(CAPA3_EXPANSION!$D$56:BQ$56,"&gt;="&amp;33)))*CAPA3_EXPANSION!BQ$36)</f>
        <v>0</v>
      </c>
      <c r="BR40" s="88">
        <f>IF(COUNTIF(CAPA3_EXPANSION!$D$56:BR$56,"&gt;="&amp;33)=0,0,SUP_CONTROL!$C$8*IF($B40="V",1,IF($B40="D",(1+SUP_VOLUMEN!$C$26),(1+SUP_VOLUMEN!$C$27)))*INDEX(SUP_C3_EXPANSION!$C$6:$F$6,MIN(4,COUNTIF(CAPA3_EXPANSION!$D$56:BR$56,"&gt;="&amp;33)))*CAPA3_EXPANSION!BR$36)</f>
        <v>0</v>
      </c>
      <c r="BS40" s="88">
        <f>IF(COUNTIF(CAPA3_EXPANSION!$D$56:BS$56,"&gt;="&amp;33)=0,0,SUP_CONTROL!$C$8*IF($B40="V",1,IF($B40="D",(1+SUP_VOLUMEN!$C$26),(1+SUP_VOLUMEN!$C$27)))*INDEX(SUP_C3_EXPANSION!$C$6:$F$6,MIN(4,COUNTIF(CAPA3_EXPANSION!$D$56:BS$56,"&gt;="&amp;33)))*CAPA3_EXPANSION!BS$36)</f>
        <v>0</v>
      </c>
      <c r="BT40" s="88">
        <f>IF(COUNTIF(CAPA3_EXPANSION!$D$56:BT$56,"&gt;="&amp;33)=0,0,SUP_CONTROL!$C$8*IF($B40="V",1,IF($B40="D",(1+SUP_VOLUMEN!$C$26),(1+SUP_VOLUMEN!$C$27)))*INDEX(SUP_C3_EXPANSION!$C$6:$F$6,MIN(4,COUNTIF(CAPA3_EXPANSION!$D$56:BT$56,"&gt;="&amp;33)))*CAPA3_EXPANSION!BT$36)</f>
        <v>0</v>
      </c>
      <c r="BU40" s="88">
        <f>IF(COUNTIF(CAPA3_EXPANSION!$D$56:BU$56,"&gt;="&amp;33)=0,0,SUP_CONTROL!$C$8*IF($B40="V",1,IF($B40="D",(1+SUP_VOLUMEN!$C$26),(1+SUP_VOLUMEN!$C$27)))*INDEX(SUP_C3_EXPANSION!$C$6:$F$6,MIN(4,COUNTIF(CAPA3_EXPANSION!$D$56:BU$56,"&gt;="&amp;33)))*CAPA3_EXPANSION!BU$36)</f>
        <v>0</v>
      </c>
      <c r="BV40" s="88">
        <f>IF(COUNTIF(CAPA3_EXPANSION!$D$56:BV$56,"&gt;="&amp;33)=0,0,SUP_CONTROL!$C$8*IF($B40="V",1,IF($B40="D",(1+SUP_VOLUMEN!$C$26),(1+SUP_VOLUMEN!$C$27)))*INDEX(SUP_C3_EXPANSION!$C$6:$F$6,MIN(4,COUNTIF(CAPA3_EXPANSION!$D$56:BV$56,"&gt;="&amp;33)))*CAPA3_EXPANSION!BV$36)</f>
        <v>1860.2675000000002</v>
      </c>
      <c r="BW40" s="88">
        <f>IF(COUNTIF(CAPA3_EXPANSION!$D$56:BW$56,"&gt;="&amp;33)=0,0,SUP_CONTROL!$C$8*IF($B40="V",1,IF($B40="D",(1+SUP_VOLUMEN!$C$26),(1+SUP_VOLUMEN!$C$27)))*INDEX(SUP_C3_EXPANSION!$C$6:$F$6,MIN(4,COUNTIF(CAPA3_EXPANSION!$D$56:BW$56,"&gt;="&amp;33)))*CAPA3_EXPANSION!BW$36)</f>
        <v>2289.5600000000004</v>
      </c>
      <c r="BX40" s="88">
        <f>IF(COUNTIF(CAPA3_EXPANSION!$D$56:BX$56,"&gt;="&amp;33)=0,0,SUP_CONTROL!$C$8*IF($B40="V",1,IF($B40="D",(1+SUP_VOLUMEN!$C$26),(1+SUP_VOLUMEN!$C$27)))*INDEX(SUP_C3_EXPANSION!$C$6:$F$6,MIN(4,COUNTIF(CAPA3_EXPANSION!$D$56:BX$56,"&gt;="&amp;33)))*CAPA3_EXPANSION!BX$36)</f>
        <v>2575.7550000000001</v>
      </c>
      <c r="BY40" s="88">
        <f>IF(COUNTIF(CAPA3_EXPANSION!$D$56:BY$56,"&gt;="&amp;33)=0,0,SUP_CONTROL!$C$8*IF($B40="V",1,IF($B40="D",(1+SUP_VOLUMEN!$C$26),(1+SUP_VOLUMEN!$C$27)))*INDEX(SUP_C3_EXPANSION!$C$6:$F$6,MIN(4,COUNTIF(CAPA3_EXPANSION!$D$56:BY$56,"&gt;="&amp;33)))*CAPA3_EXPANSION!BY$36)</f>
        <v>2861.95</v>
      </c>
      <c r="BZ40" s="88">
        <f>IF(COUNTIF(CAPA3_EXPANSION!$D$56:BZ$56,"&gt;="&amp;33)=0,0,SUP_CONTROL!$C$8*IF($B40="V",1,IF($B40="D",(1+SUP_VOLUMEN!$C$26),(1+SUP_VOLUMEN!$C$27)))*INDEX(SUP_C3_EXPANSION!$C$6:$F$6,MIN(4,COUNTIF(CAPA3_EXPANSION!$D$56:BZ$56,"&gt;="&amp;33)))*CAPA3_EXPANSION!BZ$36)</f>
        <v>2828.2799999999997</v>
      </c>
      <c r="CA40" s="88">
        <f>IF(COUNTIF(CAPA3_EXPANSION!$D$56:CA$56,"&gt;="&amp;33)=0,0,SUP_CONTROL!$C$8*IF($B40="V",1,IF($B40="D",(1+SUP_VOLUMEN!$C$26),(1+SUP_VOLUMEN!$C$27)))*INDEX(SUP_C3_EXPANSION!$C$6:$F$6,MIN(4,COUNTIF(CAPA3_EXPANSION!$D$56:CA$56,"&gt;="&amp;33)))*CAPA3_EXPANSION!CA$36)</f>
        <v>2828.2799999999997</v>
      </c>
      <c r="CB40" s="88">
        <f>IF(COUNTIF(CAPA3_EXPANSION!$D$56:CB$56,"&gt;="&amp;33)=0,0,SUP_CONTROL!$C$8*IF($B40="V",1,IF($B40="D",(1+SUP_VOLUMEN!$C$26),(1+SUP_VOLUMEN!$C$27)))*INDEX(SUP_C3_EXPANSION!$C$6:$F$6,MIN(4,COUNTIF(CAPA3_EXPANSION!$D$56:CB$56,"&gt;="&amp;33)))*CAPA3_EXPANSION!CB$36)</f>
        <v>2828.2799999999997</v>
      </c>
      <c r="CC40" s="88">
        <f>IF(COUNTIF(CAPA3_EXPANSION!$D$56:CC$56,"&gt;="&amp;33)=0,0,SUP_CONTROL!$C$8*IF($B40="V",1,IF($B40="D",(1+SUP_VOLUMEN!$C$26),(1+SUP_VOLUMEN!$C$27)))*INDEX(SUP_C3_EXPANSION!$C$6:$F$6,MIN(4,COUNTIF(CAPA3_EXPANSION!$D$56:CC$56,"&gt;="&amp;33)))*CAPA3_EXPANSION!CC$36)</f>
        <v>2828.2799999999997</v>
      </c>
      <c r="CD40" s="88">
        <f>IF(COUNTIF(CAPA3_EXPANSION!$D$56:CD$56,"&gt;="&amp;33)=0,0,SUP_CONTROL!$C$8*IF($B40="V",1,IF($B40="D",(1+SUP_VOLUMEN!$C$26),(1+SUP_VOLUMEN!$C$27)))*INDEX(SUP_C3_EXPANSION!$C$6:$F$6,MIN(4,COUNTIF(CAPA3_EXPANSION!$D$56:CD$56,"&gt;="&amp;33)))*CAPA3_EXPANSION!CD$36)</f>
        <v>2828.2799999999997</v>
      </c>
      <c r="CE40" s="88">
        <f>IF(COUNTIF(CAPA3_EXPANSION!$D$56:CE$56,"&gt;="&amp;33)=0,0,SUP_CONTROL!$C$8*IF($B40="V",1,IF($B40="D",(1+SUP_VOLUMEN!$C$26),(1+SUP_VOLUMEN!$C$27)))*INDEX(SUP_C3_EXPANSION!$C$6:$F$6,MIN(4,COUNTIF(CAPA3_EXPANSION!$D$56:CE$56,"&gt;="&amp;33)))*CAPA3_EXPANSION!CE$36)</f>
        <v>2828.2799999999997</v>
      </c>
      <c r="CF40" s="88">
        <f>IF(COUNTIF(CAPA3_EXPANSION!$D$56:CF$56,"&gt;="&amp;33)=0,0,SUP_CONTROL!$C$8*IF($B40="V",1,IF($B40="D",(1+SUP_VOLUMEN!$C$26),(1+SUP_VOLUMEN!$C$27)))*INDEX(SUP_C3_EXPANSION!$C$6:$F$6,MIN(4,COUNTIF(CAPA3_EXPANSION!$D$56:CF$56,"&gt;="&amp;33)))*CAPA3_EXPANSION!CF$36)</f>
        <v>2828.2799999999997</v>
      </c>
      <c r="CG40" s="88">
        <f>IF(COUNTIF(CAPA3_EXPANSION!$D$56:CG$56,"&gt;="&amp;33)=0,0,SUP_CONTROL!$C$8*IF($B40="V",1,IF($B40="D",(1+SUP_VOLUMEN!$C$26),(1+SUP_VOLUMEN!$C$27)))*INDEX(SUP_C3_EXPANSION!$C$6:$F$6,MIN(4,COUNTIF(CAPA3_EXPANSION!$D$56:CG$56,"&gt;="&amp;33)))*CAPA3_EXPANSION!CG$36)</f>
        <v>2828.2799999999997</v>
      </c>
      <c r="CH40" s="88">
        <f>IF(COUNTIF(CAPA3_EXPANSION!$D$56:CH$56,"&gt;="&amp;33)=0,0,SUP_CONTROL!$C$8*IF($B40="V",1,IF($B40="D",(1+SUP_VOLUMEN!$C$26),(1+SUP_VOLUMEN!$C$27)))*INDEX(SUP_C3_EXPANSION!$C$6:$F$6,MIN(4,COUNTIF(CAPA3_EXPANSION!$D$56:CH$56,"&gt;="&amp;33)))*CAPA3_EXPANSION!CH$36)</f>
        <v>2828.2799999999997</v>
      </c>
      <c r="CI40" s="88">
        <f>IF(COUNTIF(CAPA3_EXPANSION!$D$56:CI$56,"&gt;="&amp;33)=0,0,SUP_CONTROL!$C$8*IF($B40="V",1,IF($B40="D",(1+SUP_VOLUMEN!$C$26),(1+SUP_VOLUMEN!$C$27)))*INDEX(SUP_C3_EXPANSION!$C$6:$F$6,MIN(4,COUNTIF(CAPA3_EXPANSION!$D$56:CI$56,"&gt;="&amp;33)))*CAPA3_EXPANSION!CI$36)</f>
        <v>2828.2799999999997</v>
      </c>
      <c r="CJ40" s="88">
        <f>IF(COUNTIF(CAPA3_EXPANSION!$D$56:CJ$56,"&gt;="&amp;33)=0,0,SUP_CONTROL!$C$8*IF($B40="V",1,IF($B40="D",(1+SUP_VOLUMEN!$C$26),(1+SUP_VOLUMEN!$C$27)))*INDEX(SUP_C3_EXPANSION!$C$6:$F$6,MIN(4,COUNTIF(CAPA3_EXPANSION!$D$56:CJ$56,"&gt;="&amp;33)))*CAPA3_EXPANSION!CJ$36)</f>
        <v>2828.2799999999997</v>
      </c>
      <c r="CK40" s="88">
        <f>IF(COUNTIF(CAPA3_EXPANSION!$D$56:CK$56,"&gt;="&amp;33)=0,0,SUP_CONTROL!$C$8*IF($B40="V",1,IF($B40="D",(1+SUP_VOLUMEN!$C$26),(1+SUP_VOLUMEN!$C$27)))*INDEX(SUP_C3_EXPANSION!$C$6:$F$6,MIN(4,COUNTIF(CAPA3_EXPANSION!$D$56:CK$56,"&gt;="&amp;33)))*CAPA3_EXPANSION!CK$36)</f>
        <v>2828.2799999999997</v>
      </c>
      <c r="CL40" s="88">
        <f>IF(COUNTIF(CAPA3_EXPANSION!$D$56:CL$56,"&gt;="&amp;33)=0,0,SUP_CONTROL!$C$8*IF($B40="V",1,IF($B40="D",(1+SUP_VOLUMEN!$C$26),(1+SUP_VOLUMEN!$C$27)))*INDEX(SUP_C3_EXPANSION!$C$6:$F$6,MIN(4,COUNTIF(CAPA3_EXPANSION!$D$56:CL$56,"&gt;="&amp;33)))*CAPA3_EXPANSION!CL$36)</f>
        <v>2828.2799999999997</v>
      </c>
      <c r="CM40" s="88">
        <f>IF(COUNTIF(CAPA3_EXPANSION!$D$56:CM$56,"&gt;="&amp;33)=0,0,SUP_CONTROL!$C$8*IF($B40="V",1,IF($B40="D",(1+SUP_VOLUMEN!$C$26),(1+SUP_VOLUMEN!$C$27)))*INDEX(SUP_C3_EXPANSION!$C$6:$F$6,MIN(4,COUNTIF(CAPA3_EXPANSION!$D$56:CM$56,"&gt;="&amp;33)))*CAPA3_EXPANSION!CM$36)</f>
        <v>2828.2799999999997</v>
      </c>
      <c r="CN40" s="88">
        <f>IF(COUNTIF(CAPA3_EXPANSION!$D$56:CN$56,"&gt;="&amp;33)=0,0,SUP_CONTROL!$C$8*IF($B40="V",1,IF($B40="D",(1+SUP_VOLUMEN!$C$26),(1+SUP_VOLUMEN!$C$27)))*INDEX(SUP_C3_EXPANSION!$C$6:$F$6,MIN(4,COUNTIF(CAPA3_EXPANSION!$D$56:CN$56,"&gt;="&amp;33)))*CAPA3_EXPANSION!CN$36)</f>
        <v>2828.2799999999997</v>
      </c>
      <c r="CO40" s="88">
        <f>IF(COUNTIF(CAPA3_EXPANSION!$D$56:CO$56,"&gt;="&amp;33)=0,0,SUP_CONTROL!$C$8*IF($B40="V",1,IF($B40="D",(1+SUP_VOLUMEN!$C$26),(1+SUP_VOLUMEN!$C$27)))*INDEX(SUP_C3_EXPANSION!$C$6:$F$6,MIN(4,COUNTIF(CAPA3_EXPANSION!$D$56:CO$56,"&gt;="&amp;33)))*CAPA3_EXPANSION!CO$36)</f>
        <v>2828.2799999999997</v>
      </c>
      <c r="CP40" s="88">
        <f>IF(COUNTIF(CAPA3_EXPANSION!$D$56:CP$56,"&gt;="&amp;33)=0,0,SUP_CONTROL!$C$8*IF($B40="V",1,IF($B40="D",(1+SUP_VOLUMEN!$C$26),(1+SUP_VOLUMEN!$C$27)))*INDEX(SUP_C3_EXPANSION!$C$6:$F$6,MIN(4,COUNTIF(CAPA3_EXPANSION!$D$56:CP$56,"&gt;="&amp;33)))*CAPA3_EXPANSION!CP$36)</f>
        <v>2828.2799999999997</v>
      </c>
      <c r="CQ40" s="88">
        <f>IF(COUNTIF(CAPA3_EXPANSION!$D$56:CQ$56,"&gt;="&amp;33)=0,0,SUP_CONTROL!$C$8*IF($B40="V",1,IF($B40="D",(1+SUP_VOLUMEN!$C$26),(1+SUP_VOLUMEN!$C$27)))*INDEX(SUP_C3_EXPANSION!$C$6:$F$6,MIN(4,COUNTIF(CAPA3_EXPANSION!$D$56:CQ$56,"&gt;="&amp;33)))*CAPA3_EXPANSION!CQ$36)</f>
        <v>2828.2799999999997</v>
      </c>
      <c r="CR40" s="88">
        <f>IF(COUNTIF(CAPA3_EXPANSION!$D$56:CR$56,"&gt;="&amp;33)=0,0,SUP_CONTROL!$C$8*IF($B40="V",1,IF($B40="D",(1+SUP_VOLUMEN!$C$26),(1+SUP_VOLUMEN!$C$27)))*INDEX(SUP_C3_EXPANSION!$C$6:$F$6,MIN(4,COUNTIF(CAPA3_EXPANSION!$D$56:CR$56,"&gt;="&amp;33)))*CAPA3_EXPANSION!CR$36)</f>
        <v>2828.2799999999997</v>
      </c>
      <c r="CS40" s="88">
        <f>IF(COUNTIF(CAPA3_EXPANSION!$D$56:CS$56,"&gt;="&amp;33)=0,0,SUP_CONTROL!$C$8*IF($B40="V",1,IF($B40="D",(1+SUP_VOLUMEN!$C$26),(1+SUP_VOLUMEN!$C$27)))*INDEX(SUP_C3_EXPANSION!$C$6:$F$6,MIN(4,COUNTIF(CAPA3_EXPANSION!$D$56:CS$56,"&gt;="&amp;33)))*CAPA3_EXPANSION!CS$36)</f>
        <v>2828.2799999999997</v>
      </c>
      <c r="CT40" s="88">
        <f>IF(COUNTIF(CAPA3_EXPANSION!$D$56:CT$56,"&gt;="&amp;33)=0,0,SUP_CONTROL!$C$8*IF($B40="V",1,IF($B40="D",(1+SUP_VOLUMEN!$C$26),(1+SUP_VOLUMEN!$C$27)))*INDEX(SUP_C3_EXPANSION!$C$6:$F$6,MIN(4,COUNTIF(CAPA3_EXPANSION!$D$56:CT$56,"&gt;="&amp;33)))*CAPA3_EXPANSION!CT$36)</f>
        <v>2828.2799999999997</v>
      </c>
      <c r="CU40" s="88">
        <f>IF(COUNTIF(CAPA3_EXPANSION!$D$56:CU$56,"&gt;="&amp;33)=0,0,SUP_CONTROL!$C$8*IF($B40="V",1,IF($B40="D",(1+SUP_VOLUMEN!$C$26),(1+SUP_VOLUMEN!$C$27)))*INDEX(SUP_C3_EXPANSION!$C$6:$F$6,MIN(4,COUNTIF(CAPA3_EXPANSION!$D$56:CU$56,"&gt;="&amp;33)))*CAPA3_EXPANSION!CU$36)</f>
        <v>2828.2799999999997</v>
      </c>
      <c r="CV40" s="88">
        <f>IF(COUNTIF(CAPA3_EXPANSION!$D$56:CV$56,"&gt;="&amp;33)=0,0,SUP_CONTROL!$C$8*IF($B40="V",1,IF($B40="D",(1+SUP_VOLUMEN!$C$26),(1+SUP_VOLUMEN!$C$27)))*INDEX(SUP_C3_EXPANSION!$C$6:$F$6,MIN(4,COUNTIF(CAPA3_EXPANSION!$D$56:CV$56,"&gt;="&amp;33)))*CAPA3_EXPANSION!CV$36)</f>
        <v>2828.2799999999997</v>
      </c>
      <c r="CW40" s="88">
        <f>IF(COUNTIF(CAPA3_EXPANSION!$D$56:CW$56,"&gt;="&amp;33)=0,0,SUP_CONTROL!$C$8*IF($B40="V",1,IF($B40="D",(1+SUP_VOLUMEN!$C$26),(1+SUP_VOLUMEN!$C$27)))*INDEX(SUP_C3_EXPANSION!$C$6:$F$6,MIN(4,COUNTIF(CAPA3_EXPANSION!$D$56:CW$56,"&gt;="&amp;33)))*CAPA3_EXPANSION!CW$36)</f>
        <v>2828.2799999999997</v>
      </c>
      <c r="CX40" s="88">
        <f>IF(COUNTIF(CAPA3_EXPANSION!$D$56:CX$56,"&gt;="&amp;33)=0,0,SUP_CONTROL!$C$8*IF($B40="V",1,IF($B40="D",(1+SUP_VOLUMEN!$C$26),(1+SUP_VOLUMEN!$C$27)))*INDEX(SUP_C3_EXPANSION!$C$6:$F$6,MIN(4,COUNTIF(CAPA3_EXPANSION!$D$56:CX$56,"&gt;="&amp;33)))*CAPA3_EXPANSION!CX$36)</f>
        <v>2828.2799999999997</v>
      </c>
      <c r="CY40" s="88">
        <f>IF(COUNTIF(CAPA3_EXPANSION!$D$56:CY$56,"&gt;="&amp;33)=0,0,SUP_CONTROL!$C$8*IF($B40="V",1,IF($B40="D",(1+SUP_VOLUMEN!$C$26),(1+SUP_VOLUMEN!$C$27)))*INDEX(SUP_C3_EXPANSION!$C$6:$F$6,MIN(4,COUNTIF(CAPA3_EXPANSION!$D$56:CY$56,"&gt;="&amp;33)))*CAPA3_EXPANSION!CY$36)</f>
        <v>2828.2799999999997</v>
      </c>
      <c r="CZ40" s="88">
        <f>IF(COUNTIF(CAPA3_EXPANSION!$D$56:CZ$56,"&gt;="&amp;33)=0,0,SUP_CONTROL!$C$8*IF($B40="V",1,IF($B40="D",(1+SUP_VOLUMEN!$C$26),(1+SUP_VOLUMEN!$C$27)))*INDEX(SUP_C3_EXPANSION!$C$6:$F$6,MIN(4,COUNTIF(CAPA3_EXPANSION!$D$56:CZ$56,"&gt;="&amp;33)))*CAPA3_EXPANSION!CZ$36)</f>
        <v>2828.2799999999997</v>
      </c>
      <c r="DA40" s="88">
        <f>IF(COUNTIF(CAPA3_EXPANSION!$D$56:DA$56,"&gt;="&amp;33)=0,0,SUP_CONTROL!$C$8*IF($B40="V",1,IF($B40="D",(1+SUP_VOLUMEN!$C$26),(1+SUP_VOLUMEN!$C$27)))*INDEX(SUP_C3_EXPANSION!$C$6:$F$6,MIN(4,COUNTIF(CAPA3_EXPANSION!$D$56:DA$56,"&gt;="&amp;33)))*CAPA3_EXPANSION!DA$36)</f>
        <v>2828.2799999999997</v>
      </c>
      <c r="DB40" s="88">
        <f>IF(COUNTIF(CAPA3_EXPANSION!$D$56:DB$56,"&gt;="&amp;33)=0,0,SUP_CONTROL!$C$8*IF($B40="V",1,IF($B40="D",(1+SUP_VOLUMEN!$C$26),(1+SUP_VOLUMEN!$C$27)))*INDEX(SUP_C3_EXPANSION!$C$6:$F$6,MIN(4,COUNTIF(CAPA3_EXPANSION!$D$56:DB$56,"&gt;="&amp;33)))*CAPA3_EXPANSION!DB$36)</f>
        <v>2828.2799999999997</v>
      </c>
      <c r="DC40" s="88">
        <f>IF(COUNTIF(CAPA3_EXPANSION!$D$56:DC$56,"&gt;="&amp;33)=0,0,SUP_CONTROL!$C$8*IF($B40="V",1,IF($B40="D",(1+SUP_VOLUMEN!$C$26),(1+SUP_VOLUMEN!$C$27)))*INDEX(SUP_C3_EXPANSION!$C$6:$F$6,MIN(4,COUNTIF(CAPA3_EXPANSION!$D$56:DC$56,"&gt;="&amp;33)))*CAPA3_EXPANSION!DC$36)</f>
        <v>2828.2799999999997</v>
      </c>
      <c r="DD40" s="88">
        <f>IF(COUNTIF(CAPA3_EXPANSION!$D$56:DD$56,"&gt;="&amp;33)=0,0,SUP_CONTROL!$C$8*IF($B40="V",1,IF($B40="D",(1+SUP_VOLUMEN!$C$26),(1+SUP_VOLUMEN!$C$27)))*INDEX(SUP_C3_EXPANSION!$C$6:$F$6,MIN(4,COUNTIF(CAPA3_EXPANSION!$D$56:DD$56,"&gt;="&amp;33)))*CAPA3_EXPANSION!DD$36)</f>
        <v>2828.2799999999997</v>
      </c>
      <c r="DE40" s="88">
        <f>IF(COUNTIF(CAPA3_EXPANSION!$D$56:DE$56,"&gt;="&amp;33)=0,0,SUP_CONTROL!$C$8*IF($B40="V",1,IF($B40="D",(1+SUP_VOLUMEN!$C$26),(1+SUP_VOLUMEN!$C$27)))*INDEX(SUP_C3_EXPANSION!$C$6:$F$6,MIN(4,COUNTIF(CAPA3_EXPANSION!$D$56:DE$56,"&gt;="&amp;33)))*CAPA3_EXPANSION!DE$36)</f>
        <v>2828.2799999999997</v>
      </c>
      <c r="DF40" s="88">
        <f>IF(COUNTIF(CAPA3_EXPANSION!$D$56:DF$56,"&gt;="&amp;33)=0,0,SUP_CONTROL!$C$8*IF($B40="V",1,IF($B40="D",(1+SUP_VOLUMEN!$C$26),(1+SUP_VOLUMEN!$C$27)))*INDEX(SUP_C3_EXPANSION!$C$6:$F$6,MIN(4,COUNTIF(CAPA3_EXPANSION!$D$56:DF$56,"&gt;="&amp;33)))*CAPA3_EXPANSION!DF$36)</f>
        <v>2828.2799999999997</v>
      </c>
      <c r="DG40" s="88">
        <f>IF(COUNTIF(CAPA3_EXPANSION!$D$56:DG$56,"&gt;="&amp;33)=0,0,SUP_CONTROL!$C$8*IF($B40="V",1,IF($B40="D",(1+SUP_VOLUMEN!$C$26),(1+SUP_VOLUMEN!$C$27)))*INDEX(SUP_C3_EXPANSION!$C$6:$F$6,MIN(4,COUNTIF(CAPA3_EXPANSION!$D$56:DG$56,"&gt;="&amp;33)))*CAPA3_EXPANSION!DG$36)</f>
        <v>2828.2799999999997</v>
      </c>
      <c r="DH40" s="88">
        <f>IF(COUNTIF(CAPA3_EXPANSION!$D$56:DH$56,"&gt;="&amp;33)=0,0,SUP_CONTROL!$C$8*IF($B40="V",1,IF($B40="D",(1+SUP_VOLUMEN!$C$26),(1+SUP_VOLUMEN!$C$27)))*INDEX(SUP_C3_EXPANSION!$C$6:$F$6,MIN(4,COUNTIF(CAPA3_EXPANSION!$D$56:DH$56,"&gt;="&amp;33)))*CAPA3_EXPANSION!DH$36)</f>
        <v>2828.2799999999997</v>
      </c>
      <c r="DI40" s="88">
        <f>IF(COUNTIF(CAPA3_EXPANSION!$D$56:DI$56,"&gt;="&amp;33)=0,0,SUP_CONTROL!$C$8*IF($B40="V",1,IF($B40="D",(1+SUP_VOLUMEN!$C$26),(1+SUP_VOLUMEN!$C$27)))*INDEX(SUP_C3_EXPANSION!$C$6:$F$6,MIN(4,COUNTIF(CAPA3_EXPANSION!$D$56:DI$56,"&gt;="&amp;33)))*CAPA3_EXPANSION!DI$36)</f>
        <v>2828.2799999999997</v>
      </c>
      <c r="DJ40" s="88">
        <f>IF(COUNTIF(CAPA3_EXPANSION!$D$56:DJ$56,"&gt;="&amp;33)=0,0,SUP_CONTROL!$C$8*IF($B40="V",1,IF($B40="D",(1+SUP_VOLUMEN!$C$26),(1+SUP_VOLUMEN!$C$27)))*INDEX(SUP_C3_EXPANSION!$C$6:$F$6,MIN(4,COUNTIF(CAPA3_EXPANSION!$D$56:DJ$56,"&gt;="&amp;33)))*CAPA3_EXPANSION!DJ$36)</f>
        <v>2828.2799999999997</v>
      </c>
      <c r="DK40" s="88">
        <f>IF(COUNTIF(CAPA3_EXPANSION!$D$56:DK$56,"&gt;="&amp;33)=0,0,SUP_CONTROL!$C$8*IF($B40="V",1,IF($B40="D",(1+SUP_VOLUMEN!$C$26),(1+SUP_VOLUMEN!$C$27)))*INDEX(SUP_C3_EXPANSION!$C$6:$F$6,MIN(4,COUNTIF(CAPA3_EXPANSION!$D$56:DK$56,"&gt;="&amp;33)))*CAPA3_EXPANSION!DK$36)</f>
        <v>2828.2799999999997</v>
      </c>
      <c r="DL40" s="88">
        <f>IF(COUNTIF(CAPA3_EXPANSION!$D$56:DL$56,"&gt;="&amp;33)=0,0,SUP_CONTROL!$C$8*IF($B40="V",1,IF($B40="D",(1+SUP_VOLUMEN!$C$26),(1+SUP_VOLUMEN!$C$27)))*INDEX(SUP_C3_EXPANSION!$C$6:$F$6,MIN(4,COUNTIF(CAPA3_EXPANSION!$D$56:DL$56,"&gt;="&amp;33)))*CAPA3_EXPANSION!DL$36)</f>
        <v>2828.2799999999997</v>
      </c>
      <c r="DM40" s="88">
        <f>IF(COUNTIF(CAPA3_EXPANSION!$D$56:DM$56,"&gt;="&amp;33)=0,0,SUP_CONTROL!$C$8*IF($B40="V",1,IF($B40="D",(1+SUP_VOLUMEN!$C$26),(1+SUP_VOLUMEN!$C$27)))*INDEX(SUP_C3_EXPANSION!$C$6:$F$6,MIN(4,COUNTIF(CAPA3_EXPANSION!$D$56:DM$56,"&gt;="&amp;33)))*CAPA3_EXPANSION!DM$36)</f>
        <v>2828.2799999999997</v>
      </c>
      <c r="DN40" s="88">
        <f>IF(COUNTIF(CAPA3_EXPANSION!$D$56:DN$56,"&gt;="&amp;33)=0,0,SUP_CONTROL!$C$8*IF($B40="V",1,IF($B40="D",(1+SUP_VOLUMEN!$C$26),(1+SUP_VOLUMEN!$C$27)))*INDEX(SUP_C3_EXPANSION!$C$6:$F$6,MIN(4,COUNTIF(CAPA3_EXPANSION!$D$56:DN$56,"&gt;="&amp;33)))*CAPA3_EXPANSION!DN$36)</f>
        <v>2828.2799999999997</v>
      </c>
      <c r="DO40" s="88">
        <f>IF(COUNTIF(CAPA3_EXPANSION!$D$56:DO$56,"&gt;="&amp;33)=0,0,SUP_CONTROL!$C$8*IF($B40="V",1,IF($B40="D",(1+SUP_VOLUMEN!$C$26),(1+SUP_VOLUMEN!$C$27)))*INDEX(SUP_C3_EXPANSION!$C$6:$F$6,MIN(4,COUNTIF(CAPA3_EXPANSION!$D$56:DO$56,"&gt;="&amp;33)))*CAPA3_EXPANSION!DO$36)</f>
        <v>2828.2799999999997</v>
      </c>
      <c r="DP40" s="88">
        <f>IF(COUNTIF(CAPA3_EXPANSION!$D$56:DP$56,"&gt;="&amp;33)=0,0,SUP_CONTROL!$C$8*IF($B40="V",1,IF($B40="D",(1+SUP_VOLUMEN!$C$26),(1+SUP_VOLUMEN!$C$27)))*INDEX(SUP_C3_EXPANSION!$C$6:$F$6,MIN(4,COUNTIF(CAPA3_EXPANSION!$D$56:DP$56,"&gt;="&amp;33)))*CAPA3_EXPANSION!DP$36)</f>
        <v>2828.2799999999997</v>
      </c>
      <c r="DQ40" s="88">
        <f>IF(COUNTIF(CAPA3_EXPANSION!$D$56:DQ$56,"&gt;="&amp;33)=0,0,SUP_CONTROL!$C$8*IF($B40="V",1,IF($B40="D",(1+SUP_VOLUMEN!$C$26),(1+SUP_VOLUMEN!$C$27)))*INDEX(SUP_C3_EXPANSION!$C$6:$F$6,MIN(4,COUNTIF(CAPA3_EXPANSION!$D$56:DQ$56,"&gt;="&amp;33)))*CAPA3_EXPANSION!DQ$36)</f>
        <v>2828.2799999999997</v>
      </c>
      <c r="DR40" s="88">
        <f>IF(COUNTIF(CAPA3_EXPANSION!$D$56:DR$56,"&gt;="&amp;33)=0,0,SUP_CONTROL!$C$8*IF($B40="V",1,IF($B40="D",(1+SUP_VOLUMEN!$C$26),(1+SUP_VOLUMEN!$C$27)))*INDEX(SUP_C3_EXPANSION!$C$6:$F$6,MIN(4,COUNTIF(CAPA3_EXPANSION!$D$56:DR$56,"&gt;="&amp;33)))*CAPA3_EXPANSION!DR$36)</f>
        <v>2828.2799999999997</v>
      </c>
      <c r="DS40" s="88">
        <f>IF(COUNTIF(CAPA3_EXPANSION!$D$56:DS$56,"&gt;="&amp;33)=0,0,SUP_CONTROL!$C$8*IF($B40="V",1,IF($B40="D",(1+SUP_VOLUMEN!$C$26),(1+SUP_VOLUMEN!$C$27)))*INDEX(SUP_C3_EXPANSION!$C$6:$F$6,MIN(4,COUNTIF(CAPA3_EXPANSION!$D$56:DS$56,"&gt;="&amp;33)))*CAPA3_EXPANSION!DS$36)</f>
        <v>2828.2799999999997</v>
      </c>
    </row>
    <row r="41" spans="1:123" ht="15" customHeight="1" x14ac:dyDescent="0.2">
      <c r="A41" s="88">
        <v>44</v>
      </c>
      <c r="B41" s="104" t="str">
        <f>SUP_C3_EXPANSION!B53</f>
        <v>D</v>
      </c>
      <c r="C41" s="73">
        <f>SUP_C3_EXPANSION!G53</f>
        <v>69</v>
      </c>
      <c r="D41" s="88">
        <f>IF(COUNTIF(CAPA3_EXPANSION!$D$56:D$56,"&gt;="&amp;34)=0,0,SUP_CONTROL!$C$8*IF($B41="V",1,IF($B41="D",(1+SUP_VOLUMEN!$C$26),(1+SUP_VOLUMEN!$C$27)))*INDEX(SUP_C3_EXPANSION!$C$6:$F$6,MIN(4,COUNTIF(CAPA3_EXPANSION!$D$56:D$56,"&gt;="&amp;34)))*CAPA3_EXPANSION!D$36)</f>
        <v>0</v>
      </c>
      <c r="E41" s="88">
        <f>IF(COUNTIF(CAPA3_EXPANSION!$D$56:E$56,"&gt;="&amp;34)=0,0,SUP_CONTROL!$C$8*IF($B41="V",1,IF($B41="D",(1+SUP_VOLUMEN!$C$26),(1+SUP_VOLUMEN!$C$27)))*INDEX(SUP_C3_EXPANSION!$C$6:$F$6,MIN(4,COUNTIF(CAPA3_EXPANSION!$D$56:E$56,"&gt;="&amp;34)))*CAPA3_EXPANSION!E$36)</f>
        <v>0</v>
      </c>
      <c r="F41" s="88">
        <f>IF(COUNTIF(CAPA3_EXPANSION!$D$56:F$56,"&gt;="&amp;34)=0,0,SUP_CONTROL!$C$8*IF($B41="V",1,IF($B41="D",(1+SUP_VOLUMEN!$C$26),(1+SUP_VOLUMEN!$C$27)))*INDEX(SUP_C3_EXPANSION!$C$6:$F$6,MIN(4,COUNTIF(CAPA3_EXPANSION!$D$56:F$56,"&gt;="&amp;34)))*CAPA3_EXPANSION!F$36)</f>
        <v>0</v>
      </c>
      <c r="G41" s="88">
        <f>IF(COUNTIF(CAPA3_EXPANSION!$D$56:G$56,"&gt;="&amp;34)=0,0,SUP_CONTROL!$C$8*IF($B41="V",1,IF($B41="D",(1+SUP_VOLUMEN!$C$26),(1+SUP_VOLUMEN!$C$27)))*INDEX(SUP_C3_EXPANSION!$C$6:$F$6,MIN(4,COUNTIF(CAPA3_EXPANSION!$D$56:G$56,"&gt;="&amp;34)))*CAPA3_EXPANSION!G$36)</f>
        <v>0</v>
      </c>
      <c r="H41" s="88">
        <f>IF(COUNTIF(CAPA3_EXPANSION!$D$56:H$56,"&gt;="&amp;34)=0,0,SUP_CONTROL!$C$8*IF($B41="V",1,IF($B41="D",(1+SUP_VOLUMEN!$C$26),(1+SUP_VOLUMEN!$C$27)))*INDEX(SUP_C3_EXPANSION!$C$6:$F$6,MIN(4,COUNTIF(CAPA3_EXPANSION!$D$56:H$56,"&gt;="&amp;34)))*CAPA3_EXPANSION!H$36)</f>
        <v>0</v>
      </c>
      <c r="I41" s="88">
        <f>IF(COUNTIF(CAPA3_EXPANSION!$D$56:I$56,"&gt;="&amp;34)=0,0,SUP_CONTROL!$C$8*IF($B41="V",1,IF($B41="D",(1+SUP_VOLUMEN!$C$26),(1+SUP_VOLUMEN!$C$27)))*INDEX(SUP_C3_EXPANSION!$C$6:$F$6,MIN(4,COUNTIF(CAPA3_EXPANSION!$D$56:I$56,"&gt;="&amp;34)))*CAPA3_EXPANSION!I$36)</f>
        <v>0</v>
      </c>
      <c r="J41" s="88">
        <f>IF(COUNTIF(CAPA3_EXPANSION!$D$56:J$56,"&gt;="&amp;34)=0,0,SUP_CONTROL!$C$8*IF($B41="V",1,IF($B41="D",(1+SUP_VOLUMEN!$C$26),(1+SUP_VOLUMEN!$C$27)))*INDEX(SUP_C3_EXPANSION!$C$6:$F$6,MIN(4,COUNTIF(CAPA3_EXPANSION!$D$56:J$56,"&gt;="&amp;34)))*CAPA3_EXPANSION!J$36)</f>
        <v>0</v>
      </c>
      <c r="K41" s="88">
        <f>IF(COUNTIF(CAPA3_EXPANSION!$D$56:K$56,"&gt;="&amp;34)=0,0,SUP_CONTROL!$C$8*IF($B41="V",1,IF($B41="D",(1+SUP_VOLUMEN!$C$26),(1+SUP_VOLUMEN!$C$27)))*INDEX(SUP_C3_EXPANSION!$C$6:$F$6,MIN(4,COUNTIF(CAPA3_EXPANSION!$D$56:K$56,"&gt;="&amp;34)))*CAPA3_EXPANSION!K$36)</f>
        <v>0</v>
      </c>
      <c r="L41" s="88">
        <f>IF(COUNTIF(CAPA3_EXPANSION!$D$56:L$56,"&gt;="&amp;34)=0,0,SUP_CONTROL!$C$8*IF($B41="V",1,IF($B41="D",(1+SUP_VOLUMEN!$C$26),(1+SUP_VOLUMEN!$C$27)))*INDEX(SUP_C3_EXPANSION!$C$6:$F$6,MIN(4,COUNTIF(CAPA3_EXPANSION!$D$56:L$56,"&gt;="&amp;34)))*CAPA3_EXPANSION!L$36)</f>
        <v>0</v>
      </c>
      <c r="M41" s="88">
        <f>IF(COUNTIF(CAPA3_EXPANSION!$D$56:M$56,"&gt;="&amp;34)=0,0,SUP_CONTROL!$C$8*IF($B41="V",1,IF($B41="D",(1+SUP_VOLUMEN!$C$26),(1+SUP_VOLUMEN!$C$27)))*INDEX(SUP_C3_EXPANSION!$C$6:$F$6,MIN(4,COUNTIF(CAPA3_EXPANSION!$D$56:M$56,"&gt;="&amp;34)))*CAPA3_EXPANSION!M$36)</f>
        <v>0</v>
      </c>
      <c r="N41" s="88">
        <f>IF(COUNTIF(CAPA3_EXPANSION!$D$56:N$56,"&gt;="&amp;34)=0,0,SUP_CONTROL!$C$8*IF($B41="V",1,IF($B41="D",(1+SUP_VOLUMEN!$C$26),(1+SUP_VOLUMEN!$C$27)))*INDEX(SUP_C3_EXPANSION!$C$6:$F$6,MIN(4,COUNTIF(CAPA3_EXPANSION!$D$56:N$56,"&gt;="&amp;34)))*CAPA3_EXPANSION!N$36)</f>
        <v>0</v>
      </c>
      <c r="O41" s="88">
        <f>IF(COUNTIF(CAPA3_EXPANSION!$D$56:O$56,"&gt;="&amp;34)=0,0,SUP_CONTROL!$C$8*IF($B41="V",1,IF($B41="D",(1+SUP_VOLUMEN!$C$26),(1+SUP_VOLUMEN!$C$27)))*INDEX(SUP_C3_EXPANSION!$C$6:$F$6,MIN(4,COUNTIF(CAPA3_EXPANSION!$D$56:O$56,"&gt;="&amp;34)))*CAPA3_EXPANSION!O$36)</f>
        <v>0</v>
      </c>
      <c r="P41" s="88">
        <f>IF(COUNTIF(CAPA3_EXPANSION!$D$56:P$56,"&gt;="&amp;34)=0,0,SUP_CONTROL!$C$8*IF($B41="V",1,IF($B41="D",(1+SUP_VOLUMEN!$C$26),(1+SUP_VOLUMEN!$C$27)))*INDEX(SUP_C3_EXPANSION!$C$6:$F$6,MIN(4,COUNTIF(CAPA3_EXPANSION!$D$56:P$56,"&gt;="&amp;34)))*CAPA3_EXPANSION!P$36)</f>
        <v>0</v>
      </c>
      <c r="Q41" s="88">
        <f>IF(COUNTIF(CAPA3_EXPANSION!$D$56:Q$56,"&gt;="&amp;34)=0,0,SUP_CONTROL!$C$8*IF($B41="V",1,IF($B41="D",(1+SUP_VOLUMEN!$C$26),(1+SUP_VOLUMEN!$C$27)))*INDEX(SUP_C3_EXPANSION!$C$6:$F$6,MIN(4,COUNTIF(CAPA3_EXPANSION!$D$56:Q$56,"&gt;="&amp;34)))*CAPA3_EXPANSION!Q$36)</f>
        <v>0</v>
      </c>
      <c r="R41" s="88">
        <f>IF(COUNTIF(CAPA3_EXPANSION!$D$56:R$56,"&gt;="&amp;34)=0,0,SUP_CONTROL!$C$8*IF($B41="V",1,IF($B41="D",(1+SUP_VOLUMEN!$C$26),(1+SUP_VOLUMEN!$C$27)))*INDEX(SUP_C3_EXPANSION!$C$6:$F$6,MIN(4,COUNTIF(CAPA3_EXPANSION!$D$56:R$56,"&gt;="&amp;34)))*CAPA3_EXPANSION!R$36)</f>
        <v>0</v>
      </c>
      <c r="S41" s="88">
        <f>IF(COUNTIF(CAPA3_EXPANSION!$D$56:S$56,"&gt;="&amp;34)=0,0,SUP_CONTROL!$C$8*IF($B41="V",1,IF($B41="D",(1+SUP_VOLUMEN!$C$26),(1+SUP_VOLUMEN!$C$27)))*INDEX(SUP_C3_EXPANSION!$C$6:$F$6,MIN(4,COUNTIF(CAPA3_EXPANSION!$D$56:S$56,"&gt;="&amp;34)))*CAPA3_EXPANSION!S$36)</f>
        <v>0</v>
      </c>
      <c r="T41" s="88">
        <f>IF(COUNTIF(CAPA3_EXPANSION!$D$56:T$56,"&gt;="&amp;34)=0,0,SUP_CONTROL!$C$8*IF($B41="V",1,IF($B41="D",(1+SUP_VOLUMEN!$C$26),(1+SUP_VOLUMEN!$C$27)))*INDEX(SUP_C3_EXPANSION!$C$6:$F$6,MIN(4,COUNTIF(CAPA3_EXPANSION!$D$56:T$56,"&gt;="&amp;34)))*CAPA3_EXPANSION!T$36)</f>
        <v>0</v>
      </c>
      <c r="U41" s="88">
        <f>IF(COUNTIF(CAPA3_EXPANSION!$D$56:U$56,"&gt;="&amp;34)=0,0,SUP_CONTROL!$C$8*IF($B41="V",1,IF($B41="D",(1+SUP_VOLUMEN!$C$26),(1+SUP_VOLUMEN!$C$27)))*INDEX(SUP_C3_EXPANSION!$C$6:$F$6,MIN(4,COUNTIF(CAPA3_EXPANSION!$D$56:U$56,"&gt;="&amp;34)))*CAPA3_EXPANSION!U$36)</f>
        <v>0</v>
      </c>
      <c r="V41" s="88">
        <f>IF(COUNTIF(CAPA3_EXPANSION!$D$56:V$56,"&gt;="&amp;34)=0,0,SUP_CONTROL!$C$8*IF($B41="V",1,IF($B41="D",(1+SUP_VOLUMEN!$C$26),(1+SUP_VOLUMEN!$C$27)))*INDEX(SUP_C3_EXPANSION!$C$6:$F$6,MIN(4,COUNTIF(CAPA3_EXPANSION!$D$56:V$56,"&gt;="&amp;34)))*CAPA3_EXPANSION!V$36)</f>
        <v>0</v>
      </c>
      <c r="W41" s="88">
        <f>IF(COUNTIF(CAPA3_EXPANSION!$D$56:W$56,"&gt;="&amp;34)=0,0,SUP_CONTROL!$C$8*IF($B41="V",1,IF($B41="D",(1+SUP_VOLUMEN!$C$26),(1+SUP_VOLUMEN!$C$27)))*INDEX(SUP_C3_EXPANSION!$C$6:$F$6,MIN(4,COUNTIF(CAPA3_EXPANSION!$D$56:W$56,"&gt;="&amp;34)))*CAPA3_EXPANSION!W$36)</f>
        <v>0</v>
      </c>
      <c r="X41" s="88">
        <f>IF(COUNTIF(CAPA3_EXPANSION!$D$56:X$56,"&gt;="&amp;34)=0,0,SUP_CONTROL!$C$8*IF($B41="V",1,IF($B41="D",(1+SUP_VOLUMEN!$C$26),(1+SUP_VOLUMEN!$C$27)))*INDEX(SUP_C3_EXPANSION!$C$6:$F$6,MIN(4,COUNTIF(CAPA3_EXPANSION!$D$56:X$56,"&gt;="&amp;34)))*CAPA3_EXPANSION!X$36)</f>
        <v>0</v>
      </c>
      <c r="Y41" s="88">
        <f>IF(COUNTIF(CAPA3_EXPANSION!$D$56:Y$56,"&gt;="&amp;34)=0,0,SUP_CONTROL!$C$8*IF($B41="V",1,IF($B41="D",(1+SUP_VOLUMEN!$C$26),(1+SUP_VOLUMEN!$C$27)))*INDEX(SUP_C3_EXPANSION!$C$6:$F$6,MIN(4,COUNTIF(CAPA3_EXPANSION!$D$56:Y$56,"&gt;="&amp;34)))*CAPA3_EXPANSION!Y$36)</f>
        <v>0</v>
      </c>
      <c r="Z41" s="88">
        <f>IF(COUNTIF(CAPA3_EXPANSION!$D$56:Z$56,"&gt;="&amp;34)=0,0,SUP_CONTROL!$C$8*IF($B41="V",1,IF($B41="D",(1+SUP_VOLUMEN!$C$26),(1+SUP_VOLUMEN!$C$27)))*INDEX(SUP_C3_EXPANSION!$C$6:$F$6,MIN(4,COUNTIF(CAPA3_EXPANSION!$D$56:Z$56,"&gt;="&amp;34)))*CAPA3_EXPANSION!Z$36)</f>
        <v>0</v>
      </c>
      <c r="AA41" s="88">
        <f>IF(COUNTIF(CAPA3_EXPANSION!$D$56:AA$56,"&gt;="&amp;34)=0,0,SUP_CONTROL!$C$8*IF($B41="V",1,IF($B41="D",(1+SUP_VOLUMEN!$C$26),(1+SUP_VOLUMEN!$C$27)))*INDEX(SUP_C3_EXPANSION!$C$6:$F$6,MIN(4,COUNTIF(CAPA3_EXPANSION!$D$56:AA$56,"&gt;="&amp;34)))*CAPA3_EXPANSION!AA$36)</f>
        <v>0</v>
      </c>
      <c r="AB41" s="88">
        <f>IF(COUNTIF(CAPA3_EXPANSION!$D$56:AB$56,"&gt;="&amp;34)=0,0,SUP_CONTROL!$C$8*IF($B41="V",1,IF($B41="D",(1+SUP_VOLUMEN!$C$26),(1+SUP_VOLUMEN!$C$27)))*INDEX(SUP_C3_EXPANSION!$C$6:$F$6,MIN(4,COUNTIF(CAPA3_EXPANSION!$D$56:AB$56,"&gt;="&amp;34)))*CAPA3_EXPANSION!AB$36)</f>
        <v>0</v>
      </c>
      <c r="AC41" s="88">
        <f>IF(COUNTIF(CAPA3_EXPANSION!$D$56:AC$56,"&gt;="&amp;34)=0,0,SUP_CONTROL!$C$8*IF($B41="V",1,IF($B41="D",(1+SUP_VOLUMEN!$C$26),(1+SUP_VOLUMEN!$C$27)))*INDEX(SUP_C3_EXPANSION!$C$6:$F$6,MIN(4,COUNTIF(CAPA3_EXPANSION!$D$56:AC$56,"&gt;="&amp;34)))*CAPA3_EXPANSION!AC$36)</f>
        <v>0</v>
      </c>
      <c r="AD41" s="88">
        <f>IF(COUNTIF(CAPA3_EXPANSION!$D$56:AD$56,"&gt;="&amp;34)=0,0,SUP_CONTROL!$C$8*IF($B41="V",1,IF($B41="D",(1+SUP_VOLUMEN!$C$26),(1+SUP_VOLUMEN!$C$27)))*INDEX(SUP_C3_EXPANSION!$C$6:$F$6,MIN(4,COUNTIF(CAPA3_EXPANSION!$D$56:AD$56,"&gt;="&amp;34)))*CAPA3_EXPANSION!AD$36)</f>
        <v>0</v>
      </c>
      <c r="AE41" s="88">
        <f>IF(COUNTIF(CAPA3_EXPANSION!$D$56:AE$56,"&gt;="&amp;34)=0,0,SUP_CONTROL!$C$8*IF($B41="V",1,IF($B41="D",(1+SUP_VOLUMEN!$C$26),(1+SUP_VOLUMEN!$C$27)))*INDEX(SUP_C3_EXPANSION!$C$6:$F$6,MIN(4,COUNTIF(CAPA3_EXPANSION!$D$56:AE$56,"&gt;="&amp;34)))*CAPA3_EXPANSION!AE$36)</f>
        <v>0</v>
      </c>
      <c r="AF41" s="88">
        <f>IF(COUNTIF(CAPA3_EXPANSION!$D$56:AF$56,"&gt;="&amp;34)=0,0,SUP_CONTROL!$C$8*IF($B41="V",1,IF($B41="D",(1+SUP_VOLUMEN!$C$26),(1+SUP_VOLUMEN!$C$27)))*INDEX(SUP_C3_EXPANSION!$C$6:$F$6,MIN(4,COUNTIF(CAPA3_EXPANSION!$D$56:AF$56,"&gt;="&amp;34)))*CAPA3_EXPANSION!AF$36)</f>
        <v>0</v>
      </c>
      <c r="AG41" s="88">
        <f>IF(COUNTIF(CAPA3_EXPANSION!$D$56:AG$56,"&gt;="&amp;34)=0,0,SUP_CONTROL!$C$8*IF($B41="V",1,IF($B41="D",(1+SUP_VOLUMEN!$C$26),(1+SUP_VOLUMEN!$C$27)))*INDEX(SUP_C3_EXPANSION!$C$6:$F$6,MIN(4,COUNTIF(CAPA3_EXPANSION!$D$56:AG$56,"&gt;="&amp;34)))*CAPA3_EXPANSION!AG$36)</f>
        <v>0</v>
      </c>
      <c r="AH41" s="88">
        <f>IF(COUNTIF(CAPA3_EXPANSION!$D$56:AH$56,"&gt;="&amp;34)=0,0,SUP_CONTROL!$C$8*IF($B41="V",1,IF($B41="D",(1+SUP_VOLUMEN!$C$26),(1+SUP_VOLUMEN!$C$27)))*INDEX(SUP_C3_EXPANSION!$C$6:$F$6,MIN(4,COUNTIF(CAPA3_EXPANSION!$D$56:AH$56,"&gt;="&amp;34)))*CAPA3_EXPANSION!AH$36)</f>
        <v>0</v>
      </c>
      <c r="AI41" s="88">
        <f>IF(COUNTIF(CAPA3_EXPANSION!$D$56:AI$56,"&gt;="&amp;34)=0,0,SUP_CONTROL!$C$8*IF($B41="V",1,IF($B41="D",(1+SUP_VOLUMEN!$C$26),(1+SUP_VOLUMEN!$C$27)))*INDEX(SUP_C3_EXPANSION!$C$6:$F$6,MIN(4,COUNTIF(CAPA3_EXPANSION!$D$56:AI$56,"&gt;="&amp;34)))*CAPA3_EXPANSION!AI$36)</f>
        <v>0</v>
      </c>
      <c r="AJ41" s="88">
        <f>IF(COUNTIF(CAPA3_EXPANSION!$D$56:AJ$56,"&gt;="&amp;34)=0,0,SUP_CONTROL!$C$8*IF($B41="V",1,IF($B41="D",(1+SUP_VOLUMEN!$C$26),(1+SUP_VOLUMEN!$C$27)))*INDEX(SUP_C3_EXPANSION!$C$6:$F$6,MIN(4,COUNTIF(CAPA3_EXPANSION!$D$56:AJ$56,"&gt;="&amp;34)))*CAPA3_EXPANSION!AJ$36)</f>
        <v>0</v>
      </c>
      <c r="AK41" s="88">
        <f>IF(COUNTIF(CAPA3_EXPANSION!$D$56:AK$56,"&gt;="&amp;34)=0,0,SUP_CONTROL!$C$8*IF($B41="V",1,IF($B41="D",(1+SUP_VOLUMEN!$C$26),(1+SUP_VOLUMEN!$C$27)))*INDEX(SUP_C3_EXPANSION!$C$6:$F$6,MIN(4,COUNTIF(CAPA3_EXPANSION!$D$56:AK$56,"&gt;="&amp;34)))*CAPA3_EXPANSION!AK$36)</f>
        <v>0</v>
      </c>
      <c r="AL41" s="88">
        <f>IF(COUNTIF(CAPA3_EXPANSION!$D$56:AL$56,"&gt;="&amp;34)=0,0,SUP_CONTROL!$C$8*IF($B41="V",1,IF($B41="D",(1+SUP_VOLUMEN!$C$26),(1+SUP_VOLUMEN!$C$27)))*INDEX(SUP_C3_EXPANSION!$C$6:$F$6,MIN(4,COUNTIF(CAPA3_EXPANSION!$D$56:AL$56,"&gt;="&amp;34)))*CAPA3_EXPANSION!AL$36)</f>
        <v>0</v>
      </c>
      <c r="AM41" s="88">
        <f>IF(COUNTIF(CAPA3_EXPANSION!$D$56:AM$56,"&gt;="&amp;34)=0,0,SUP_CONTROL!$C$8*IF($B41="V",1,IF($B41="D",(1+SUP_VOLUMEN!$C$26),(1+SUP_VOLUMEN!$C$27)))*INDEX(SUP_C3_EXPANSION!$C$6:$F$6,MIN(4,COUNTIF(CAPA3_EXPANSION!$D$56:AM$56,"&gt;="&amp;34)))*CAPA3_EXPANSION!AM$36)</f>
        <v>0</v>
      </c>
      <c r="AN41" s="88">
        <f>IF(COUNTIF(CAPA3_EXPANSION!$D$56:AN$56,"&gt;="&amp;34)=0,0,SUP_CONTROL!$C$8*IF($B41="V",1,IF($B41="D",(1+SUP_VOLUMEN!$C$26),(1+SUP_VOLUMEN!$C$27)))*INDEX(SUP_C3_EXPANSION!$C$6:$F$6,MIN(4,COUNTIF(CAPA3_EXPANSION!$D$56:AN$56,"&gt;="&amp;34)))*CAPA3_EXPANSION!AN$36)</f>
        <v>0</v>
      </c>
      <c r="AO41" s="88">
        <f>IF(COUNTIF(CAPA3_EXPANSION!$D$56:AO$56,"&gt;="&amp;34)=0,0,SUP_CONTROL!$C$8*IF($B41="V",1,IF($B41="D",(1+SUP_VOLUMEN!$C$26),(1+SUP_VOLUMEN!$C$27)))*INDEX(SUP_C3_EXPANSION!$C$6:$F$6,MIN(4,COUNTIF(CAPA3_EXPANSION!$D$56:AO$56,"&gt;="&amp;34)))*CAPA3_EXPANSION!AO$36)</f>
        <v>0</v>
      </c>
      <c r="AP41" s="88">
        <f>IF(COUNTIF(CAPA3_EXPANSION!$D$56:AP$56,"&gt;="&amp;34)=0,0,SUP_CONTROL!$C$8*IF($B41="V",1,IF($B41="D",(1+SUP_VOLUMEN!$C$26),(1+SUP_VOLUMEN!$C$27)))*INDEX(SUP_C3_EXPANSION!$C$6:$F$6,MIN(4,COUNTIF(CAPA3_EXPANSION!$D$56:AP$56,"&gt;="&amp;34)))*CAPA3_EXPANSION!AP$36)</f>
        <v>0</v>
      </c>
      <c r="AQ41" s="88">
        <f>IF(COUNTIF(CAPA3_EXPANSION!$D$56:AQ$56,"&gt;="&amp;34)=0,0,SUP_CONTROL!$C$8*IF($B41="V",1,IF($B41="D",(1+SUP_VOLUMEN!$C$26),(1+SUP_VOLUMEN!$C$27)))*INDEX(SUP_C3_EXPANSION!$C$6:$F$6,MIN(4,COUNTIF(CAPA3_EXPANSION!$D$56:AQ$56,"&gt;="&amp;34)))*CAPA3_EXPANSION!AQ$36)</f>
        <v>0</v>
      </c>
      <c r="AR41" s="88">
        <f>IF(COUNTIF(CAPA3_EXPANSION!$D$56:AR$56,"&gt;="&amp;34)=0,0,SUP_CONTROL!$C$8*IF($B41="V",1,IF($B41="D",(1+SUP_VOLUMEN!$C$26),(1+SUP_VOLUMEN!$C$27)))*INDEX(SUP_C3_EXPANSION!$C$6:$F$6,MIN(4,COUNTIF(CAPA3_EXPANSION!$D$56:AR$56,"&gt;="&amp;34)))*CAPA3_EXPANSION!AR$36)</f>
        <v>0</v>
      </c>
      <c r="AS41" s="88">
        <f>IF(COUNTIF(CAPA3_EXPANSION!$D$56:AS$56,"&gt;="&amp;34)=0,0,SUP_CONTROL!$C$8*IF($B41="V",1,IF($B41="D",(1+SUP_VOLUMEN!$C$26),(1+SUP_VOLUMEN!$C$27)))*INDEX(SUP_C3_EXPANSION!$C$6:$F$6,MIN(4,COUNTIF(CAPA3_EXPANSION!$D$56:AS$56,"&gt;="&amp;34)))*CAPA3_EXPANSION!AS$36)</f>
        <v>0</v>
      </c>
      <c r="AT41" s="88">
        <f>IF(COUNTIF(CAPA3_EXPANSION!$D$56:AT$56,"&gt;="&amp;34)=0,0,SUP_CONTROL!$C$8*IF($B41="V",1,IF($B41="D",(1+SUP_VOLUMEN!$C$26),(1+SUP_VOLUMEN!$C$27)))*INDEX(SUP_C3_EXPANSION!$C$6:$F$6,MIN(4,COUNTIF(CAPA3_EXPANSION!$D$56:AT$56,"&gt;="&amp;34)))*CAPA3_EXPANSION!AT$36)</f>
        <v>0</v>
      </c>
      <c r="AU41" s="88">
        <f>IF(COUNTIF(CAPA3_EXPANSION!$D$56:AU$56,"&gt;="&amp;34)=0,0,SUP_CONTROL!$C$8*IF($B41="V",1,IF($B41="D",(1+SUP_VOLUMEN!$C$26),(1+SUP_VOLUMEN!$C$27)))*INDEX(SUP_C3_EXPANSION!$C$6:$F$6,MIN(4,COUNTIF(CAPA3_EXPANSION!$D$56:AU$56,"&gt;="&amp;34)))*CAPA3_EXPANSION!AU$36)</f>
        <v>0</v>
      </c>
      <c r="AV41" s="88">
        <f>IF(COUNTIF(CAPA3_EXPANSION!$D$56:AV$56,"&gt;="&amp;34)=0,0,SUP_CONTROL!$C$8*IF($B41="V",1,IF($B41="D",(1+SUP_VOLUMEN!$C$26),(1+SUP_VOLUMEN!$C$27)))*INDEX(SUP_C3_EXPANSION!$C$6:$F$6,MIN(4,COUNTIF(CAPA3_EXPANSION!$D$56:AV$56,"&gt;="&amp;34)))*CAPA3_EXPANSION!AV$36)</f>
        <v>0</v>
      </c>
      <c r="AW41" s="88">
        <f>IF(COUNTIF(CAPA3_EXPANSION!$D$56:AW$56,"&gt;="&amp;34)=0,0,SUP_CONTROL!$C$8*IF($B41="V",1,IF($B41="D",(1+SUP_VOLUMEN!$C$26),(1+SUP_VOLUMEN!$C$27)))*INDEX(SUP_C3_EXPANSION!$C$6:$F$6,MIN(4,COUNTIF(CAPA3_EXPANSION!$D$56:AW$56,"&gt;="&amp;34)))*CAPA3_EXPANSION!AW$36)</f>
        <v>0</v>
      </c>
      <c r="AX41" s="88">
        <f>IF(COUNTIF(CAPA3_EXPANSION!$D$56:AX$56,"&gt;="&amp;34)=0,0,SUP_CONTROL!$C$8*IF($B41="V",1,IF($B41="D",(1+SUP_VOLUMEN!$C$26),(1+SUP_VOLUMEN!$C$27)))*INDEX(SUP_C3_EXPANSION!$C$6:$F$6,MIN(4,COUNTIF(CAPA3_EXPANSION!$D$56:AX$56,"&gt;="&amp;34)))*CAPA3_EXPANSION!AX$36)</f>
        <v>0</v>
      </c>
      <c r="AY41" s="88">
        <f>IF(COUNTIF(CAPA3_EXPANSION!$D$56:AY$56,"&gt;="&amp;34)=0,0,SUP_CONTROL!$C$8*IF($B41="V",1,IF($B41="D",(1+SUP_VOLUMEN!$C$26),(1+SUP_VOLUMEN!$C$27)))*INDEX(SUP_C3_EXPANSION!$C$6:$F$6,MIN(4,COUNTIF(CAPA3_EXPANSION!$D$56:AY$56,"&gt;="&amp;34)))*CAPA3_EXPANSION!AY$36)</f>
        <v>0</v>
      </c>
      <c r="AZ41" s="88">
        <f>IF(COUNTIF(CAPA3_EXPANSION!$D$56:AZ$56,"&gt;="&amp;34)=0,0,SUP_CONTROL!$C$8*IF($B41="V",1,IF($B41="D",(1+SUP_VOLUMEN!$C$26),(1+SUP_VOLUMEN!$C$27)))*INDEX(SUP_C3_EXPANSION!$C$6:$F$6,MIN(4,COUNTIF(CAPA3_EXPANSION!$D$56:AZ$56,"&gt;="&amp;34)))*CAPA3_EXPANSION!AZ$36)</f>
        <v>0</v>
      </c>
      <c r="BA41" s="88">
        <f>IF(COUNTIF(CAPA3_EXPANSION!$D$56:BA$56,"&gt;="&amp;34)=0,0,SUP_CONTROL!$C$8*IF($B41="V",1,IF($B41="D",(1+SUP_VOLUMEN!$C$26),(1+SUP_VOLUMEN!$C$27)))*INDEX(SUP_C3_EXPANSION!$C$6:$F$6,MIN(4,COUNTIF(CAPA3_EXPANSION!$D$56:BA$56,"&gt;="&amp;34)))*CAPA3_EXPANSION!BA$36)</f>
        <v>0</v>
      </c>
      <c r="BB41" s="88">
        <f>IF(COUNTIF(CAPA3_EXPANSION!$D$56:BB$56,"&gt;="&amp;34)=0,0,SUP_CONTROL!$C$8*IF($B41="V",1,IF($B41="D",(1+SUP_VOLUMEN!$C$26),(1+SUP_VOLUMEN!$C$27)))*INDEX(SUP_C3_EXPANSION!$C$6:$F$6,MIN(4,COUNTIF(CAPA3_EXPANSION!$D$56:BB$56,"&gt;="&amp;34)))*CAPA3_EXPANSION!BB$36)</f>
        <v>0</v>
      </c>
      <c r="BC41" s="88">
        <f>IF(COUNTIF(CAPA3_EXPANSION!$D$56:BC$56,"&gt;="&amp;34)=0,0,SUP_CONTROL!$C$8*IF($B41="V",1,IF($B41="D",(1+SUP_VOLUMEN!$C$26),(1+SUP_VOLUMEN!$C$27)))*INDEX(SUP_C3_EXPANSION!$C$6:$F$6,MIN(4,COUNTIF(CAPA3_EXPANSION!$D$56:BC$56,"&gt;="&amp;34)))*CAPA3_EXPANSION!BC$36)</f>
        <v>0</v>
      </c>
      <c r="BD41" s="88">
        <f>IF(COUNTIF(CAPA3_EXPANSION!$D$56:BD$56,"&gt;="&amp;34)=0,0,SUP_CONTROL!$C$8*IF($B41="V",1,IF($B41="D",(1+SUP_VOLUMEN!$C$26),(1+SUP_VOLUMEN!$C$27)))*INDEX(SUP_C3_EXPANSION!$C$6:$F$6,MIN(4,COUNTIF(CAPA3_EXPANSION!$D$56:BD$56,"&gt;="&amp;34)))*CAPA3_EXPANSION!BD$36)</f>
        <v>0</v>
      </c>
      <c r="BE41" s="88">
        <f>IF(COUNTIF(CAPA3_EXPANSION!$D$56:BE$56,"&gt;="&amp;34)=0,0,SUP_CONTROL!$C$8*IF($B41="V",1,IF($B41="D",(1+SUP_VOLUMEN!$C$26),(1+SUP_VOLUMEN!$C$27)))*INDEX(SUP_C3_EXPANSION!$C$6:$F$6,MIN(4,COUNTIF(CAPA3_EXPANSION!$D$56:BE$56,"&gt;="&amp;34)))*CAPA3_EXPANSION!BE$36)</f>
        <v>0</v>
      </c>
      <c r="BF41" s="88">
        <f>IF(COUNTIF(CAPA3_EXPANSION!$D$56:BF$56,"&gt;="&amp;34)=0,0,SUP_CONTROL!$C$8*IF($B41="V",1,IF($B41="D",(1+SUP_VOLUMEN!$C$26),(1+SUP_VOLUMEN!$C$27)))*INDEX(SUP_C3_EXPANSION!$C$6:$F$6,MIN(4,COUNTIF(CAPA3_EXPANSION!$D$56:BF$56,"&gt;="&amp;34)))*CAPA3_EXPANSION!BF$36)</f>
        <v>0</v>
      </c>
      <c r="BG41" s="88">
        <f>IF(COUNTIF(CAPA3_EXPANSION!$D$56:BG$56,"&gt;="&amp;34)=0,0,SUP_CONTROL!$C$8*IF($B41="V",1,IF($B41="D",(1+SUP_VOLUMEN!$C$26),(1+SUP_VOLUMEN!$C$27)))*INDEX(SUP_C3_EXPANSION!$C$6:$F$6,MIN(4,COUNTIF(CAPA3_EXPANSION!$D$56:BG$56,"&gt;="&amp;34)))*CAPA3_EXPANSION!BG$36)</f>
        <v>0</v>
      </c>
      <c r="BH41" s="88">
        <f>IF(COUNTIF(CAPA3_EXPANSION!$D$56:BH$56,"&gt;="&amp;34)=0,0,SUP_CONTROL!$C$8*IF($B41="V",1,IF($B41="D",(1+SUP_VOLUMEN!$C$26),(1+SUP_VOLUMEN!$C$27)))*INDEX(SUP_C3_EXPANSION!$C$6:$F$6,MIN(4,COUNTIF(CAPA3_EXPANSION!$D$56:BH$56,"&gt;="&amp;34)))*CAPA3_EXPANSION!BH$36)</f>
        <v>0</v>
      </c>
      <c r="BI41" s="88">
        <f>IF(COUNTIF(CAPA3_EXPANSION!$D$56:BI$56,"&gt;="&amp;34)=0,0,SUP_CONTROL!$C$8*IF($B41="V",1,IF($B41="D",(1+SUP_VOLUMEN!$C$26),(1+SUP_VOLUMEN!$C$27)))*INDEX(SUP_C3_EXPANSION!$C$6:$F$6,MIN(4,COUNTIF(CAPA3_EXPANSION!$D$56:BI$56,"&gt;="&amp;34)))*CAPA3_EXPANSION!BI$36)</f>
        <v>0</v>
      </c>
      <c r="BJ41" s="88">
        <f>IF(COUNTIF(CAPA3_EXPANSION!$D$56:BJ$56,"&gt;="&amp;34)=0,0,SUP_CONTROL!$C$8*IF($B41="V",1,IF($B41="D",(1+SUP_VOLUMEN!$C$26),(1+SUP_VOLUMEN!$C$27)))*INDEX(SUP_C3_EXPANSION!$C$6:$F$6,MIN(4,COUNTIF(CAPA3_EXPANSION!$D$56:BJ$56,"&gt;="&amp;34)))*CAPA3_EXPANSION!BJ$36)</f>
        <v>0</v>
      </c>
      <c r="BK41" s="88">
        <f>IF(COUNTIF(CAPA3_EXPANSION!$D$56:BK$56,"&gt;="&amp;34)=0,0,SUP_CONTROL!$C$8*IF($B41="V",1,IF($B41="D",(1+SUP_VOLUMEN!$C$26),(1+SUP_VOLUMEN!$C$27)))*INDEX(SUP_C3_EXPANSION!$C$6:$F$6,MIN(4,COUNTIF(CAPA3_EXPANSION!$D$56:BK$56,"&gt;="&amp;34)))*CAPA3_EXPANSION!BK$36)</f>
        <v>0</v>
      </c>
      <c r="BL41" s="88">
        <f>IF(COUNTIF(CAPA3_EXPANSION!$D$56:BL$56,"&gt;="&amp;34)=0,0,SUP_CONTROL!$C$8*IF($B41="V",1,IF($B41="D",(1+SUP_VOLUMEN!$C$26),(1+SUP_VOLUMEN!$C$27)))*INDEX(SUP_C3_EXPANSION!$C$6:$F$6,MIN(4,COUNTIF(CAPA3_EXPANSION!$D$56:BL$56,"&gt;="&amp;34)))*CAPA3_EXPANSION!BL$36)</f>
        <v>0</v>
      </c>
      <c r="BM41" s="88">
        <f>IF(COUNTIF(CAPA3_EXPANSION!$D$56:BM$56,"&gt;="&amp;34)=0,0,SUP_CONTROL!$C$8*IF($B41="V",1,IF($B41="D",(1+SUP_VOLUMEN!$C$26),(1+SUP_VOLUMEN!$C$27)))*INDEX(SUP_C3_EXPANSION!$C$6:$F$6,MIN(4,COUNTIF(CAPA3_EXPANSION!$D$56:BM$56,"&gt;="&amp;34)))*CAPA3_EXPANSION!BM$36)</f>
        <v>0</v>
      </c>
      <c r="BN41" s="88">
        <f>IF(COUNTIF(CAPA3_EXPANSION!$D$56:BN$56,"&gt;="&amp;34)=0,0,SUP_CONTROL!$C$8*IF($B41="V",1,IF($B41="D",(1+SUP_VOLUMEN!$C$26),(1+SUP_VOLUMEN!$C$27)))*INDEX(SUP_C3_EXPANSION!$C$6:$F$6,MIN(4,COUNTIF(CAPA3_EXPANSION!$D$56:BN$56,"&gt;="&amp;34)))*CAPA3_EXPANSION!BN$36)</f>
        <v>0</v>
      </c>
      <c r="BO41" s="88">
        <f>IF(COUNTIF(CAPA3_EXPANSION!$D$56:BO$56,"&gt;="&amp;34)=0,0,SUP_CONTROL!$C$8*IF($B41="V",1,IF($B41="D",(1+SUP_VOLUMEN!$C$26),(1+SUP_VOLUMEN!$C$27)))*INDEX(SUP_C3_EXPANSION!$C$6:$F$6,MIN(4,COUNTIF(CAPA3_EXPANSION!$D$56:BO$56,"&gt;="&amp;34)))*CAPA3_EXPANSION!BO$36)</f>
        <v>0</v>
      </c>
      <c r="BP41" s="88">
        <f>IF(COUNTIF(CAPA3_EXPANSION!$D$56:BP$56,"&gt;="&amp;34)=0,0,SUP_CONTROL!$C$8*IF($B41="V",1,IF($B41="D",(1+SUP_VOLUMEN!$C$26),(1+SUP_VOLUMEN!$C$27)))*INDEX(SUP_C3_EXPANSION!$C$6:$F$6,MIN(4,COUNTIF(CAPA3_EXPANSION!$D$56:BP$56,"&gt;="&amp;34)))*CAPA3_EXPANSION!BP$36)</f>
        <v>0</v>
      </c>
      <c r="BQ41" s="88">
        <f>IF(COUNTIF(CAPA3_EXPANSION!$D$56:BQ$56,"&gt;="&amp;34)=0,0,SUP_CONTROL!$C$8*IF($B41="V",1,IF($B41="D",(1+SUP_VOLUMEN!$C$26),(1+SUP_VOLUMEN!$C$27)))*INDEX(SUP_C3_EXPANSION!$C$6:$F$6,MIN(4,COUNTIF(CAPA3_EXPANSION!$D$56:BQ$56,"&gt;="&amp;34)))*CAPA3_EXPANSION!BQ$36)</f>
        <v>0</v>
      </c>
      <c r="BR41" s="88">
        <f>IF(COUNTIF(CAPA3_EXPANSION!$D$56:BR$56,"&gt;="&amp;34)=0,0,SUP_CONTROL!$C$8*IF($B41="V",1,IF($B41="D",(1+SUP_VOLUMEN!$C$26),(1+SUP_VOLUMEN!$C$27)))*INDEX(SUP_C3_EXPANSION!$C$6:$F$6,MIN(4,COUNTIF(CAPA3_EXPANSION!$D$56:BR$56,"&gt;="&amp;34)))*CAPA3_EXPANSION!BR$36)</f>
        <v>0</v>
      </c>
      <c r="BS41" s="88">
        <f>IF(COUNTIF(CAPA3_EXPANSION!$D$56:BS$56,"&gt;="&amp;34)=0,0,SUP_CONTROL!$C$8*IF($B41="V",1,IF($B41="D",(1+SUP_VOLUMEN!$C$26),(1+SUP_VOLUMEN!$C$27)))*INDEX(SUP_C3_EXPANSION!$C$6:$F$6,MIN(4,COUNTIF(CAPA3_EXPANSION!$D$56:BS$56,"&gt;="&amp;34)))*CAPA3_EXPANSION!BS$36)</f>
        <v>0</v>
      </c>
      <c r="BT41" s="88">
        <f>IF(COUNTIF(CAPA3_EXPANSION!$D$56:BT$56,"&gt;="&amp;34)=0,0,SUP_CONTROL!$C$8*IF($B41="V",1,IF($B41="D",(1+SUP_VOLUMEN!$C$26),(1+SUP_VOLUMEN!$C$27)))*INDEX(SUP_C3_EXPANSION!$C$6:$F$6,MIN(4,COUNTIF(CAPA3_EXPANSION!$D$56:BT$56,"&gt;="&amp;34)))*CAPA3_EXPANSION!BT$36)</f>
        <v>0</v>
      </c>
      <c r="BU41" s="88">
        <f>IF(COUNTIF(CAPA3_EXPANSION!$D$56:BU$56,"&gt;="&amp;34)=0,0,SUP_CONTROL!$C$8*IF($B41="V",1,IF($B41="D",(1+SUP_VOLUMEN!$C$26),(1+SUP_VOLUMEN!$C$27)))*INDEX(SUP_C3_EXPANSION!$C$6:$F$6,MIN(4,COUNTIF(CAPA3_EXPANSION!$D$56:BU$56,"&gt;="&amp;34)))*CAPA3_EXPANSION!BU$36)</f>
        <v>0</v>
      </c>
      <c r="BV41" s="88">
        <f>IF(COUNTIF(CAPA3_EXPANSION!$D$56:BV$56,"&gt;="&amp;34)=0,0,SUP_CONTROL!$C$8*IF($B41="V",1,IF($B41="D",(1+SUP_VOLUMEN!$C$26),(1+SUP_VOLUMEN!$C$27)))*INDEX(SUP_C3_EXPANSION!$C$6:$F$6,MIN(4,COUNTIF(CAPA3_EXPANSION!$D$56:BV$56,"&gt;="&amp;34)))*CAPA3_EXPANSION!BV$36)</f>
        <v>0</v>
      </c>
      <c r="BW41" s="88">
        <f>IF(COUNTIF(CAPA3_EXPANSION!$D$56:BW$56,"&gt;="&amp;34)=0,0,SUP_CONTROL!$C$8*IF($B41="V",1,IF($B41="D",(1+SUP_VOLUMEN!$C$26),(1+SUP_VOLUMEN!$C$27)))*INDEX(SUP_C3_EXPANSION!$C$6:$F$6,MIN(4,COUNTIF(CAPA3_EXPANSION!$D$56:BW$56,"&gt;="&amp;34)))*CAPA3_EXPANSION!BW$36)</f>
        <v>2418.3477500000004</v>
      </c>
      <c r="BX41" s="88">
        <f>IF(COUNTIF(CAPA3_EXPANSION!$D$56:BX$56,"&gt;="&amp;34)=0,0,SUP_CONTROL!$C$8*IF($B41="V",1,IF($B41="D",(1+SUP_VOLUMEN!$C$26),(1+SUP_VOLUMEN!$C$27)))*INDEX(SUP_C3_EXPANSION!$C$6:$F$6,MIN(4,COUNTIF(CAPA3_EXPANSION!$D$56:BX$56,"&gt;="&amp;34)))*CAPA3_EXPANSION!BX$36)</f>
        <v>2976.4280000000003</v>
      </c>
      <c r="BY41" s="88">
        <f>IF(COUNTIF(CAPA3_EXPANSION!$D$56:BY$56,"&gt;="&amp;34)=0,0,SUP_CONTROL!$C$8*IF($B41="V",1,IF($B41="D",(1+SUP_VOLUMEN!$C$26),(1+SUP_VOLUMEN!$C$27)))*INDEX(SUP_C3_EXPANSION!$C$6:$F$6,MIN(4,COUNTIF(CAPA3_EXPANSION!$D$56:BY$56,"&gt;="&amp;34)))*CAPA3_EXPANSION!BY$36)</f>
        <v>3348.4815000000003</v>
      </c>
      <c r="BZ41" s="88">
        <f>IF(COUNTIF(CAPA3_EXPANSION!$D$56:BZ$56,"&gt;="&amp;34)=0,0,SUP_CONTROL!$C$8*IF($B41="V",1,IF($B41="D",(1+SUP_VOLUMEN!$C$26),(1+SUP_VOLUMEN!$C$27)))*INDEX(SUP_C3_EXPANSION!$C$6:$F$6,MIN(4,COUNTIF(CAPA3_EXPANSION!$D$56:BZ$56,"&gt;="&amp;34)))*CAPA3_EXPANSION!BZ$36)</f>
        <v>3676.7640000000001</v>
      </c>
      <c r="CA41" s="88">
        <f>IF(COUNTIF(CAPA3_EXPANSION!$D$56:CA$56,"&gt;="&amp;34)=0,0,SUP_CONTROL!$C$8*IF($B41="V",1,IF($B41="D",(1+SUP_VOLUMEN!$C$26),(1+SUP_VOLUMEN!$C$27)))*INDEX(SUP_C3_EXPANSION!$C$6:$F$6,MIN(4,COUNTIF(CAPA3_EXPANSION!$D$56:CA$56,"&gt;="&amp;34)))*CAPA3_EXPANSION!CA$36)</f>
        <v>3676.7640000000001</v>
      </c>
      <c r="CB41" s="88">
        <f>IF(COUNTIF(CAPA3_EXPANSION!$D$56:CB$56,"&gt;="&amp;34)=0,0,SUP_CONTROL!$C$8*IF($B41="V",1,IF($B41="D",(1+SUP_VOLUMEN!$C$26),(1+SUP_VOLUMEN!$C$27)))*INDEX(SUP_C3_EXPANSION!$C$6:$F$6,MIN(4,COUNTIF(CAPA3_EXPANSION!$D$56:CB$56,"&gt;="&amp;34)))*CAPA3_EXPANSION!CB$36)</f>
        <v>3676.7640000000001</v>
      </c>
      <c r="CC41" s="88">
        <f>IF(COUNTIF(CAPA3_EXPANSION!$D$56:CC$56,"&gt;="&amp;34)=0,0,SUP_CONTROL!$C$8*IF($B41="V",1,IF($B41="D",(1+SUP_VOLUMEN!$C$26),(1+SUP_VOLUMEN!$C$27)))*INDEX(SUP_C3_EXPANSION!$C$6:$F$6,MIN(4,COUNTIF(CAPA3_EXPANSION!$D$56:CC$56,"&gt;="&amp;34)))*CAPA3_EXPANSION!CC$36)</f>
        <v>3676.7640000000001</v>
      </c>
      <c r="CD41" s="88">
        <f>IF(COUNTIF(CAPA3_EXPANSION!$D$56:CD$56,"&gt;="&amp;34)=0,0,SUP_CONTROL!$C$8*IF($B41="V",1,IF($B41="D",(1+SUP_VOLUMEN!$C$26),(1+SUP_VOLUMEN!$C$27)))*INDEX(SUP_C3_EXPANSION!$C$6:$F$6,MIN(4,COUNTIF(CAPA3_EXPANSION!$D$56:CD$56,"&gt;="&amp;34)))*CAPA3_EXPANSION!CD$36)</f>
        <v>3676.7640000000001</v>
      </c>
      <c r="CE41" s="88">
        <f>IF(COUNTIF(CAPA3_EXPANSION!$D$56:CE$56,"&gt;="&amp;34)=0,0,SUP_CONTROL!$C$8*IF($B41="V",1,IF($B41="D",(1+SUP_VOLUMEN!$C$26),(1+SUP_VOLUMEN!$C$27)))*INDEX(SUP_C3_EXPANSION!$C$6:$F$6,MIN(4,COUNTIF(CAPA3_EXPANSION!$D$56:CE$56,"&gt;="&amp;34)))*CAPA3_EXPANSION!CE$36)</f>
        <v>3676.7640000000001</v>
      </c>
      <c r="CF41" s="88">
        <f>IF(COUNTIF(CAPA3_EXPANSION!$D$56:CF$56,"&gt;="&amp;34)=0,0,SUP_CONTROL!$C$8*IF($B41="V",1,IF($B41="D",(1+SUP_VOLUMEN!$C$26),(1+SUP_VOLUMEN!$C$27)))*INDEX(SUP_C3_EXPANSION!$C$6:$F$6,MIN(4,COUNTIF(CAPA3_EXPANSION!$D$56:CF$56,"&gt;="&amp;34)))*CAPA3_EXPANSION!CF$36)</f>
        <v>3676.7640000000001</v>
      </c>
      <c r="CG41" s="88">
        <f>IF(COUNTIF(CAPA3_EXPANSION!$D$56:CG$56,"&gt;="&amp;34)=0,0,SUP_CONTROL!$C$8*IF($B41="V",1,IF($B41="D",(1+SUP_VOLUMEN!$C$26),(1+SUP_VOLUMEN!$C$27)))*INDEX(SUP_C3_EXPANSION!$C$6:$F$6,MIN(4,COUNTIF(CAPA3_EXPANSION!$D$56:CG$56,"&gt;="&amp;34)))*CAPA3_EXPANSION!CG$36)</f>
        <v>3676.7640000000001</v>
      </c>
      <c r="CH41" s="88">
        <f>IF(COUNTIF(CAPA3_EXPANSION!$D$56:CH$56,"&gt;="&amp;34)=0,0,SUP_CONTROL!$C$8*IF($B41="V",1,IF($B41="D",(1+SUP_VOLUMEN!$C$26),(1+SUP_VOLUMEN!$C$27)))*INDEX(SUP_C3_EXPANSION!$C$6:$F$6,MIN(4,COUNTIF(CAPA3_EXPANSION!$D$56:CH$56,"&gt;="&amp;34)))*CAPA3_EXPANSION!CH$36)</f>
        <v>3676.7640000000001</v>
      </c>
      <c r="CI41" s="88">
        <f>IF(COUNTIF(CAPA3_EXPANSION!$D$56:CI$56,"&gt;="&amp;34)=0,0,SUP_CONTROL!$C$8*IF($B41="V",1,IF($B41="D",(1+SUP_VOLUMEN!$C$26),(1+SUP_VOLUMEN!$C$27)))*INDEX(SUP_C3_EXPANSION!$C$6:$F$6,MIN(4,COUNTIF(CAPA3_EXPANSION!$D$56:CI$56,"&gt;="&amp;34)))*CAPA3_EXPANSION!CI$36)</f>
        <v>3676.7640000000001</v>
      </c>
      <c r="CJ41" s="88">
        <f>IF(COUNTIF(CAPA3_EXPANSION!$D$56:CJ$56,"&gt;="&amp;34)=0,0,SUP_CONTROL!$C$8*IF($B41="V",1,IF($B41="D",(1+SUP_VOLUMEN!$C$26),(1+SUP_VOLUMEN!$C$27)))*INDEX(SUP_C3_EXPANSION!$C$6:$F$6,MIN(4,COUNTIF(CAPA3_EXPANSION!$D$56:CJ$56,"&gt;="&amp;34)))*CAPA3_EXPANSION!CJ$36)</f>
        <v>3676.7640000000001</v>
      </c>
      <c r="CK41" s="88">
        <f>IF(COUNTIF(CAPA3_EXPANSION!$D$56:CK$56,"&gt;="&amp;34)=0,0,SUP_CONTROL!$C$8*IF($B41="V",1,IF($B41="D",(1+SUP_VOLUMEN!$C$26),(1+SUP_VOLUMEN!$C$27)))*INDEX(SUP_C3_EXPANSION!$C$6:$F$6,MIN(4,COUNTIF(CAPA3_EXPANSION!$D$56:CK$56,"&gt;="&amp;34)))*CAPA3_EXPANSION!CK$36)</f>
        <v>3676.7640000000001</v>
      </c>
      <c r="CL41" s="88">
        <f>IF(COUNTIF(CAPA3_EXPANSION!$D$56:CL$56,"&gt;="&amp;34)=0,0,SUP_CONTROL!$C$8*IF($B41="V",1,IF($B41="D",(1+SUP_VOLUMEN!$C$26),(1+SUP_VOLUMEN!$C$27)))*INDEX(SUP_C3_EXPANSION!$C$6:$F$6,MIN(4,COUNTIF(CAPA3_EXPANSION!$D$56:CL$56,"&gt;="&amp;34)))*CAPA3_EXPANSION!CL$36)</f>
        <v>3676.7640000000001</v>
      </c>
      <c r="CM41" s="88">
        <f>IF(COUNTIF(CAPA3_EXPANSION!$D$56:CM$56,"&gt;="&amp;34)=0,0,SUP_CONTROL!$C$8*IF($B41="V",1,IF($B41="D",(1+SUP_VOLUMEN!$C$26),(1+SUP_VOLUMEN!$C$27)))*INDEX(SUP_C3_EXPANSION!$C$6:$F$6,MIN(4,COUNTIF(CAPA3_EXPANSION!$D$56:CM$56,"&gt;="&amp;34)))*CAPA3_EXPANSION!CM$36)</f>
        <v>3676.7640000000001</v>
      </c>
      <c r="CN41" s="88">
        <f>IF(COUNTIF(CAPA3_EXPANSION!$D$56:CN$56,"&gt;="&amp;34)=0,0,SUP_CONTROL!$C$8*IF($B41="V",1,IF($B41="D",(1+SUP_VOLUMEN!$C$26),(1+SUP_VOLUMEN!$C$27)))*INDEX(SUP_C3_EXPANSION!$C$6:$F$6,MIN(4,COUNTIF(CAPA3_EXPANSION!$D$56:CN$56,"&gt;="&amp;34)))*CAPA3_EXPANSION!CN$36)</f>
        <v>3676.7640000000001</v>
      </c>
      <c r="CO41" s="88">
        <f>IF(COUNTIF(CAPA3_EXPANSION!$D$56:CO$56,"&gt;="&amp;34)=0,0,SUP_CONTROL!$C$8*IF($B41="V",1,IF($B41="D",(1+SUP_VOLUMEN!$C$26),(1+SUP_VOLUMEN!$C$27)))*INDEX(SUP_C3_EXPANSION!$C$6:$F$6,MIN(4,COUNTIF(CAPA3_EXPANSION!$D$56:CO$56,"&gt;="&amp;34)))*CAPA3_EXPANSION!CO$36)</f>
        <v>3676.7640000000001</v>
      </c>
      <c r="CP41" s="88">
        <f>IF(COUNTIF(CAPA3_EXPANSION!$D$56:CP$56,"&gt;="&amp;34)=0,0,SUP_CONTROL!$C$8*IF($B41="V",1,IF($B41="D",(1+SUP_VOLUMEN!$C$26),(1+SUP_VOLUMEN!$C$27)))*INDEX(SUP_C3_EXPANSION!$C$6:$F$6,MIN(4,COUNTIF(CAPA3_EXPANSION!$D$56:CP$56,"&gt;="&amp;34)))*CAPA3_EXPANSION!CP$36)</f>
        <v>3676.7640000000001</v>
      </c>
      <c r="CQ41" s="88">
        <f>IF(COUNTIF(CAPA3_EXPANSION!$D$56:CQ$56,"&gt;="&amp;34)=0,0,SUP_CONTROL!$C$8*IF($B41="V",1,IF($B41="D",(1+SUP_VOLUMEN!$C$26),(1+SUP_VOLUMEN!$C$27)))*INDEX(SUP_C3_EXPANSION!$C$6:$F$6,MIN(4,COUNTIF(CAPA3_EXPANSION!$D$56:CQ$56,"&gt;="&amp;34)))*CAPA3_EXPANSION!CQ$36)</f>
        <v>3676.7640000000001</v>
      </c>
      <c r="CR41" s="88">
        <f>IF(COUNTIF(CAPA3_EXPANSION!$D$56:CR$56,"&gt;="&amp;34)=0,0,SUP_CONTROL!$C$8*IF($B41="V",1,IF($B41="D",(1+SUP_VOLUMEN!$C$26),(1+SUP_VOLUMEN!$C$27)))*INDEX(SUP_C3_EXPANSION!$C$6:$F$6,MIN(4,COUNTIF(CAPA3_EXPANSION!$D$56:CR$56,"&gt;="&amp;34)))*CAPA3_EXPANSION!CR$36)</f>
        <v>3676.7640000000001</v>
      </c>
      <c r="CS41" s="88">
        <f>IF(COUNTIF(CAPA3_EXPANSION!$D$56:CS$56,"&gt;="&amp;34)=0,0,SUP_CONTROL!$C$8*IF($B41="V",1,IF($B41="D",(1+SUP_VOLUMEN!$C$26),(1+SUP_VOLUMEN!$C$27)))*INDEX(SUP_C3_EXPANSION!$C$6:$F$6,MIN(4,COUNTIF(CAPA3_EXPANSION!$D$56:CS$56,"&gt;="&amp;34)))*CAPA3_EXPANSION!CS$36)</f>
        <v>3676.7640000000001</v>
      </c>
      <c r="CT41" s="88">
        <f>IF(COUNTIF(CAPA3_EXPANSION!$D$56:CT$56,"&gt;="&amp;34)=0,0,SUP_CONTROL!$C$8*IF($B41="V",1,IF($B41="D",(1+SUP_VOLUMEN!$C$26),(1+SUP_VOLUMEN!$C$27)))*INDEX(SUP_C3_EXPANSION!$C$6:$F$6,MIN(4,COUNTIF(CAPA3_EXPANSION!$D$56:CT$56,"&gt;="&amp;34)))*CAPA3_EXPANSION!CT$36)</f>
        <v>3676.7640000000001</v>
      </c>
      <c r="CU41" s="88">
        <f>IF(COUNTIF(CAPA3_EXPANSION!$D$56:CU$56,"&gt;="&amp;34)=0,0,SUP_CONTROL!$C$8*IF($B41="V",1,IF($B41="D",(1+SUP_VOLUMEN!$C$26),(1+SUP_VOLUMEN!$C$27)))*INDEX(SUP_C3_EXPANSION!$C$6:$F$6,MIN(4,COUNTIF(CAPA3_EXPANSION!$D$56:CU$56,"&gt;="&amp;34)))*CAPA3_EXPANSION!CU$36)</f>
        <v>3676.7640000000001</v>
      </c>
      <c r="CV41" s="88">
        <f>IF(COUNTIF(CAPA3_EXPANSION!$D$56:CV$56,"&gt;="&amp;34)=0,0,SUP_CONTROL!$C$8*IF($B41="V",1,IF($B41="D",(1+SUP_VOLUMEN!$C$26),(1+SUP_VOLUMEN!$C$27)))*INDEX(SUP_C3_EXPANSION!$C$6:$F$6,MIN(4,COUNTIF(CAPA3_EXPANSION!$D$56:CV$56,"&gt;="&amp;34)))*CAPA3_EXPANSION!CV$36)</f>
        <v>3676.7640000000001</v>
      </c>
      <c r="CW41" s="88">
        <f>IF(COUNTIF(CAPA3_EXPANSION!$D$56:CW$56,"&gt;="&amp;34)=0,0,SUP_CONTROL!$C$8*IF($B41="V",1,IF($B41="D",(1+SUP_VOLUMEN!$C$26),(1+SUP_VOLUMEN!$C$27)))*INDEX(SUP_C3_EXPANSION!$C$6:$F$6,MIN(4,COUNTIF(CAPA3_EXPANSION!$D$56:CW$56,"&gt;="&amp;34)))*CAPA3_EXPANSION!CW$36)</f>
        <v>3676.7640000000001</v>
      </c>
      <c r="CX41" s="88">
        <f>IF(COUNTIF(CAPA3_EXPANSION!$D$56:CX$56,"&gt;="&amp;34)=0,0,SUP_CONTROL!$C$8*IF($B41="V",1,IF($B41="D",(1+SUP_VOLUMEN!$C$26),(1+SUP_VOLUMEN!$C$27)))*INDEX(SUP_C3_EXPANSION!$C$6:$F$6,MIN(4,COUNTIF(CAPA3_EXPANSION!$D$56:CX$56,"&gt;="&amp;34)))*CAPA3_EXPANSION!CX$36)</f>
        <v>3676.7640000000001</v>
      </c>
      <c r="CY41" s="88">
        <f>IF(COUNTIF(CAPA3_EXPANSION!$D$56:CY$56,"&gt;="&amp;34)=0,0,SUP_CONTROL!$C$8*IF($B41="V",1,IF($B41="D",(1+SUP_VOLUMEN!$C$26),(1+SUP_VOLUMEN!$C$27)))*INDEX(SUP_C3_EXPANSION!$C$6:$F$6,MIN(4,COUNTIF(CAPA3_EXPANSION!$D$56:CY$56,"&gt;="&amp;34)))*CAPA3_EXPANSION!CY$36)</f>
        <v>3676.7640000000001</v>
      </c>
      <c r="CZ41" s="88">
        <f>IF(COUNTIF(CAPA3_EXPANSION!$D$56:CZ$56,"&gt;="&amp;34)=0,0,SUP_CONTROL!$C$8*IF($B41="V",1,IF($B41="D",(1+SUP_VOLUMEN!$C$26),(1+SUP_VOLUMEN!$C$27)))*INDEX(SUP_C3_EXPANSION!$C$6:$F$6,MIN(4,COUNTIF(CAPA3_EXPANSION!$D$56:CZ$56,"&gt;="&amp;34)))*CAPA3_EXPANSION!CZ$36)</f>
        <v>3676.7640000000001</v>
      </c>
      <c r="DA41" s="88">
        <f>IF(COUNTIF(CAPA3_EXPANSION!$D$56:DA$56,"&gt;="&amp;34)=0,0,SUP_CONTROL!$C$8*IF($B41="V",1,IF($B41="D",(1+SUP_VOLUMEN!$C$26),(1+SUP_VOLUMEN!$C$27)))*INDEX(SUP_C3_EXPANSION!$C$6:$F$6,MIN(4,COUNTIF(CAPA3_EXPANSION!$D$56:DA$56,"&gt;="&amp;34)))*CAPA3_EXPANSION!DA$36)</f>
        <v>3676.7640000000001</v>
      </c>
      <c r="DB41" s="88">
        <f>IF(COUNTIF(CAPA3_EXPANSION!$D$56:DB$56,"&gt;="&amp;34)=0,0,SUP_CONTROL!$C$8*IF($B41="V",1,IF($B41="D",(1+SUP_VOLUMEN!$C$26),(1+SUP_VOLUMEN!$C$27)))*INDEX(SUP_C3_EXPANSION!$C$6:$F$6,MIN(4,COUNTIF(CAPA3_EXPANSION!$D$56:DB$56,"&gt;="&amp;34)))*CAPA3_EXPANSION!DB$36)</f>
        <v>3676.7640000000001</v>
      </c>
      <c r="DC41" s="88">
        <f>IF(COUNTIF(CAPA3_EXPANSION!$D$56:DC$56,"&gt;="&amp;34)=0,0,SUP_CONTROL!$C$8*IF($B41="V",1,IF($B41="D",(1+SUP_VOLUMEN!$C$26),(1+SUP_VOLUMEN!$C$27)))*INDEX(SUP_C3_EXPANSION!$C$6:$F$6,MIN(4,COUNTIF(CAPA3_EXPANSION!$D$56:DC$56,"&gt;="&amp;34)))*CAPA3_EXPANSION!DC$36)</f>
        <v>3676.7640000000001</v>
      </c>
      <c r="DD41" s="88">
        <f>IF(COUNTIF(CAPA3_EXPANSION!$D$56:DD$56,"&gt;="&amp;34)=0,0,SUP_CONTROL!$C$8*IF($B41="V",1,IF($B41="D",(1+SUP_VOLUMEN!$C$26),(1+SUP_VOLUMEN!$C$27)))*INDEX(SUP_C3_EXPANSION!$C$6:$F$6,MIN(4,COUNTIF(CAPA3_EXPANSION!$D$56:DD$56,"&gt;="&amp;34)))*CAPA3_EXPANSION!DD$36)</f>
        <v>3676.7640000000001</v>
      </c>
      <c r="DE41" s="88">
        <f>IF(COUNTIF(CAPA3_EXPANSION!$D$56:DE$56,"&gt;="&amp;34)=0,0,SUP_CONTROL!$C$8*IF($B41="V",1,IF($B41="D",(1+SUP_VOLUMEN!$C$26),(1+SUP_VOLUMEN!$C$27)))*INDEX(SUP_C3_EXPANSION!$C$6:$F$6,MIN(4,COUNTIF(CAPA3_EXPANSION!$D$56:DE$56,"&gt;="&amp;34)))*CAPA3_EXPANSION!DE$36)</f>
        <v>3676.7640000000001</v>
      </c>
      <c r="DF41" s="88">
        <f>IF(COUNTIF(CAPA3_EXPANSION!$D$56:DF$56,"&gt;="&amp;34)=0,0,SUP_CONTROL!$C$8*IF($B41="V",1,IF($B41="D",(1+SUP_VOLUMEN!$C$26),(1+SUP_VOLUMEN!$C$27)))*INDEX(SUP_C3_EXPANSION!$C$6:$F$6,MIN(4,COUNTIF(CAPA3_EXPANSION!$D$56:DF$56,"&gt;="&amp;34)))*CAPA3_EXPANSION!DF$36)</f>
        <v>3676.7640000000001</v>
      </c>
      <c r="DG41" s="88">
        <f>IF(COUNTIF(CAPA3_EXPANSION!$D$56:DG$56,"&gt;="&amp;34)=0,0,SUP_CONTROL!$C$8*IF($B41="V",1,IF($B41="D",(1+SUP_VOLUMEN!$C$26),(1+SUP_VOLUMEN!$C$27)))*INDEX(SUP_C3_EXPANSION!$C$6:$F$6,MIN(4,COUNTIF(CAPA3_EXPANSION!$D$56:DG$56,"&gt;="&amp;34)))*CAPA3_EXPANSION!DG$36)</f>
        <v>3676.7640000000001</v>
      </c>
      <c r="DH41" s="88">
        <f>IF(COUNTIF(CAPA3_EXPANSION!$D$56:DH$56,"&gt;="&amp;34)=0,0,SUP_CONTROL!$C$8*IF($B41="V",1,IF($B41="D",(1+SUP_VOLUMEN!$C$26),(1+SUP_VOLUMEN!$C$27)))*INDEX(SUP_C3_EXPANSION!$C$6:$F$6,MIN(4,COUNTIF(CAPA3_EXPANSION!$D$56:DH$56,"&gt;="&amp;34)))*CAPA3_EXPANSION!DH$36)</f>
        <v>3676.7640000000001</v>
      </c>
      <c r="DI41" s="88">
        <f>IF(COUNTIF(CAPA3_EXPANSION!$D$56:DI$56,"&gt;="&amp;34)=0,0,SUP_CONTROL!$C$8*IF($B41="V",1,IF($B41="D",(1+SUP_VOLUMEN!$C$26),(1+SUP_VOLUMEN!$C$27)))*INDEX(SUP_C3_EXPANSION!$C$6:$F$6,MIN(4,COUNTIF(CAPA3_EXPANSION!$D$56:DI$56,"&gt;="&amp;34)))*CAPA3_EXPANSION!DI$36)</f>
        <v>3676.7640000000001</v>
      </c>
      <c r="DJ41" s="88">
        <f>IF(COUNTIF(CAPA3_EXPANSION!$D$56:DJ$56,"&gt;="&amp;34)=0,0,SUP_CONTROL!$C$8*IF($B41="V",1,IF($B41="D",(1+SUP_VOLUMEN!$C$26),(1+SUP_VOLUMEN!$C$27)))*INDEX(SUP_C3_EXPANSION!$C$6:$F$6,MIN(4,COUNTIF(CAPA3_EXPANSION!$D$56:DJ$56,"&gt;="&amp;34)))*CAPA3_EXPANSION!DJ$36)</f>
        <v>3676.7640000000001</v>
      </c>
      <c r="DK41" s="88">
        <f>IF(COUNTIF(CAPA3_EXPANSION!$D$56:DK$56,"&gt;="&amp;34)=0,0,SUP_CONTROL!$C$8*IF($B41="V",1,IF($B41="D",(1+SUP_VOLUMEN!$C$26),(1+SUP_VOLUMEN!$C$27)))*INDEX(SUP_C3_EXPANSION!$C$6:$F$6,MIN(4,COUNTIF(CAPA3_EXPANSION!$D$56:DK$56,"&gt;="&amp;34)))*CAPA3_EXPANSION!DK$36)</f>
        <v>3676.7640000000001</v>
      </c>
      <c r="DL41" s="88">
        <f>IF(COUNTIF(CAPA3_EXPANSION!$D$56:DL$56,"&gt;="&amp;34)=0,0,SUP_CONTROL!$C$8*IF($B41="V",1,IF($B41="D",(1+SUP_VOLUMEN!$C$26),(1+SUP_VOLUMEN!$C$27)))*INDEX(SUP_C3_EXPANSION!$C$6:$F$6,MIN(4,COUNTIF(CAPA3_EXPANSION!$D$56:DL$56,"&gt;="&amp;34)))*CAPA3_EXPANSION!DL$36)</f>
        <v>3676.7640000000001</v>
      </c>
      <c r="DM41" s="88">
        <f>IF(COUNTIF(CAPA3_EXPANSION!$D$56:DM$56,"&gt;="&amp;34)=0,0,SUP_CONTROL!$C$8*IF($B41="V",1,IF($B41="D",(1+SUP_VOLUMEN!$C$26),(1+SUP_VOLUMEN!$C$27)))*INDEX(SUP_C3_EXPANSION!$C$6:$F$6,MIN(4,COUNTIF(CAPA3_EXPANSION!$D$56:DM$56,"&gt;="&amp;34)))*CAPA3_EXPANSION!DM$36)</f>
        <v>3676.7640000000001</v>
      </c>
      <c r="DN41" s="88">
        <f>IF(COUNTIF(CAPA3_EXPANSION!$D$56:DN$56,"&gt;="&amp;34)=0,0,SUP_CONTROL!$C$8*IF($B41="V",1,IF($B41="D",(1+SUP_VOLUMEN!$C$26),(1+SUP_VOLUMEN!$C$27)))*INDEX(SUP_C3_EXPANSION!$C$6:$F$6,MIN(4,COUNTIF(CAPA3_EXPANSION!$D$56:DN$56,"&gt;="&amp;34)))*CAPA3_EXPANSION!DN$36)</f>
        <v>3676.7640000000001</v>
      </c>
      <c r="DO41" s="88">
        <f>IF(COUNTIF(CAPA3_EXPANSION!$D$56:DO$56,"&gt;="&amp;34)=0,0,SUP_CONTROL!$C$8*IF($B41="V",1,IF($B41="D",(1+SUP_VOLUMEN!$C$26),(1+SUP_VOLUMEN!$C$27)))*INDEX(SUP_C3_EXPANSION!$C$6:$F$6,MIN(4,COUNTIF(CAPA3_EXPANSION!$D$56:DO$56,"&gt;="&amp;34)))*CAPA3_EXPANSION!DO$36)</f>
        <v>3676.7640000000001</v>
      </c>
      <c r="DP41" s="88">
        <f>IF(COUNTIF(CAPA3_EXPANSION!$D$56:DP$56,"&gt;="&amp;34)=0,0,SUP_CONTROL!$C$8*IF($B41="V",1,IF($B41="D",(1+SUP_VOLUMEN!$C$26),(1+SUP_VOLUMEN!$C$27)))*INDEX(SUP_C3_EXPANSION!$C$6:$F$6,MIN(4,COUNTIF(CAPA3_EXPANSION!$D$56:DP$56,"&gt;="&amp;34)))*CAPA3_EXPANSION!DP$36)</f>
        <v>3676.7640000000001</v>
      </c>
      <c r="DQ41" s="88">
        <f>IF(COUNTIF(CAPA3_EXPANSION!$D$56:DQ$56,"&gt;="&amp;34)=0,0,SUP_CONTROL!$C$8*IF($B41="V",1,IF($B41="D",(1+SUP_VOLUMEN!$C$26),(1+SUP_VOLUMEN!$C$27)))*INDEX(SUP_C3_EXPANSION!$C$6:$F$6,MIN(4,COUNTIF(CAPA3_EXPANSION!$D$56:DQ$56,"&gt;="&amp;34)))*CAPA3_EXPANSION!DQ$36)</f>
        <v>3676.7640000000001</v>
      </c>
      <c r="DR41" s="88">
        <f>IF(COUNTIF(CAPA3_EXPANSION!$D$56:DR$56,"&gt;="&amp;34)=0,0,SUP_CONTROL!$C$8*IF($B41="V",1,IF($B41="D",(1+SUP_VOLUMEN!$C$26),(1+SUP_VOLUMEN!$C$27)))*INDEX(SUP_C3_EXPANSION!$C$6:$F$6,MIN(4,COUNTIF(CAPA3_EXPANSION!$D$56:DR$56,"&gt;="&amp;34)))*CAPA3_EXPANSION!DR$36)</f>
        <v>3676.7640000000001</v>
      </c>
      <c r="DS41" s="88">
        <f>IF(COUNTIF(CAPA3_EXPANSION!$D$56:DS$56,"&gt;="&amp;34)=0,0,SUP_CONTROL!$C$8*IF($B41="V",1,IF($B41="D",(1+SUP_VOLUMEN!$C$26),(1+SUP_VOLUMEN!$C$27)))*INDEX(SUP_C3_EXPANSION!$C$6:$F$6,MIN(4,COUNTIF(CAPA3_EXPANSION!$D$56:DS$56,"&gt;="&amp;34)))*CAPA3_EXPANSION!DS$36)</f>
        <v>3676.7640000000001</v>
      </c>
    </row>
    <row r="42" spans="1:123" ht="15" customHeight="1" x14ac:dyDescent="0.2">
      <c r="A42" s="88">
        <v>45</v>
      </c>
      <c r="B42" s="104" t="str">
        <f>SUP_C3_EXPANSION!B54</f>
        <v>V</v>
      </c>
      <c r="C42" s="73">
        <f>SUP_C3_EXPANSION!G54</f>
        <v>70</v>
      </c>
      <c r="D42" s="88">
        <f>IF(COUNTIF(CAPA3_EXPANSION!$D$56:D$56,"&gt;="&amp;35)=0,0,SUP_CONTROL!$C$8*IF($B42="V",1,IF($B42="D",(1+SUP_VOLUMEN!$C$26),(1+SUP_VOLUMEN!$C$27)))*INDEX(SUP_C3_EXPANSION!$C$6:$F$6,MIN(4,COUNTIF(CAPA3_EXPANSION!$D$56:D$56,"&gt;="&amp;35)))*CAPA3_EXPANSION!D$36)</f>
        <v>0</v>
      </c>
      <c r="E42" s="88">
        <f>IF(COUNTIF(CAPA3_EXPANSION!$D$56:E$56,"&gt;="&amp;35)=0,0,SUP_CONTROL!$C$8*IF($B42="V",1,IF($B42="D",(1+SUP_VOLUMEN!$C$26),(1+SUP_VOLUMEN!$C$27)))*INDEX(SUP_C3_EXPANSION!$C$6:$F$6,MIN(4,COUNTIF(CAPA3_EXPANSION!$D$56:E$56,"&gt;="&amp;35)))*CAPA3_EXPANSION!E$36)</f>
        <v>0</v>
      </c>
      <c r="F42" s="88">
        <f>IF(COUNTIF(CAPA3_EXPANSION!$D$56:F$56,"&gt;="&amp;35)=0,0,SUP_CONTROL!$C$8*IF($B42="V",1,IF($B42="D",(1+SUP_VOLUMEN!$C$26),(1+SUP_VOLUMEN!$C$27)))*INDEX(SUP_C3_EXPANSION!$C$6:$F$6,MIN(4,COUNTIF(CAPA3_EXPANSION!$D$56:F$56,"&gt;="&amp;35)))*CAPA3_EXPANSION!F$36)</f>
        <v>0</v>
      </c>
      <c r="G42" s="88">
        <f>IF(COUNTIF(CAPA3_EXPANSION!$D$56:G$56,"&gt;="&amp;35)=0,0,SUP_CONTROL!$C$8*IF($B42="V",1,IF($B42="D",(1+SUP_VOLUMEN!$C$26),(1+SUP_VOLUMEN!$C$27)))*INDEX(SUP_C3_EXPANSION!$C$6:$F$6,MIN(4,COUNTIF(CAPA3_EXPANSION!$D$56:G$56,"&gt;="&amp;35)))*CAPA3_EXPANSION!G$36)</f>
        <v>0</v>
      </c>
      <c r="H42" s="88">
        <f>IF(COUNTIF(CAPA3_EXPANSION!$D$56:H$56,"&gt;="&amp;35)=0,0,SUP_CONTROL!$C$8*IF($B42="V",1,IF($B42="D",(1+SUP_VOLUMEN!$C$26),(1+SUP_VOLUMEN!$C$27)))*INDEX(SUP_C3_EXPANSION!$C$6:$F$6,MIN(4,COUNTIF(CAPA3_EXPANSION!$D$56:H$56,"&gt;="&amp;35)))*CAPA3_EXPANSION!H$36)</f>
        <v>0</v>
      </c>
      <c r="I42" s="88">
        <f>IF(COUNTIF(CAPA3_EXPANSION!$D$56:I$56,"&gt;="&amp;35)=0,0,SUP_CONTROL!$C$8*IF($B42="V",1,IF($B42="D",(1+SUP_VOLUMEN!$C$26),(1+SUP_VOLUMEN!$C$27)))*INDEX(SUP_C3_EXPANSION!$C$6:$F$6,MIN(4,COUNTIF(CAPA3_EXPANSION!$D$56:I$56,"&gt;="&amp;35)))*CAPA3_EXPANSION!I$36)</f>
        <v>0</v>
      </c>
      <c r="J42" s="88">
        <f>IF(COUNTIF(CAPA3_EXPANSION!$D$56:J$56,"&gt;="&amp;35)=0,0,SUP_CONTROL!$C$8*IF($B42="V",1,IF($B42="D",(1+SUP_VOLUMEN!$C$26),(1+SUP_VOLUMEN!$C$27)))*INDEX(SUP_C3_EXPANSION!$C$6:$F$6,MIN(4,COUNTIF(CAPA3_EXPANSION!$D$56:J$56,"&gt;="&amp;35)))*CAPA3_EXPANSION!J$36)</f>
        <v>0</v>
      </c>
      <c r="K42" s="88">
        <f>IF(COUNTIF(CAPA3_EXPANSION!$D$56:K$56,"&gt;="&amp;35)=0,0,SUP_CONTROL!$C$8*IF($B42="V",1,IF($B42="D",(1+SUP_VOLUMEN!$C$26),(1+SUP_VOLUMEN!$C$27)))*INDEX(SUP_C3_EXPANSION!$C$6:$F$6,MIN(4,COUNTIF(CAPA3_EXPANSION!$D$56:K$56,"&gt;="&amp;35)))*CAPA3_EXPANSION!K$36)</f>
        <v>0</v>
      </c>
      <c r="L42" s="88">
        <f>IF(COUNTIF(CAPA3_EXPANSION!$D$56:L$56,"&gt;="&amp;35)=0,0,SUP_CONTROL!$C$8*IF($B42="V",1,IF($B42="D",(1+SUP_VOLUMEN!$C$26),(1+SUP_VOLUMEN!$C$27)))*INDEX(SUP_C3_EXPANSION!$C$6:$F$6,MIN(4,COUNTIF(CAPA3_EXPANSION!$D$56:L$56,"&gt;="&amp;35)))*CAPA3_EXPANSION!L$36)</f>
        <v>0</v>
      </c>
      <c r="M42" s="88">
        <f>IF(COUNTIF(CAPA3_EXPANSION!$D$56:M$56,"&gt;="&amp;35)=0,0,SUP_CONTROL!$C$8*IF($B42="V",1,IF($B42="D",(1+SUP_VOLUMEN!$C$26),(1+SUP_VOLUMEN!$C$27)))*INDEX(SUP_C3_EXPANSION!$C$6:$F$6,MIN(4,COUNTIF(CAPA3_EXPANSION!$D$56:M$56,"&gt;="&amp;35)))*CAPA3_EXPANSION!M$36)</f>
        <v>0</v>
      </c>
      <c r="N42" s="88">
        <f>IF(COUNTIF(CAPA3_EXPANSION!$D$56:N$56,"&gt;="&amp;35)=0,0,SUP_CONTROL!$C$8*IF($B42="V",1,IF($B42="D",(1+SUP_VOLUMEN!$C$26),(1+SUP_VOLUMEN!$C$27)))*INDEX(SUP_C3_EXPANSION!$C$6:$F$6,MIN(4,COUNTIF(CAPA3_EXPANSION!$D$56:N$56,"&gt;="&amp;35)))*CAPA3_EXPANSION!N$36)</f>
        <v>0</v>
      </c>
      <c r="O42" s="88">
        <f>IF(COUNTIF(CAPA3_EXPANSION!$D$56:O$56,"&gt;="&amp;35)=0,0,SUP_CONTROL!$C$8*IF($B42="V",1,IF($B42="D",(1+SUP_VOLUMEN!$C$26),(1+SUP_VOLUMEN!$C$27)))*INDEX(SUP_C3_EXPANSION!$C$6:$F$6,MIN(4,COUNTIF(CAPA3_EXPANSION!$D$56:O$56,"&gt;="&amp;35)))*CAPA3_EXPANSION!O$36)</f>
        <v>0</v>
      </c>
      <c r="P42" s="88">
        <f>IF(COUNTIF(CAPA3_EXPANSION!$D$56:P$56,"&gt;="&amp;35)=0,0,SUP_CONTROL!$C$8*IF($B42="V",1,IF($B42="D",(1+SUP_VOLUMEN!$C$26),(1+SUP_VOLUMEN!$C$27)))*INDEX(SUP_C3_EXPANSION!$C$6:$F$6,MIN(4,COUNTIF(CAPA3_EXPANSION!$D$56:P$56,"&gt;="&amp;35)))*CAPA3_EXPANSION!P$36)</f>
        <v>0</v>
      </c>
      <c r="Q42" s="88">
        <f>IF(COUNTIF(CAPA3_EXPANSION!$D$56:Q$56,"&gt;="&amp;35)=0,0,SUP_CONTROL!$C$8*IF($B42="V",1,IF($B42="D",(1+SUP_VOLUMEN!$C$26),(1+SUP_VOLUMEN!$C$27)))*INDEX(SUP_C3_EXPANSION!$C$6:$F$6,MIN(4,COUNTIF(CAPA3_EXPANSION!$D$56:Q$56,"&gt;="&amp;35)))*CAPA3_EXPANSION!Q$36)</f>
        <v>0</v>
      </c>
      <c r="R42" s="88">
        <f>IF(COUNTIF(CAPA3_EXPANSION!$D$56:R$56,"&gt;="&amp;35)=0,0,SUP_CONTROL!$C$8*IF($B42="V",1,IF($B42="D",(1+SUP_VOLUMEN!$C$26),(1+SUP_VOLUMEN!$C$27)))*INDEX(SUP_C3_EXPANSION!$C$6:$F$6,MIN(4,COUNTIF(CAPA3_EXPANSION!$D$56:R$56,"&gt;="&amp;35)))*CAPA3_EXPANSION!R$36)</f>
        <v>0</v>
      </c>
      <c r="S42" s="88">
        <f>IF(COUNTIF(CAPA3_EXPANSION!$D$56:S$56,"&gt;="&amp;35)=0,0,SUP_CONTROL!$C$8*IF($B42="V",1,IF($B42="D",(1+SUP_VOLUMEN!$C$26),(1+SUP_VOLUMEN!$C$27)))*INDEX(SUP_C3_EXPANSION!$C$6:$F$6,MIN(4,COUNTIF(CAPA3_EXPANSION!$D$56:S$56,"&gt;="&amp;35)))*CAPA3_EXPANSION!S$36)</f>
        <v>0</v>
      </c>
      <c r="T42" s="88">
        <f>IF(COUNTIF(CAPA3_EXPANSION!$D$56:T$56,"&gt;="&amp;35)=0,0,SUP_CONTROL!$C$8*IF($B42="V",1,IF($B42="D",(1+SUP_VOLUMEN!$C$26),(1+SUP_VOLUMEN!$C$27)))*INDEX(SUP_C3_EXPANSION!$C$6:$F$6,MIN(4,COUNTIF(CAPA3_EXPANSION!$D$56:T$56,"&gt;="&amp;35)))*CAPA3_EXPANSION!T$36)</f>
        <v>0</v>
      </c>
      <c r="U42" s="88">
        <f>IF(COUNTIF(CAPA3_EXPANSION!$D$56:U$56,"&gt;="&amp;35)=0,0,SUP_CONTROL!$C$8*IF($B42="V",1,IF($B42="D",(1+SUP_VOLUMEN!$C$26),(1+SUP_VOLUMEN!$C$27)))*INDEX(SUP_C3_EXPANSION!$C$6:$F$6,MIN(4,COUNTIF(CAPA3_EXPANSION!$D$56:U$56,"&gt;="&amp;35)))*CAPA3_EXPANSION!U$36)</f>
        <v>0</v>
      </c>
      <c r="V42" s="88">
        <f>IF(COUNTIF(CAPA3_EXPANSION!$D$56:V$56,"&gt;="&amp;35)=0,0,SUP_CONTROL!$C$8*IF($B42="V",1,IF($B42="D",(1+SUP_VOLUMEN!$C$26),(1+SUP_VOLUMEN!$C$27)))*INDEX(SUP_C3_EXPANSION!$C$6:$F$6,MIN(4,COUNTIF(CAPA3_EXPANSION!$D$56:V$56,"&gt;="&amp;35)))*CAPA3_EXPANSION!V$36)</f>
        <v>0</v>
      </c>
      <c r="W42" s="88">
        <f>IF(COUNTIF(CAPA3_EXPANSION!$D$56:W$56,"&gt;="&amp;35)=0,0,SUP_CONTROL!$C$8*IF($B42="V",1,IF($B42="D",(1+SUP_VOLUMEN!$C$26),(1+SUP_VOLUMEN!$C$27)))*INDEX(SUP_C3_EXPANSION!$C$6:$F$6,MIN(4,COUNTIF(CAPA3_EXPANSION!$D$56:W$56,"&gt;="&amp;35)))*CAPA3_EXPANSION!W$36)</f>
        <v>0</v>
      </c>
      <c r="X42" s="88">
        <f>IF(COUNTIF(CAPA3_EXPANSION!$D$56:X$56,"&gt;="&amp;35)=0,0,SUP_CONTROL!$C$8*IF($B42="V",1,IF($B42="D",(1+SUP_VOLUMEN!$C$26),(1+SUP_VOLUMEN!$C$27)))*INDEX(SUP_C3_EXPANSION!$C$6:$F$6,MIN(4,COUNTIF(CAPA3_EXPANSION!$D$56:X$56,"&gt;="&amp;35)))*CAPA3_EXPANSION!X$36)</f>
        <v>0</v>
      </c>
      <c r="Y42" s="88">
        <f>IF(COUNTIF(CAPA3_EXPANSION!$D$56:Y$56,"&gt;="&amp;35)=0,0,SUP_CONTROL!$C$8*IF($B42="V",1,IF($B42="D",(1+SUP_VOLUMEN!$C$26),(1+SUP_VOLUMEN!$C$27)))*INDEX(SUP_C3_EXPANSION!$C$6:$F$6,MIN(4,COUNTIF(CAPA3_EXPANSION!$D$56:Y$56,"&gt;="&amp;35)))*CAPA3_EXPANSION!Y$36)</f>
        <v>0</v>
      </c>
      <c r="Z42" s="88">
        <f>IF(COUNTIF(CAPA3_EXPANSION!$D$56:Z$56,"&gt;="&amp;35)=0,0,SUP_CONTROL!$C$8*IF($B42="V",1,IF($B42="D",(1+SUP_VOLUMEN!$C$26),(1+SUP_VOLUMEN!$C$27)))*INDEX(SUP_C3_EXPANSION!$C$6:$F$6,MIN(4,COUNTIF(CAPA3_EXPANSION!$D$56:Z$56,"&gt;="&amp;35)))*CAPA3_EXPANSION!Z$36)</f>
        <v>0</v>
      </c>
      <c r="AA42" s="88">
        <f>IF(COUNTIF(CAPA3_EXPANSION!$D$56:AA$56,"&gt;="&amp;35)=0,0,SUP_CONTROL!$C$8*IF($B42="V",1,IF($B42="D",(1+SUP_VOLUMEN!$C$26),(1+SUP_VOLUMEN!$C$27)))*INDEX(SUP_C3_EXPANSION!$C$6:$F$6,MIN(4,COUNTIF(CAPA3_EXPANSION!$D$56:AA$56,"&gt;="&amp;35)))*CAPA3_EXPANSION!AA$36)</f>
        <v>0</v>
      </c>
      <c r="AB42" s="88">
        <f>IF(COUNTIF(CAPA3_EXPANSION!$D$56:AB$56,"&gt;="&amp;35)=0,0,SUP_CONTROL!$C$8*IF($B42="V",1,IF($B42="D",(1+SUP_VOLUMEN!$C$26),(1+SUP_VOLUMEN!$C$27)))*INDEX(SUP_C3_EXPANSION!$C$6:$F$6,MIN(4,COUNTIF(CAPA3_EXPANSION!$D$56:AB$56,"&gt;="&amp;35)))*CAPA3_EXPANSION!AB$36)</f>
        <v>0</v>
      </c>
      <c r="AC42" s="88">
        <f>IF(COUNTIF(CAPA3_EXPANSION!$D$56:AC$56,"&gt;="&amp;35)=0,0,SUP_CONTROL!$C$8*IF($B42="V",1,IF($B42="D",(1+SUP_VOLUMEN!$C$26),(1+SUP_VOLUMEN!$C$27)))*INDEX(SUP_C3_EXPANSION!$C$6:$F$6,MIN(4,COUNTIF(CAPA3_EXPANSION!$D$56:AC$56,"&gt;="&amp;35)))*CAPA3_EXPANSION!AC$36)</f>
        <v>0</v>
      </c>
      <c r="AD42" s="88">
        <f>IF(COUNTIF(CAPA3_EXPANSION!$D$56:AD$56,"&gt;="&amp;35)=0,0,SUP_CONTROL!$C$8*IF($B42="V",1,IF($B42="D",(1+SUP_VOLUMEN!$C$26),(1+SUP_VOLUMEN!$C$27)))*INDEX(SUP_C3_EXPANSION!$C$6:$F$6,MIN(4,COUNTIF(CAPA3_EXPANSION!$D$56:AD$56,"&gt;="&amp;35)))*CAPA3_EXPANSION!AD$36)</f>
        <v>0</v>
      </c>
      <c r="AE42" s="88">
        <f>IF(COUNTIF(CAPA3_EXPANSION!$D$56:AE$56,"&gt;="&amp;35)=0,0,SUP_CONTROL!$C$8*IF($B42="V",1,IF($B42="D",(1+SUP_VOLUMEN!$C$26),(1+SUP_VOLUMEN!$C$27)))*INDEX(SUP_C3_EXPANSION!$C$6:$F$6,MIN(4,COUNTIF(CAPA3_EXPANSION!$D$56:AE$56,"&gt;="&amp;35)))*CAPA3_EXPANSION!AE$36)</f>
        <v>0</v>
      </c>
      <c r="AF42" s="88">
        <f>IF(COUNTIF(CAPA3_EXPANSION!$D$56:AF$56,"&gt;="&amp;35)=0,0,SUP_CONTROL!$C$8*IF($B42="V",1,IF($B42="D",(1+SUP_VOLUMEN!$C$26),(1+SUP_VOLUMEN!$C$27)))*INDEX(SUP_C3_EXPANSION!$C$6:$F$6,MIN(4,COUNTIF(CAPA3_EXPANSION!$D$56:AF$56,"&gt;="&amp;35)))*CAPA3_EXPANSION!AF$36)</f>
        <v>0</v>
      </c>
      <c r="AG42" s="88">
        <f>IF(COUNTIF(CAPA3_EXPANSION!$D$56:AG$56,"&gt;="&amp;35)=0,0,SUP_CONTROL!$C$8*IF($B42="V",1,IF($B42="D",(1+SUP_VOLUMEN!$C$26),(1+SUP_VOLUMEN!$C$27)))*INDEX(SUP_C3_EXPANSION!$C$6:$F$6,MIN(4,COUNTIF(CAPA3_EXPANSION!$D$56:AG$56,"&gt;="&amp;35)))*CAPA3_EXPANSION!AG$36)</f>
        <v>0</v>
      </c>
      <c r="AH42" s="88">
        <f>IF(COUNTIF(CAPA3_EXPANSION!$D$56:AH$56,"&gt;="&amp;35)=0,0,SUP_CONTROL!$C$8*IF($B42="V",1,IF($B42="D",(1+SUP_VOLUMEN!$C$26),(1+SUP_VOLUMEN!$C$27)))*INDEX(SUP_C3_EXPANSION!$C$6:$F$6,MIN(4,COUNTIF(CAPA3_EXPANSION!$D$56:AH$56,"&gt;="&amp;35)))*CAPA3_EXPANSION!AH$36)</f>
        <v>0</v>
      </c>
      <c r="AI42" s="88">
        <f>IF(COUNTIF(CAPA3_EXPANSION!$D$56:AI$56,"&gt;="&amp;35)=0,0,SUP_CONTROL!$C$8*IF($B42="V",1,IF($B42="D",(1+SUP_VOLUMEN!$C$26),(1+SUP_VOLUMEN!$C$27)))*INDEX(SUP_C3_EXPANSION!$C$6:$F$6,MIN(4,COUNTIF(CAPA3_EXPANSION!$D$56:AI$56,"&gt;="&amp;35)))*CAPA3_EXPANSION!AI$36)</f>
        <v>0</v>
      </c>
      <c r="AJ42" s="88">
        <f>IF(COUNTIF(CAPA3_EXPANSION!$D$56:AJ$56,"&gt;="&amp;35)=0,0,SUP_CONTROL!$C$8*IF($B42="V",1,IF($B42="D",(1+SUP_VOLUMEN!$C$26),(1+SUP_VOLUMEN!$C$27)))*INDEX(SUP_C3_EXPANSION!$C$6:$F$6,MIN(4,COUNTIF(CAPA3_EXPANSION!$D$56:AJ$56,"&gt;="&amp;35)))*CAPA3_EXPANSION!AJ$36)</f>
        <v>0</v>
      </c>
      <c r="AK42" s="88">
        <f>IF(COUNTIF(CAPA3_EXPANSION!$D$56:AK$56,"&gt;="&amp;35)=0,0,SUP_CONTROL!$C$8*IF($B42="V",1,IF($B42="D",(1+SUP_VOLUMEN!$C$26),(1+SUP_VOLUMEN!$C$27)))*INDEX(SUP_C3_EXPANSION!$C$6:$F$6,MIN(4,COUNTIF(CAPA3_EXPANSION!$D$56:AK$56,"&gt;="&amp;35)))*CAPA3_EXPANSION!AK$36)</f>
        <v>0</v>
      </c>
      <c r="AL42" s="88">
        <f>IF(COUNTIF(CAPA3_EXPANSION!$D$56:AL$56,"&gt;="&amp;35)=0,0,SUP_CONTROL!$C$8*IF($B42="V",1,IF($B42="D",(1+SUP_VOLUMEN!$C$26),(1+SUP_VOLUMEN!$C$27)))*INDEX(SUP_C3_EXPANSION!$C$6:$F$6,MIN(4,COUNTIF(CAPA3_EXPANSION!$D$56:AL$56,"&gt;="&amp;35)))*CAPA3_EXPANSION!AL$36)</f>
        <v>0</v>
      </c>
      <c r="AM42" s="88">
        <f>IF(COUNTIF(CAPA3_EXPANSION!$D$56:AM$56,"&gt;="&amp;35)=0,0,SUP_CONTROL!$C$8*IF($B42="V",1,IF($B42="D",(1+SUP_VOLUMEN!$C$26),(1+SUP_VOLUMEN!$C$27)))*INDEX(SUP_C3_EXPANSION!$C$6:$F$6,MIN(4,COUNTIF(CAPA3_EXPANSION!$D$56:AM$56,"&gt;="&amp;35)))*CAPA3_EXPANSION!AM$36)</f>
        <v>0</v>
      </c>
      <c r="AN42" s="88">
        <f>IF(COUNTIF(CAPA3_EXPANSION!$D$56:AN$56,"&gt;="&amp;35)=0,0,SUP_CONTROL!$C$8*IF($B42="V",1,IF($B42="D",(1+SUP_VOLUMEN!$C$26),(1+SUP_VOLUMEN!$C$27)))*INDEX(SUP_C3_EXPANSION!$C$6:$F$6,MIN(4,COUNTIF(CAPA3_EXPANSION!$D$56:AN$56,"&gt;="&amp;35)))*CAPA3_EXPANSION!AN$36)</f>
        <v>0</v>
      </c>
      <c r="AO42" s="88">
        <f>IF(COUNTIF(CAPA3_EXPANSION!$D$56:AO$56,"&gt;="&amp;35)=0,0,SUP_CONTROL!$C$8*IF($B42="V",1,IF($B42="D",(1+SUP_VOLUMEN!$C$26),(1+SUP_VOLUMEN!$C$27)))*INDEX(SUP_C3_EXPANSION!$C$6:$F$6,MIN(4,COUNTIF(CAPA3_EXPANSION!$D$56:AO$56,"&gt;="&amp;35)))*CAPA3_EXPANSION!AO$36)</f>
        <v>0</v>
      </c>
      <c r="AP42" s="88">
        <f>IF(COUNTIF(CAPA3_EXPANSION!$D$56:AP$56,"&gt;="&amp;35)=0,0,SUP_CONTROL!$C$8*IF($B42="V",1,IF($B42="D",(1+SUP_VOLUMEN!$C$26),(1+SUP_VOLUMEN!$C$27)))*INDEX(SUP_C3_EXPANSION!$C$6:$F$6,MIN(4,COUNTIF(CAPA3_EXPANSION!$D$56:AP$56,"&gt;="&amp;35)))*CAPA3_EXPANSION!AP$36)</f>
        <v>0</v>
      </c>
      <c r="AQ42" s="88">
        <f>IF(COUNTIF(CAPA3_EXPANSION!$D$56:AQ$56,"&gt;="&amp;35)=0,0,SUP_CONTROL!$C$8*IF($B42="V",1,IF($B42="D",(1+SUP_VOLUMEN!$C$26),(1+SUP_VOLUMEN!$C$27)))*INDEX(SUP_C3_EXPANSION!$C$6:$F$6,MIN(4,COUNTIF(CAPA3_EXPANSION!$D$56:AQ$56,"&gt;="&amp;35)))*CAPA3_EXPANSION!AQ$36)</f>
        <v>0</v>
      </c>
      <c r="AR42" s="88">
        <f>IF(COUNTIF(CAPA3_EXPANSION!$D$56:AR$56,"&gt;="&amp;35)=0,0,SUP_CONTROL!$C$8*IF($B42="V",1,IF($B42="D",(1+SUP_VOLUMEN!$C$26),(1+SUP_VOLUMEN!$C$27)))*INDEX(SUP_C3_EXPANSION!$C$6:$F$6,MIN(4,COUNTIF(CAPA3_EXPANSION!$D$56:AR$56,"&gt;="&amp;35)))*CAPA3_EXPANSION!AR$36)</f>
        <v>0</v>
      </c>
      <c r="AS42" s="88">
        <f>IF(COUNTIF(CAPA3_EXPANSION!$D$56:AS$56,"&gt;="&amp;35)=0,0,SUP_CONTROL!$C$8*IF($B42="V",1,IF($B42="D",(1+SUP_VOLUMEN!$C$26),(1+SUP_VOLUMEN!$C$27)))*INDEX(SUP_C3_EXPANSION!$C$6:$F$6,MIN(4,COUNTIF(CAPA3_EXPANSION!$D$56:AS$56,"&gt;="&amp;35)))*CAPA3_EXPANSION!AS$36)</f>
        <v>0</v>
      </c>
      <c r="AT42" s="88">
        <f>IF(COUNTIF(CAPA3_EXPANSION!$D$56:AT$56,"&gt;="&amp;35)=0,0,SUP_CONTROL!$C$8*IF($B42="V",1,IF($B42="D",(1+SUP_VOLUMEN!$C$26),(1+SUP_VOLUMEN!$C$27)))*INDEX(SUP_C3_EXPANSION!$C$6:$F$6,MIN(4,COUNTIF(CAPA3_EXPANSION!$D$56:AT$56,"&gt;="&amp;35)))*CAPA3_EXPANSION!AT$36)</f>
        <v>0</v>
      </c>
      <c r="AU42" s="88">
        <f>IF(COUNTIF(CAPA3_EXPANSION!$D$56:AU$56,"&gt;="&amp;35)=0,0,SUP_CONTROL!$C$8*IF($B42="V",1,IF($B42="D",(1+SUP_VOLUMEN!$C$26),(1+SUP_VOLUMEN!$C$27)))*INDEX(SUP_C3_EXPANSION!$C$6:$F$6,MIN(4,COUNTIF(CAPA3_EXPANSION!$D$56:AU$56,"&gt;="&amp;35)))*CAPA3_EXPANSION!AU$36)</f>
        <v>0</v>
      </c>
      <c r="AV42" s="88">
        <f>IF(COUNTIF(CAPA3_EXPANSION!$D$56:AV$56,"&gt;="&amp;35)=0,0,SUP_CONTROL!$C$8*IF($B42="V",1,IF($B42="D",(1+SUP_VOLUMEN!$C$26),(1+SUP_VOLUMEN!$C$27)))*INDEX(SUP_C3_EXPANSION!$C$6:$F$6,MIN(4,COUNTIF(CAPA3_EXPANSION!$D$56:AV$56,"&gt;="&amp;35)))*CAPA3_EXPANSION!AV$36)</f>
        <v>0</v>
      </c>
      <c r="AW42" s="88">
        <f>IF(COUNTIF(CAPA3_EXPANSION!$D$56:AW$56,"&gt;="&amp;35)=0,0,SUP_CONTROL!$C$8*IF($B42="V",1,IF($B42="D",(1+SUP_VOLUMEN!$C$26),(1+SUP_VOLUMEN!$C$27)))*INDEX(SUP_C3_EXPANSION!$C$6:$F$6,MIN(4,COUNTIF(CAPA3_EXPANSION!$D$56:AW$56,"&gt;="&amp;35)))*CAPA3_EXPANSION!AW$36)</f>
        <v>0</v>
      </c>
      <c r="AX42" s="88">
        <f>IF(COUNTIF(CAPA3_EXPANSION!$D$56:AX$56,"&gt;="&amp;35)=0,0,SUP_CONTROL!$C$8*IF($B42="V",1,IF($B42="D",(1+SUP_VOLUMEN!$C$26),(1+SUP_VOLUMEN!$C$27)))*INDEX(SUP_C3_EXPANSION!$C$6:$F$6,MIN(4,COUNTIF(CAPA3_EXPANSION!$D$56:AX$56,"&gt;="&amp;35)))*CAPA3_EXPANSION!AX$36)</f>
        <v>0</v>
      </c>
      <c r="AY42" s="88">
        <f>IF(COUNTIF(CAPA3_EXPANSION!$D$56:AY$56,"&gt;="&amp;35)=0,0,SUP_CONTROL!$C$8*IF($B42="V",1,IF($B42="D",(1+SUP_VOLUMEN!$C$26),(1+SUP_VOLUMEN!$C$27)))*INDEX(SUP_C3_EXPANSION!$C$6:$F$6,MIN(4,COUNTIF(CAPA3_EXPANSION!$D$56:AY$56,"&gt;="&amp;35)))*CAPA3_EXPANSION!AY$36)</f>
        <v>0</v>
      </c>
      <c r="AZ42" s="88">
        <f>IF(COUNTIF(CAPA3_EXPANSION!$D$56:AZ$56,"&gt;="&amp;35)=0,0,SUP_CONTROL!$C$8*IF($B42="V",1,IF($B42="D",(1+SUP_VOLUMEN!$C$26),(1+SUP_VOLUMEN!$C$27)))*INDEX(SUP_C3_EXPANSION!$C$6:$F$6,MIN(4,COUNTIF(CAPA3_EXPANSION!$D$56:AZ$56,"&gt;="&amp;35)))*CAPA3_EXPANSION!AZ$36)</f>
        <v>0</v>
      </c>
      <c r="BA42" s="88">
        <f>IF(COUNTIF(CAPA3_EXPANSION!$D$56:BA$56,"&gt;="&amp;35)=0,0,SUP_CONTROL!$C$8*IF($B42="V",1,IF($B42="D",(1+SUP_VOLUMEN!$C$26),(1+SUP_VOLUMEN!$C$27)))*INDEX(SUP_C3_EXPANSION!$C$6:$F$6,MIN(4,COUNTIF(CAPA3_EXPANSION!$D$56:BA$56,"&gt;="&amp;35)))*CAPA3_EXPANSION!BA$36)</f>
        <v>0</v>
      </c>
      <c r="BB42" s="88">
        <f>IF(COUNTIF(CAPA3_EXPANSION!$D$56:BB$56,"&gt;="&amp;35)=0,0,SUP_CONTROL!$C$8*IF($B42="V",1,IF($B42="D",(1+SUP_VOLUMEN!$C$26),(1+SUP_VOLUMEN!$C$27)))*INDEX(SUP_C3_EXPANSION!$C$6:$F$6,MIN(4,COUNTIF(CAPA3_EXPANSION!$D$56:BB$56,"&gt;="&amp;35)))*CAPA3_EXPANSION!BB$36)</f>
        <v>0</v>
      </c>
      <c r="BC42" s="88">
        <f>IF(COUNTIF(CAPA3_EXPANSION!$D$56:BC$56,"&gt;="&amp;35)=0,0,SUP_CONTROL!$C$8*IF($B42="V",1,IF($B42="D",(1+SUP_VOLUMEN!$C$26),(1+SUP_VOLUMEN!$C$27)))*INDEX(SUP_C3_EXPANSION!$C$6:$F$6,MIN(4,COUNTIF(CAPA3_EXPANSION!$D$56:BC$56,"&gt;="&amp;35)))*CAPA3_EXPANSION!BC$36)</f>
        <v>0</v>
      </c>
      <c r="BD42" s="88">
        <f>IF(COUNTIF(CAPA3_EXPANSION!$D$56:BD$56,"&gt;="&amp;35)=0,0,SUP_CONTROL!$C$8*IF($B42="V",1,IF($B42="D",(1+SUP_VOLUMEN!$C$26),(1+SUP_VOLUMEN!$C$27)))*INDEX(SUP_C3_EXPANSION!$C$6:$F$6,MIN(4,COUNTIF(CAPA3_EXPANSION!$D$56:BD$56,"&gt;="&amp;35)))*CAPA3_EXPANSION!BD$36)</f>
        <v>0</v>
      </c>
      <c r="BE42" s="88">
        <f>IF(COUNTIF(CAPA3_EXPANSION!$D$56:BE$56,"&gt;="&amp;35)=0,0,SUP_CONTROL!$C$8*IF($B42="V",1,IF($B42="D",(1+SUP_VOLUMEN!$C$26),(1+SUP_VOLUMEN!$C$27)))*INDEX(SUP_C3_EXPANSION!$C$6:$F$6,MIN(4,COUNTIF(CAPA3_EXPANSION!$D$56:BE$56,"&gt;="&amp;35)))*CAPA3_EXPANSION!BE$36)</f>
        <v>0</v>
      </c>
      <c r="BF42" s="88">
        <f>IF(COUNTIF(CAPA3_EXPANSION!$D$56:BF$56,"&gt;="&amp;35)=0,0,SUP_CONTROL!$C$8*IF($B42="V",1,IF($B42="D",(1+SUP_VOLUMEN!$C$26),(1+SUP_VOLUMEN!$C$27)))*INDEX(SUP_C3_EXPANSION!$C$6:$F$6,MIN(4,COUNTIF(CAPA3_EXPANSION!$D$56:BF$56,"&gt;="&amp;35)))*CAPA3_EXPANSION!BF$36)</f>
        <v>0</v>
      </c>
      <c r="BG42" s="88">
        <f>IF(COUNTIF(CAPA3_EXPANSION!$D$56:BG$56,"&gt;="&amp;35)=0,0,SUP_CONTROL!$C$8*IF($B42="V",1,IF($B42="D",(1+SUP_VOLUMEN!$C$26),(1+SUP_VOLUMEN!$C$27)))*INDEX(SUP_C3_EXPANSION!$C$6:$F$6,MIN(4,COUNTIF(CAPA3_EXPANSION!$D$56:BG$56,"&gt;="&amp;35)))*CAPA3_EXPANSION!BG$36)</f>
        <v>0</v>
      </c>
      <c r="BH42" s="88">
        <f>IF(COUNTIF(CAPA3_EXPANSION!$D$56:BH$56,"&gt;="&amp;35)=0,0,SUP_CONTROL!$C$8*IF($B42="V",1,IF($B42="D",(1+SUP_VOLUMEN!$C$26),(1+SUP_VOLUMEN!$C$27)))*INDEX(SUP_C3_EXPANSION!$C$6:$F$6,MIN(4,COUNTIF(CAPA3_EXPANSION!$D$56:BH$56,"&gt;="&amp;35)))*CAPA3_EXPANSION!BH$36)</f>
        <v>0</v>
      </c>
      <c r="BI42" s="88">
        <f>IF(COUNTIF(CAPA3_EXPANSION!$D$56:BI$56,"&gt;="&amp;35)=0,0,SUP_CONTROL!$C$8*IF($B42="V",1,IF($B42="D",(1+SUP_VOLUMEN!$C$26),(1+SUP_VOLUMEN!$C$27)))*INDEX(SUP_C3_EXPANSION!$C$6:$F$6,MIN(4,COUNTIF(CAPA3_EXPANSION!$D$56:BI$56,"&gt;="&amp;35)))*CAPA3_EXPANSION!BI$36)</f>
        <v>0</v>
      </c>
      <c r="BJ42" s="88">
        <f>IF(COUNTIF(CAPA3_EXPANSION!$D$56:BJ$56,"&gt;="&amp;35)=0,0,SUP_CONTROL!$C$8*IF($B42="V",1,IF($B42="D",(1+SUP_VOLUMEN!$C$26),(1+SUP_VOLUMEN!$C$27)))*INDEX(SUP_C3_EXPANSION!$C$6:$F$6,MIN(4,COUNTIF(CAPA3_EXPANSION!$D$56:BJ$56,"&gt;="&amp;35)))*CAPA3_EXPANSION!BJ$36)</f>
        <v>0</v>
      </c>
      <c r="BK42" s="88">
        <f>IF(COUNTIF(CAPA3_EXPANSION!$D$56:BK$56,"&gt;="&amp;35)=0,0,SUP_CONTROL!$C$8*IF($B42="V",1,IF($B42="D",(1+SUP_VOLUMEN!$C$26),(1+SUP_VOLUMEN!$C$27)))*INDEX(SUP_C3_EXPANSION!$C$6:$F$6,MIN(4,COUNTIF(CAPA3_EXPANSION!$D$56:BK$56,"&gt;="&amp;35)))*CAPA3_EXPANSION!BK$36)</f>
        <v>0</v>
      </c>
      <c r="BL42" s="88">
        <f>IF(COUNTIF(CAPA3_EXPANSION!$D$56:BL$56,"&gt;="&amp;35)=0,0,SUP_CONTROL!$C$8*IF($B42="V",1,IF($B42="D",(1+SUP_VOLUMEN!$C$26),(1+SUP_VOLUMEN!$C$27)))*INDEX(SUP_C3_EXPANSION!$C$6:$F$6,MIN(4,COUNTIF(CAPA3_EXPANSION!$D$56:BL$56,"&gt;="&amp;35)))*CAPA3_EXPANSION!BL$36)</f>
        <v>0</v>
      </c>
      <c r="BM42" s="88">
        <f>IF(COUNTIF(CAPA3_EXPANSION!$D$56:BM$56,"&gt;="&amp;35)=0,0,SUP_CONTROL!$C$8*IF($B42="V",1,IF($B42="D",(1+SUP_VOLUMEN!$C$26),(1+SUP_VOLUMEN!$C$27)))*INDEX(SUP_C3_EXPANSION!$C$6:$F$6,MIN(4,COUNTIF(CAPA3_EXPANSION!$D$56:BM$56,"&gt;="&amp;35)))*CAPA3_EXPANSION!BM$36)</f>
        <v>0</v>
      </c>
      <c r="BN42" s="88">
        <f>IF(COUNTIF(CAPA3_EXPANSION!$D$56:BN$56,"&gt;="&amp;35)=0,0,SUP_CONTROL!$C$8*IF($B42="V",1,IF($B42="D",(1+SUP_VOLUMEN!$C$26),(1+SUP_VOLUMEN!$C$27)))*INDEX(SUP_C3_EXPANSION!$C$6:$F$6,MIN(4,COUNTIF(CAPA3_EXPANSION!$D$56:BN$56,"&gt;="&amp;35)))*CAPA3_EXPANSION!BN$36)</f>
        <v>0</v>
      </c>
      <c r="BO42" s="88">
        <f>IF(COUNTIF(CAPA3_EXPANSION!$D$56:BO$56,"&gt;="&amp;35)=0,0,SUP_CONTROL!$C$8*IF($B42="V",1,IF($B42="D",(1+SUP_VOLUMEN!$C$26),(1+SUP_VOLUMEN!$C$27)))*INDEX(SUP_C3_EXPANSION!$C$6:$F$6,MIN(4,COUNTIF(CAPA3_EXPANSION!$D$56:BO$56,"&gt;="&amp;35)))*CAPA3_EXPANSION!BO$36)</f>
        <v>0</v>
      </c>
      <c r="BP42" s="88">
        <f>IF(COUNTIF(CAPA3_EXPANSION!$D$56:BP$56,"&gt;="&amp;35)=0,0,SUP_CONTROL!$C$8*IF($B42="V",1,IF($B42="D",(1+SUP_VOLUMEN!$C$26),(1+SUP_VOLUMEN!$C$27)))*INDEX(SUP_C3_EXPANSION!$C$6:$F$6,MIN(4,COUNTIF(CAPA3_EXPANSION!$D$56:BP$56,"&gt;="&amp;35)))*CAPA3_EXPANSION!BP$36)</f>
        <v>0</v>
      </c>
      <c r="BQ42" s="88">
        <f>IF(COUNTIF(CAPA3_EXPANSION!$D$56:BQ$56,"&gt;="&amp;35)=0,0,SUP_CONTROL!$C$8*IF($B42="V",1,IF($B42="D",(1+SUP_VOLUMEN!$C$26),(1+SUP_VOLUMEN!$C$27)))*INDEX(SUP_C3_EXPANSION!$C$6:$F$6,MIN(4,COUNTIF(CAPA3_EXPANSION!$D$56:BQ$56,"&gt;="&amp;35)))*CAPA3_EXPANSION!BQ$36)</f>
        <v>0</v>
      </c>
      <c r="BR42" s="88">
        <f>IF(COUNTIF(CAPA3_EXPANSION!$D$56:BR$56,"&gt;="&amp;35)=0,0,SUP_CONTROL!$C$8*IF($B42="V",1,IF($B42="D",(1+SUP_VOLUMEN!$C$26),(1+SUP_VOLUMEN!$C$27)))*INDEX(SUP_C3_EXPANSION!$C$6:$F$6,MIN(4,COUNTIF(CAPA3_EXPANSION!$D$56:BR$56,"&gt;="&amp;35)))*CAPA3_EXPANSION!BR$36)</f>
        <v>0</v>
      </c>
      <c r="BS42" s="88">
        <f>IF(COUNTIF(CAPA3_EXPANSION!$D$56:BS$56,"&gt;="&amp;35)=0,0,SUP_CONTROL!$C$8*IF($B42="V",1,IF($B42="D",(1+SUP_VOLUMEN!$C$26),(1+SUP_VOLUMEN!$C$27)))*INDEX(SUP_C3_EXPANSION!$C$6:$F$6,MIN(4,COUNTIF(CAPA3_EXPANSION!$D$56:BS$56,"&gt;="&amp;35)))*CAPA3_EXPANSION!BS$36)</f>
        <v>0</v>
      </c>
      <c r="BT42" s="88">
        <f>IF(COUNTIF(CAPA3_EXPANSION!$D$56:BT$56,"&gt;="&amp;35)=0,0,SUP_CONTROL!$C$8*IF($B42="V",1,IF($B42="D",(1+SUP_VOLUMEN!$C$26),(1+SUP_VOLUMEN!$C$27)))*INDEX(SUP_C3_EXPANSION!$C$6:$F$6,MIN(4,COUNTIF(CAPA3_EXPANSION!$D$56:BT$56,"&gt;="&amp;35)))*CAPA3_EXPANSION!BT$36)</f>
        <v>0</v>
      </c>
      <c r="BU42" s="88">
        <f>IF(COUNTIF(CAPA3_EXPANSION!$D$56:BU$56,"&gt;="&amp;35)=0,0,SUP_CONTROL!$C$8*IF($B42="V",1,IF($B42="D",(1+SUP_VOLUMEN!$C$26),(1+SUP_VOLUMEN!$C$27)))*INDEX(SUP_C3_EXPANSION!$C$6:$F$6,MIN(4,COUNTIF(CAPA3_EXPANSION!$D$56:BU$56,"&gt;="&amp;35)))*CAPA3_EXPANSION!BU$36)</f>
        <v>0</v>
      </c>
      <c r="BV42" s="88">
        <f>IF(COUNTIF(CAPA3_EXPANSION!$D$56:BV$56,"&gt;="&amp;35)=0,0,SUP_CONTROL!$C$8*IF($B42="V",1,IF($B42="D",(1+SUP_VOLUMEN!$C$26),(1+SUP_VOLUMEN!$C$27)))*INDEX(SUP_C3_EXPANSION!$C$6:$F$6,MIN(4,COUNTIF(CAPA3_EXPANSION!$D$56:BV$56,"&gt;="&amp;35)))*CAPA3_EXPANSION!BV$36)</f>
        <v>0</v>
      </c>
      <c r="BW42" s="88">
        <f>IF(COUNTIF(CAPA3_EXPANSION!$D$56:BW$56,"&gt;="&amp;35)=0,0,SUP_CONTROL!$C$8*IF($B42="V",1,IF($B42="D",(1+SUP_VOLUMEN!$C$26),(1+SUP_VOLUMEN!$C$27)))*INDEX(SUP_C3_EXPANSION!$C$6:$F$6,MIN(4,COUNTIF(CAPA3_EXPANSION!$D$56:BW$56,"&gt;="&amp;35)))*CAPA3_EXPANSION!BW$36)</f>
        <v>0</v>
      </c>
      <c r="BX42" s="88">
        <f>IF(COUNTIF(CAPA3_EXPANSION!$D$56:BX$56,"&gt;="&amp;35)=0,0,SUP_CONTROL!$C$8*IF($B42="V",1,IF($B42="D",(1+SUP_VOLUMEN!$C$26),(1+SUP_VOLUMEN!$C$27)))*INDEX(SUP_C3_EXPANSION!$C$6:$F$6,MIN(4,COUNTIF(CAPA3_EXPANSION!$D$56:BX$56,"&gt;="&amp;35)))*CAPA3_EXPANSION!BX$36)</f>
        <v>1860.2675000000002</v>
      </c>
      <c r="BY42" s="88">
        <f>IF(COUNTIF(CAPA3_EXPANSION!$D$56:BY$56,"&gt;="&amp;35)=0,0,SUP_CONTROL!$C$8*IF($B42="V",1,IF($B42="D",(1+SUP_VOLUMEN!$C$26),(1+SUP_VOLUMEN!$C$27)))*INDEX(SUP_C3_EXPANSION!$C$6:$F$6,MIN(4,COUNTIF(CAPA3_EXPANSION!$D$56:BY$56,"&gt;="&amp;35)))*CAPA3_EXPANSION!BY$36)</f>
        <v>2289.5600000000004</v>
      </c>
      <c r="BZ42" s="88">
        <f>IF(COUNTIF(CAPA3_EXPANSION!$D$56:BZ$56,"&gt;="&amp;35)=0,0,SUP_CONTROL!$C$8*IF($B42="V",1,IF($B42="D",(1+SUP_VOLUMEN!$C$26),(1+SUP_VOLUMEN!$C$27)))*INDEX(SUP_C3_EXPANSION!$C$6:$F$6,MIN(4,COUNTIF(CAPA3_EXPANSION!$D$56:BZ$56,"&gt;="&amp;35)))*CAPA3_EXPANSION!BZ$36)</f>
        <v>2545.4520000000002</v>
      </c>
      <c r="CA42" s="88">
        <f>IF(COUNTIF(CAPA3_EXPANSION!$D$56:CA$56,"&gt;="&amp;35)=0,0,SUP_CONTROL!$C$8*IF($B42="V",1,IF($B42="D",(1+SUP_VOLUMEN!$C$26),(1+SUP_VOLUMEN!$C$27)))*INDEX(SUP_C3_EXPANSION!$C$6:$F$6,MIN(4,COUNTIF(CAPA3_EXPANSION!$D$56:CA$56,"&gt;="&amp;35)))*CAPA3_EXPANSION!CA$36)</f>
        <v>2828.2799999999997</v>
      </c>
      <c r="CB42" s="88">
        <f>IF(COUNTIF(CAPA3_EXPANSION!$D$56:CB$56,"&gt;="&amp;35)=0,0,SUP_CONTROL!$C$8*IF($B42="V",1,IF($B42="D",(1+SUP_VOLUMEN!$C$26),(1+SUP_VOLUMEN!$C$27)))*INDEX(SUP_C3_EXPANSION!$C$6:$F$6,MIN(4,COUNTIF(CAPA3_EXPANSION!$D$56:CB$56,"&gt;="&amp;35)))*CAPA3_EXPANSION!CB$36)</f>
        <v>2828.2799999999997</v>
      </c>
      <c r="CC42" s="88">
        <f>IF(COUNTIF(CAPA3_EXPANSION!$D$56:CC$56,"&gt;="&amp;35)=0,0,SUP_CONTROL!$C$8*IF($B42="V",1,IF($B42="D",(1+SUP_VOLUMEN!$C$26),(1+SUP_VOLUMEN!$C$27)))*INDEX(SUP_C3_EXPANSION!$C$6:$F$6,MIN(4,COUNTIF(CAPA3_EXPANSION!$D$56:CC$56,"&gt;="&amp;35)))*CAPA3_EXPANSION!CC$36)</f>
        <v>2828.2799999999997</v>
      </c>
      <c r="CD42" s="88">
        <f>IF(COUNTIF(CAPA3_EXPANSION!$D$56:CD$56,"&gt;="&amp;35)=0,0,SUP_CONTROL!$C$8*IF($B42="V",1,IF($B42="D",(1+SUP_VOLUMEN!$C$26),(1+SUP_VOLUMEN!$C$27)))*INDEX(SUP_C3_EXPANSION!$C$6:$F$6,MIN(4,COUNTIF(CAPA3_EXPANSION!$D$56:CD$56,"&gt;="&amp;35)))*CAPA3_EXPANSION!CD$36)</f>
        <v>2828.2799999999997</v>
      </c>
      <c r="CE42" s="88">
        <f>IF(COUNTIF(CAPA3_EXPANSION!$D$56:CE$56,"&gt;="&amp;35)=0,0,SUP_CONTROL!$C$8*IF($B42="V",1,IF($B42="D",(1+SUP_VOLUMEN!$C$26),(1+SUP_VOLUMEN!$C$27)))*INDEX(SUP_C3_EXPANSION!$C$6:$F$6,MIN(4,COUNTIF(CAPA3_EXPANSION!$D$56:CE$56,"&gt;="&amp;35)))*CAPA3_EXPANSION!CE$36)</f>
        <v>2828.2799999999997</v>
      </c>
      <c r="CF42" s="88">
        <f>IF(COUNTIF(CAPA3_EXPANSION!$D$56:CF$56,"&gt;="&amp;35)=0,0,SUP_CONTROL!$C$8*IF($B42="V",1,IF($B42="D",(1+SUP_VOLUMEN!$C$26),(1+SUP_VOLUMEN!$C$27)))*INDEX(SUP_C3_EXPANSION!$C$6:$F$6,MIN(4,COUNTIF(CAPA3_EXPANSION!$D$56:CF$56,"&gt;="&amp;35)))*CAPA3_EXPANSION!CF$36)</f>
        <v>2828.2799999999997</v>
      </c>
      <c r="CG42" s="88">
        <f>IF(COUNTIF(CAPA3_EXPANSION!$D$56:CG$56,"&gt;="&amp;35)=0,0,SUP_CONTROL!$C$8*IF($B42="V",1,IF($B42="D",(1+SUP_VOLUMEN!$C$26),(1+SUP_VOLUMEN!$C$27)))*INDEX(SUP_C3_EXPANSION!$C$6:$F$6,MIN(4,COUNTIF(CAPA3_EXPANSION!$D$56:CG$56,"&gt;="&amp;35)))*CAPA3_EXPANSION!CG$36)</f>
        <v>2828.2799999999997</v>
      </c>
      <c r="CH42" s="88">
        <f>IF(COUNTIF(CAPA3_EXPANSION!$D$56:CH$56,"&gt;="&amp;35)=0,0,SUP_CONTROL!$C$8*IF($B42="V",1,IF($B42="D",(1+SUP_VOLUMEN!$C$26),(1+SUP_VOLUMEN!$C$27)))*INDEX(SUP_C3_EXPANSION!$C$6:$F$6,MIN(4,COUNTIF(CAPA3_EXPANSION!$D$56:CH$56,"&gt;="&amp;35)))*CAPA3_EXPANSION!CH$36)</f>
        <v>2828.2799999999997</v>
      </c>
      <c r="CI42" s="88">
        <f>IF(COUNTIF(CAPA3_EXPANSION!$D$56:CI$56,"&gt;="&amp;35)=0,0,SUP_CONTROL!$C$8*IF($B42="V",1,IF($B42="D",(1+SUP_VOLUMEN!$C$26),(1+SUP_VOLUMEN!$C$27)))*INDEX(SUP_C3_EXPANSION!$C$6:$F$6,MIN(4,COUNTIF(CAPA3_EXPANSION!$D$56:CI$56,"&gt;="&amp;35)))*CAPA3_EXPANSION!CI$36)</f>
        <v>2828.2799999999997</v>
      </c>
      <c r="CJ42" s="88">
        <f>IF(COUNTIF(CAPA3_EXPANSION!$D$56:CJ$56,"&gt;="&amp;35)=0,0,SUP_CONTROL!$C$8*IF($B42="V",1,IF($B42="D",(1+SUP_VOLUMEN!$C$26),(1+SUP_VOLUMEN!$C$27)))*INDEX(SUP_C3_EXPANSION!$C$6:$F$6,MIN(4,COUNTIF(CAPA3_EXPANSION!$D$56:CJ$56,"&gt;="&amp;35)))*CAPA3_EXPANSION!CJ$36)</f>
        <v>2828.2799999999997</v>
      </c>
      <c r="CK42" s="88">
        <f>IF(COUNTIF(CAPA3_EXPANSION!$D$56:CK$56,"&gt;="&amp;35)=0,0,SUP_CONTROL!$C$8*IF($B42="V",1,IF($B42="D",(1+SUP_VOLUMEN!$C$26),(1+SUP_VOLUMEN!$C$27)))*INDEX(SUP_C3_EXPANSION!$C$6:$F$6,MIN(4,COUNTIF(CAPA3_EXPANSION!$D$56:CK$56,"&gt;="&amp;35)))*CAPA3_EXPANSION!CK$36)</f>
        <v>2828.2799999999997</v>
      </c>
      <c r="CL42" s="88">
        <f>IF(COUNTIF(CAPA3_EXPANSION!$D$56:CL$56,"&gt;="&amp;35)=0,0,SUP_CONTROL!$C$8*IF($B42="V",1,IF($B42="D",(1+SUP_VOLUMEN!$C$26),(1+SUP_VOLUMEN!$C$27)))*INDEX(SUP_C3_EXPANSION!$C$6:$F$6,MIN(4,COUNTIF(CAPA3_EXPANSION!$D$56:CL$56,"&gt;="&amp;35)))*CAPA3_EXPANSION!CL$36)</f>
        <v>2828.2799999999997</v>
      </c>
      <c r="CM42" s="88">
        <f>IF(COUNTIF(CAPA3_EXPANSION!$D$56:CM$56,"&gt;="&amp;35)=0,0,SUP_CONTROL!$C$8*IF($B42="V",1,IF($B42="D",(1+SUP_VOLUMEN!$C$26),(1+SUP_VOLUMEN!$C$27)))*INDEX(SUP_C3_EXPANSION!$C$6:$F$6,MIN(4,COUNTIF(CAPA3_EXPANSION!$D$56:CM$56,"&gt;="&amp;35)))*CAPA3_EXPANSION!CM$36)</f>
        <v>2828.2799999999997</v>
      </c>
      <c r="CN42" s="88">
        <f>IF(COUNTIF(CAPA3_EXPANSION!$D$56:CN$56,"&gt;="&amp;35)=0,0,SUP_CONTROL!$C$8*IF($B42="V",1,IF($B42="D",(1+SUP_VOLUMEN!$C$26),(1+SUP_VOLUMEN!$C$27)))*INDEX(SUP_C3_EXPANSION!$C$6:$F$6,MIN(4,COUNTIF(CAPA3_EXPANSION!$D$56:CN$56,"&gt;="&amp;35)))*CAPA3_EXPANSION!CN$36)</f>
        <v>2828.2799999999997</v>
      </c>
      <c r="CO42" s="88">
        <f>IF(COUNTIF(CAPA3_EXPANSION!$D$56:CO$56,"&gt;="&amp;35)=0,0,SUP_CONTROL!$C$8*IF($B42="V",1,IF($B42="D",(1+SUP_VOLUMEN!$C$26),(1+SUP_VOLUMEN!$C$27)))*INDEX(SUP_C3_EXPANSION!$C$6:$F$6,MIN(4,COUNTIF(CAPA3_EXPANSION!$D$56:CO$56,"&gt;="&amp;35)))*CAPA3_EXPANSION!CO$36)</f>
        <v>2828.2799999999997</v>
      </c>
      <c r="CP42" s="88">
        <f>IF(COUNTIF(CAPA3_EXPANSION!$D$56:CP$56,"&gt;="&amp;35)=0,0,SUP_CONTROL!$C$8*IF($B42="V",1,IF($B42="D",(1+SUP_VOLUMEN!$C$26),(1+SUP_VOLUMEN!$C$27)))*INDEX(SUP_C3_EXPANSION!$C$6:$F$6,MIN(4,COUNTIF(CAPA3_EXPANSION!$D$56:CP$56,"&gt;="&amp;35)))*CAPA3_EXPANSION!CP$36)</f>
        <v>2828.2799999999997</v>
      </c>
      <c r="CQ42" s="88">
        <f>IF(COUNTIF(CAPA3_EXPANSION!$D$56:CQ$56,"&gt;="&amp;35)=0,0,SUP_CONTROL!$C$8*IF($B42="V",1,IF($B42="D",(1+SUP_VOLUMEN!$C$26),(1+SUP_VOLUMEN!$C$27)))*INDEX(SUP_C3_EXPANSION!$C$6:$F$6,MIN(4,COUNTIF(CAPA3_EXPANSION!$D$56:CQ$56,"&gt;="&amp;35)))*CAPA3_EXPANSION!CQ$36)</f>
        <v>2828.2799999999997</v>
      </c>
      <c r="CR42" s="88">
        <f>IF(COUNTIF(CAPA3_EXPANSION!$D$56:CR$56,"&gt;="&amp;35)=0,0,SUP_CONTROL!$C$8*IF($B42="V",1,IF($B42="D",(1+SUP_VOLUMEN!$C$26),(1+SUP_VOLUMEN!$C$27)))*INDEX(SUP_C3_EXPANSION!$C$6:$F$6,MIN(4,COUNTIF(CAPA3_EXPANSION!$D$56:CR$56,"&gt;="&amp;35)))*CAPA3_EXPANSION!CR$36)</f>
        <v>2828.2799999999997</v>
      </c>
      <c r="CS42" s="88">
        <f>IF(COUNTIF(CAPA3_EXPANSION!$D$56:CS$56,"&gt;="&amp;35)=0,0,SUP_CONTROL!$C$8*IF($B42="V",1,IF($B42="D",(1+SUP_VOLUMEN!$C$26),(1+SUP_VOLUMEN!$C$27)))*INDEX(SUP_C3_EXPANSION!$C$6:$F$6,MIN(4,COUNTIF(CAPA3_EXPANSION!$D$56:CS$56,"&gt;="&amp;35)))*CAPA3_EXPANSION!CS$36)</f>
        <v>2828.2799999999997</v>
      </c>
      <c r="CT42" s="88">
        <f>IF(COUNTIF(CAPA3_EXPANSION!$D$56:CT$56,"&gt;="&amp;35)=0,0,SUP_CONTROL!$C$8*IF($B42="V",1,IF($B42="D",(1+SUP_VOLUMEN!$C$26),(1+SUP_VOLUMEN!$C$27)))*INDEX(SUP_C3_EXPANSION!$C$6:$F$6,MIN(4,COUNTIF(CAPA3_EXPANSION!$D$56:CT$56,"&gt;="&amp;35)))*CAPA3_EXPANSION!CT$36)</f>
        <v>2828.2799999999997</v>
      </c>
      <c r="CU42" s="88">
        <f>IF(COUNTIF(CAPA3_EXPANSION!$D$56:CU$56,"&gt;="&amp;35)=0,0,SUP_CONTROL!$C$8*IF($B42="V",1,IF($B42="D",(1+SUP_VOLUMEN!$C$26),(1+SUP_VOLUMEN!$C$27)))*INDEX(SUP_C3_EXPANSION!$C$6:$F$6,MIN(4,COUNTIF(CAPA3_EXPANSION!$D$56:CU$56,"&gt;="&amp;35)))*CAPA3_EXPANSION!CU$36)</f>
        <v>2828.2799999999997</v>
      </c>
      <c r="CV42" s="88">
        <f>IF(COUNTIF(CAPA3_EXPANSION!$D$56:CV$56,"&gt;="&amp;35)=0,0,SUP_CONTROL!$C$8*IF($B42="V",1,IF($B42="D",(1+SUP_VOLUMEN!$C$26),(1+SUP_VOLUMEN!$C$27)))*INDEX(SUP_C3_EXPANSION!$C$6:$F$6,MIN(4,COUNTIF(CAPA3_EXPANSION!$D$56:CV$56,"&gt;="&amp;35)))*CAPA3_EXPANSION!CV$36)</f>
        <v>2828.2799999999997</v>
      </c>
      <c r="CW42" s="88">
        <f>IF(COUNTIF(CAPA3_EXPANSION!$D$56:CW$56,"&gt;="&amp;35)=0,0,SUP_CONTROL!$C$8*IF($B42="V",1,IF($B42="D",(1+SUP_VOLUMEN!$C$26),(1+SUP_VOLUMEN!$C$27)))*INDEX(SUP_C3_EXPANSION!$C$6:$F$6,MIN(4,COUNTIF(CAPA3_EXPANSION!$D$56:CW$56,"&gt;="&amp;35)))*CAPA3_EXPANSION!CW$36)</f>
        <v>2828.2799999999997</v>
      </c>
      <c r="CX42" s="88">
        <f>IF(COUNTIF(CAPA3_EXPANSION!$D$56:CX$56,"&gt;="&amp;35)=0,0,SUP_CONTROL!$C$8*IF($B42="V",1,IF($B42="D",(1+SUP_VOLUMEN!$C$26),(1+SUP_VOLUMEN!$C$27)))*INDEX(SUP_C3_EXPANSION!$C$6:$F$6,MIN(4,COUNTIF(CAPA3_EXPANSION!$D$56:CX$56,"&gt;="&amp;35)))*CAPA3_EXPANSION!CX$36)</f>
        <v>2828.2799999999997</v>
      </c>
      <c r="CY42" s="88">
        <f>IF(COUNTIF(CAPA3_EXPANSION!$D$56:CY$56,"&gt;="&amp;35)=0,0,SUP_CONTROL!$C$8*IF($B42="V",1,IF($B42="D",(1+SUP_VOLUMEN!$C$26),(1+SUP_VOLUMEN!$C$27)))*INDEX(SUP_C3_EXPANSION!$C$6:$F$6,MIN(4,COUNTIF(CAPA3_EXPANSION!$D$56:CY$56,"&gt;="&amp;35)))*CAPA3_EXPANSION!CY$36)</f>
        <v>2828.2799999999997</v>
      </c>
      <c r="CZ42" s="88">
        <f>IF(COUNTIF(CAPA3_EXPANSION!$D$56:CZ$56,"&gt;="&amp;35)=0,0,SUP_CONTROL!$C$8*IF($B42="V",1,IF($B42="D",(1+SUP_VOLUMEN!$C$26),(1+SUP_VOLUMEN!$C$27)))*INDEX(SUP_C3_EXPANSION!$C$6:$F$6,MIN(4,COUNTIF(CAPA3_EXPANSION!$D$56:CZ$56,"&gt;="&amp;35)))*CAPA3_EXPANSION!CZ$36)</f>
        <v>2828.2799999999997</v>
      </c>
      <c r="DA42" s="88">
        <f>IF(COUNTIF(CAPA3_EXPANSION!$D$56:DA$56,"&gt;="&amp;35)=0,0,SUP_CONTROL!$C$8*IF($B42="V",1,IF($B42="D",(1+SUP_VOLUMEN!$C$26),(1+SUP_VOLUMEN!$C$27)))*INDEX(SUP_C3_EXPANSION!$C$6:$F$6,MIN(4,COUNTIF(CAPA3_EXPANSION!$D$56:DA$56,"&gt;="&amp;35)))*CAPA3_EXPANSION!DA$36)</f>
        <v>2828.2799999999997</v>
      </c>
      <c r="DB42" s="88">
        <f>IF(COUNTIF(CAPA3_EXPANSION!$D$56:DB$56,"&gt;="&amp;35)=0,0,SUP_CONTROL!$C$8*IF($B42="V",1,IF($B42="D",(1+SUP_VOLUMEN!$C$26),(1+SUP_VOLUMEN!$C$27)))*INDEX(SUP_C3_EXPANSION!$C$6:$F$6,MIN(4,COUNTIF(CAPA3_EXPANSION!$D$56:DB$56,"&gt;="&amp;35)))*CAPA3_EXPANSION!DB$36)</f>
        <v>2828.2799999999997</v>
      </c>
      <c r="DC42" s="88">
        <f>IF(COUNTIF(CAPA3_EXPANSION!$D$56:DC$56,"&gt;="&amp;35)=0,0,SUP_CONTROL!$C$8*IF($B42="V",1,IF($B42="D",(1+SUP_VOLUMEN!$C$26),(1+SUP_VOLUMEN!$C$27)))*INDEX(SUP_C3_EXPANSION!$C$6:$F$6,MIN(4,COUNTIF(CAPA3_EXPANSION!$D$56:DC$56,"&gt;="&amp;35)))*CAPA3_EXPANSION!DC$36)</f>
        <v>2828.2799999999997</v>
      </c>
      <c r="DD42" s="88">
        <f>IF(COUNTIF(CAPA3_EXPANSION!$D$56:DD$56,"&gt;="&amp;35)=0,0,SUP_CONTROL!$C$8*IF($B42="V",1,IF($B42="D",(1+SUP_VOLUMEN!$C$26),(1+SUP_VOLUMEN!$C$27)))*INDEX(SUP_C3_EXPANSION!$C$6:$F$6,MIN(4,COUNTIF(CAPA3_EXPANSION!$D$56:DD$56,"&gt;="&amp;35)))*CAPA3_EXPANSION!DD$36)</f>
        <v>2828.2799999999997</v>
      </c>
      <c r="DE42" s="88">
        <f>IF(COUNTIF(CAPA3_EXPANSION!$D$56:DE$56,"&gt;="&amp;35)=0,0,SUP_CONTROL!$C$8*IF($B42="V",1,IF($B42="D",(1+SUP_VOLUMEN!$C$26),(1+SUP_VOLUMEN!$C$27)))*INDEX(SUP_C3_EXPANSION!$C$6:$F$6,MIN(4,COUNTIF(CAPA3_EXPANSION!$D$56:DE$56,"&gt;="&amp;35)))*CAPA3_EXPANSION!DE$36)</f>
        <v>2828.2799999999997</v>
      </c>
      <c r="DF42" s="88">
        <f>IF(COUNTIF(CAPA3_EXPANSION!$D$56:DF$56,"&gt;="&amp;35)=0,0,SUP_CONTROL!$C$8*IF($B42="V",1,IF($B42="D",(1+SUP_VOLUMEN!$C$26),(1+SUP_VOLUMEN!$C$27)))*INDEX(SUP_C3_EXPANSION!$C$6:$F$6,MIN(4,COUNTIF(CAPA3_EXPANSION!$D$56:DF$56,"&gt;="&amp;35)))*CAPA3_EXPANSION!DF$36)</f>
        <v>2828.2799999999997</v>
      </c>
      <c r="DG42" s="88">
        <f>IF(COUNTIF(CAPA3_EXPANSION!$D$56:DG$56,"&gt;="&amp;35)=0,0,SUP_CONTROL!$C$8*IF($B42="V",1,IF($B42="D",(1+SUP_VOLUMEN!$C$26),(1+SUP_VOLUMEN!$C$27)))*INDEX(SUP_C3_EXPANSION!$C$6:$F$6,MIN(4,COUNTIF(CAPA3_EXPANSION!$D$56:DG$56,"&gt;="&amp;35)))*CAPA3_EXPANSION!DG$36)</f>
        <v>2828.2799999999997</v>
      </c>
      <c r="DH42" s="88">
        <f>IF(COUNTIF(CAPA3_EXPANSION!$D$56:DH$56,"&gt;="&amp;35)=0,0,SUP_CONTROL!$C$8*IF($B42="V",1,IF($B42="D",(1+SUP_VOLUMEN!$C$26),(1+SUP_VOLUMEN!$C$27)))*INDEX(SUP_C3_EXPANSION!$C$6:$F$6,MIN(4,COUNTIF(CAPA3_EXPANSION!$D$56:DH$56,"&gt;="&amp;35)))*CAPA3_EXPANSION!DH$36)</f>
        <v>2828.2799999999997</v>
      </c>
      <c r="DI42" s="88">
        <f>IF(COUNTIF(CAPA3_EXPANSION!$D$56:DI$56,"&gt;="&amp;35)=0,0,SUP_CONTROL!$C$8*IF($B42="V",1,IF($B42="D",(1+SUP_VOLUMEN!$C$26),(1+SUP_VOLUMEN!$C$27)))*INDEX(SUP_C3_EXPANSION!$C$6:$F$6,MIN(4,COUNTIF(CAPA3_EXPANSION!$D$56:DI$56,"&gt;="&amp;35)))*CAPA3_EXPANSION!DI$36)</f>
        <v>2828.2799999999997</v>
      </c>
      <c r="DJ42" s="88">
        <f>IF(COUNTIF(CAPA3_EXPANSION!$D$56:DJ$56,"&gt;="&amp;35)=0,0,SUP_CONTROL!$C$8*IF($B42="V",1,IF($B42="D",(1+SUP_VOLUMEN!$C$26),(1+SUP_VOLUMEN!$C$27)))*INDEX(SUP_C3_EXPANSION!$C$6:$F$6,MIN(4,COUNTIF(CAPA3_EXPANSION!$D$56:DJ$56,"&gt;="&amp;35)))*CAPA3_EXPANSION!DJ$36)</f>
        <v>2828.2799999999997</v>
      </c>
      <c r="DK42" s="88">
        <f>IF(COUNTIF(CAPA3_EXPANSION!$D$56:DK$56,"&gt;="&amp;35)=0,0,SUP_CONTROL!$C$8*IF($B42="V",1,IF($B42="D",(1+SUP_VOLUMEN!$C$26),(1+SUP_VOLUMEN!$C$27)))*INDEX(SUP_C3_EXPANSION!$C$6:$F$6,MIN(4,COUNTIF(CAPA3_EXPANSION!$D$56:DK$56,"&gt;="&amp;35)))*CAPA3_EXPANSION!DK$36)</f>
        <v>2828.2799999999997</v>
      </c>
      <c r="DL42" s="88">
        <f>IF(COUNTIF(CAPA3_EXPANSION!$D$56:DL$56,"&gt;="&amp;35)=0,0,SUP_CONTROL!$C$8*IF($B42="V",1,IF($B42="D",(1+SUP_VOLUMEN!$C$26),(1+SUP_VOLUMEN!$C$27)))*INDEX(SUP_C3_EXPANSION!$C$6:$F$6,MIN(4,COUNTIF(CAPA3_EXPANSION!$D$56:DL$56,"&gt;="&amp;35)))*CAPA3_EXPANSION!DL$36)</f>
        <v>2828.2799999999997</v>
      </c>
      <c r="DM42" s="88">
        <f>IF(COUNTIF(CAPA3_EXPANSION!$D$56:DM$56,"&gt;="&amp;35)=0,0,SUP_CONTROL!$C$8*IF($B42="V",1,IF($B42="D",(1+SUP_VOLUMEN!$C$26),(1+SUP_VOLUMEN!$C$27)))*INDEX(SUP_C3_EXPANSION!$C$6:$F$6,MIN(4,COUNTIF(CAPA3_EXPANSION!$D$56:DM$56,"&gt;="&amp;35)))*CAPA3_EXPANSION!DM$36)</f>
        <v>2828.2799999999997</v>
      </c>
      <c r="DN42" s="88">
        <f>IF(COUNTIF(CAPA3_EXPANSION!$D$56:DN$56,"&gt;="&amp;35)=0,0,SUP_CONTROL!$C$8*IF($B42="V",1,IF($B42="D",(1+SUP_VOLUMEN!$C$26),(1+SUP_VOLUMEN!$C$27)))*INDEX(SUP_C3_EXPANSION!$C$6:$F$6,MIN(4,COUNTIF(CAPA3_EXPANSION!$D$56:DN$56,"&gt;="&amp;35)))*CAPA3_EXPANSION!DN$36)</f>
        <v>2828.2799999999997</v>
      </c>
      <c r="DO42" s="88">
        <f>IF(COUNTIF(CAPA3_EXPANSION!$D$56:DO$56,"&gt;="&amp;35)=0,0,SUP_CONTROL!$C$8*IF($B42="V",1,IF($B42="D",(1+SUP_VOLUMEN!$C$26),(1+SUP_VOLUMEN!$C$27)))*INDEX(SUP_C3_EXPANSION!$C$6:$F$6,MIN(4,COUNTIF(CAPA3_EXPANSION!$D$56:DO$56,"&gt;="&amp;35)))*CAPA3_EXPANSION!DO$36)</f>
        <v>2828.2799999999997</v>
      </c>
      <c r="DP42" s="88">
        <f>IF(COUNTIF(CAPA3_EXPANSION!$D$56:DP$56,"&gt;="&amp;35)=0,0,SUP_CONTROL!$C$8*IF($B42="V",1,IF($B42="D",(1+SUP_VOLUMEN!$C$26),(1+SUP_VOLUMEN!$C$27)))*INDEX(SUP_C3_EXPANSION!$C$6:$F$6,MIN(4,COUNTIF(CAPA3_EXPANSION!$D$56:DP$56,"&gt;="&amp;35)))*CAPA3_EXPANSION!DP$36)</f>
        <v>2828.2799999999997</v>
      </c>
      <c r="DQ42" s="88">
        <f>IF(COUNTIF(CAPA3_EXPANSION!$D$56:DQ$56,"&gt;="&amp;35)=0,0,SUP_CONTROL!$C$8*IF($B42="V",1,IF($B42="D",(1+SUP_VOLUMEN!$C$26),(1+SUP_VOLUMEN!$C$27)))*INDEX(SUP_C3_EXPANSION!$C$6:$F$6,MIN(4,COUNTIF(CAPA3_EXPANSION!$D$56:DQ$56,"&gt;="&amp;35)))*CAPA3_EXPANSION!DQ$36)</f>
        <v>2828.2799999999997</v>
      </c>
      <c r="DR42" s="88">
        <f>IF(COUNTIF(CAPA3_EXPANSION!$D$56:DR$56,"&gt;="&amp;35)=0,0,SUP_CONTROL!$C$8*IF($B42="V",1,IF($B42="D",(1+SUP_VOLUMEN!$C$26),(1+SUP_VOLUMEN!$C$27)))*INDEX(SUP_C3_EXPANSION!$C$6:$F$6,MIN(4,COUNTIF(CAPA3_EXPANSION!$D$56:DR$56,"&gt;="&amp;35)))*CAPA3_EXPANSION!DR$36)</f>
        <v>2828.2799999999997</v>
      </c>
      <c r="DS42" s="88">
        <f>IF(COUNTIF(CAPA3_EXPANSION!$D$56:DS$56,"&gt;="&amp;35)=0,0,SUP_CONTROL!$C$8*IF($B42="V",1,IF($B42="D",(1+SUP_VOLUMEN!$C$26),(1+SUP_VOLUMEN!$C$27)))*INDEX(SUP_C3_EXPANSION!$C$6:$F$6,MIN(4,COUNTIF(CAPA3_EXPANSION!$D$56:DS$56,"&gt;="&amp;35)))*CAPA3_EXPANSION!DS$36)</f>
        <v>2828.2799999999997</v>
      </c>
    </row>
    <row r="43" spans="1:123" ht="15" customHeight="1" x14ac:dyDescent="0.2">
      <c r="A43" s="88">
        <v>46</v>
      </c>
      <c r="B43" s="104" t="str">
        <f>SUP_C3_EXPANSION!B55</f>
        <v>V</v>
      </c>
      <c r="C43" s="73">
        <f>SUP_C3_EXPANSION!G55</f>
        <v>71</v>
      </c>
      <c r="D43" s="88">
        <f>IF(COUNTIF(CAPA3_EXPANSION!$D$56:D$56,"&gt;="&amp;36)=0,0,SUP_CONTROL!$C$8*IF($B43="V",1,IF($B43="D",(1+SUP_VOLUMEN!$C$26),(1+SUP_VOLUMEN!$C$27)))*INDEX(SUP_C3_EXPANSION!$C$6:$F$6,MIN(4,COUNTIF(CAPA3_EXPANSION!$D$56:D$56,"&gt;="&amp;36)))*CAPA3_EXPANSION!D$36)</f>
        <v>0</v>
      </c>
      <c r="E43" s="88">
        <f>IF(COUNTIF(CAPA3_EXPANSION!$D$56:E$56,"&gt;="&amp;36)=0,0,SUP_CONTROL!$C$8*IF($B43="V",1,IF($B43="D",(1+SUP_VOLUMEN!$C$26),(1+SUP_VOLUMEN!$C$27)))*INDEX(SUP_C3_EXPANSION!$C$6:$F$6,MIN(4,COUNTIF(CAPA3_EXPANSION!$D$56:E$56,"&gt;="&amp;36)))*CAPA3_EXPANSION!E$36)</f>
        <v>0</v>
      </c>
      <c r="F43" s="88">
        <f>IF(COUNTIF(CAPA3_EXPANSION!$D$56:F$56,"&gt;="&amp;36)=0,0,SUP_CONTROL!$C$8*IF($B43="V",1,IF($B43="D",(1+SUP_VOLUMEN!$C$26),(1+SUP_VOLUMEN!$C$27)))*INDEX(SUP_C3_EXPANSION!$C$6:$F$6,MIN(4,COUNTIF(CAPA3_EXPANSION!$D$56:F$56,"&gt;="&amp;36)))*CAPA3_EXPANSION!F$36)</f>
        <v>0</v>
      </c>
      <c r="G43" s="88">
        <f>IF(COUNTIF(CAPA3_EXPANSION!$D$56:G$56,"&gt;="&amp;36)=0,0,SUP_CONTROL!$C$8*IF($B43="V",1,IF($B43="D",(1+SUP_VOLUMEN!$C$26),(1+SUP_VOLUMEN!$C$27)))*INDEX(SUP_C3_EXPANSION!$C$6:$F$6,MIN(4,COUNTIF(CAPA3_EXPANSION!$D$56:G$56,"&gt;="&amp;36)))*CAPA3_EXPANSION!G$36)</f>
        <v>0</v>
      </c>
      <c r="H43" s="88">
        <f>IF(COUNTIF(CAPA3_EXPANSION!$D$56:H$56,"&gt;="&amp;36)=0,0,SUP_CONTROL!$C$8*IF($B43="V",1,IF($B43="D",(1+SUP_VOLUMEN!$C$26),(1+SUP_VOLUMEN!$C$27)))*INDEX(SUP_C3_EXPANSION!$C$6:$F$6,MIN(4,COUNTIF(CAPA3_EXPANSION!$D$56:H$56,"&gt;="&amp;36)))*CAPA3_EXPANSION!H$36)</f>
        <v>0</v>
      </c>
      <c r="I43" s="88">
        <f>IF(COUNTIF(CAPA3_EXPANSION!$D$56:I$56,"&gt;="&amp;36)=0,0,SUP_CONTROL!$C$8*IF($B43="V",1,IF($B43="D",(1+SUP_VOLUMEN!$C$26),(1+SUP_VOLUMEN!$C$27)))*INDEX(SUP_C3_EXPANSION!$C$6:$F$6,MIN(4,COUNTIF(CAPA3_EXPANSION!$D$56:I$56,"&gt;="&amp;36)))*CAPA3_EXPANSION!I$36)</f>
        <v>0</v>
      </c>
      <c r="J43" s="88">
        <f>IF(COUNTIF(CAPA3_EXPANSION!$D$56:J$56,"&gt;="&amp;36)=0,0,SUP_CONTROL!$C$8*IF($B43="V",1,IF($B43="D",(1+SUP_VOLUMEN!$C$26),(1+SUP_VOLUMEN!$C$27)))*INDEX(SUP_C3_EXPANSION!$C$6:$F$6,MIN(4,COUNTIF(CAPA3_EXPANSION!$D$56:J$56,"&gt;="&amp;36)))*CAPA3_EXPANSION!J$36)</f>
        <v>0</v>
      </c>
      <c r="K43" s="88">
        <f>IF(COUNTIF(CAPA3_EXPANSION!$D$56:K$56,"&gt;="&amp;36)=0,0,SUP_CONTROL!$C$8*IF($B43="V",1,IF($B43="D",(1+SUP_VOLUMEN!$C$26),(1+SUP_VOLUMEN!$C$27)))*INDEX(SUP_C3_EXPANSION!$C$6:$F$6,MIN(4,COUNTIF(CAPA3_EXPANSION!$D$56:K$56,"&gt;="&amp;36)))*CAPA3_EXPANSION!K$36)</f>
        <v>0</v>
      </c>
      <c r="L43" s="88">
        <f>IF(COUNTIF(CAPA3_EXPANSION!$D$56:L$56,"&gt;="&amp;36)=0,0,SUP_CONTROL!$C$8*IF($B43="V",1,IF($B43="D",(1+SUP_VOLUMEN!$C$26),(1+SUP_VOLUMEN!$C$27)))*INDEX(SUP_C3_EXPANSION!$C$6:$F$6,MIN(4,COUNTIF(CAPA3_EXPANSION!$D$56:L$56,"&gt;="&amp;36)))*CAPA3_EXPANSION!L$36)</f>
        <v>0</v>
      </c>
      <c r="M43" s="88">
        <f>IF(COUNTIF(CAPA3_EXPANSION!$D$56:M$56,"&gt;="&amp;36)=0,0,SUP_CONTROL!$C$8*IF($B43="V",1,IF($B43="D",(1+SUP_VOLUMEN!$C$26),(1+SUP_VOLUMEN!$C$27)))*INDEX(SUP_C3_EXPANSION!$C$6:$F$6,MIN(4,COUNTIF(CAPA3_EXPANSION!$D$56:M$56,"&gt;="&amp;36)))*CAPA3_EXPANSION!M$36)</f>
        <v>0</v>
      </c>
      <c r="N43" s="88">
        <f>IF(COUNTIF(CAPA3_EXPANSION!$D$56:N$56,"&gt;="&amp;36)=0,0,SUP_CONTROL!$C$8*IF($B43="V",1,IF($B43="D",(1+SUP_VOLUMEN!$C$26),(1+SUP_VOLUMEN!$C$27)))*INDEX(SUP_C3_EXPANSION!$C$6:$F$6,MIN(4,COUNTIF(CAPA3_EXPANSION!$D$56:N$56,"&gt;="&amp;36)))*CAPA3_EXPANSION!N$36)</f>
        <v>0</v>
      </c>
      <c r="O43" s="88">
        <f>IF(COUNTIF(CAPA3_EXPANSION!$D$56:O$56,"&gt;="&amp;36)=0,0,SUP_CONTROL!$C$8*IF($B43="V",1,IF($B43="D",(1+SUP_VOLUMEN!$C$26),(1+SUP_VOLUMEN!$C$27)))*INDEX(SUP_C3_EXPANSION!$C$6:$F$6,MIN(4,COUNTIF(CAPA3_EXPANSION!$D$56:O$56,"&gt;="&amp;36)))*CAPA3_EXPANSION!O$36)</f>
        <v>0</v>
      </c>
      <c r="P43" s="88">
        <f>IF(COUNTIF(CAPA3_EXPANSION!$D$56:P$56,"&gt;="&amp;36)=0,0,SUP_CONTROL!$C$8*IF($B43="V",1,IF($B43="D",(1+SUP_VOLUMEN!$C$26),(1+SUP_VOLUMEN!$C$27)))*INDEX(SUP_C3_EXPANSION!$C$6:$F$6,MIN(4,COUNTIF(CAPA3_EXPANSION!$D$56:P$56,"&gt;="&amp;36)))*CAPA3_EXPANSION!P$36)</f>
        <v>0</v>
      </c>
      <c r="Q43" s="88">
        <f>IF(COUNTIF(CAPA3_EXPANSION!$D$56:Q$56,"&gt;="&amp;36)=0,0,SUP_CONTROL!$C$8*IF($B43="V",1,IF($B43="D",(1+SUP_VOLUMEN!$C$26),(1+SUP_VOLUMEN!$C$27)))*INDEX(SUP_C3_EXPANSION!$C$6:$F$6,MIN(4,COUNTIF(CAPA3_EXPANSION!$D$56:Q$56,"&gt;="&amp;36)))*CAPA3_EXPANSION!Q$36)</f>
        <v>0</v>
      </c>
      <c r="R43" s="88">
        <f>IF(COUNTIF(CAPA3_EXPANSION!$D$56:R$56,"&gt;="&amp;36)=0,0,SUP_CONTROL!$C$8*IF($B43="V",1,IF($B43="D",(1+SUP_VOLUMEN!$C$26),(1+SUP_VOLUMEN!$C$27)))*INDEX(SUP_C3_EXPANSION!$C$6:$F$6,MIN(4,COUNTIF(CAPA3_EXPANSION!$D$56:R$56,"&gt;="&amp;36)))*CAPA3_EXPANSION!R$36)</f>
        <v>0</v>
      </c>
      <c r="S43" s="88">
        <f>IF(COUNTIF(CAPA3_EXPANSION!$D$56:S$56,"&gt;="&amp;36)=0,0,SUP_CONTROL!$C$8*IF($B43="V",1,IF($B43="D",(1+SUP_VOLUMEN!$C$26),(1+SUP_VOLUMEN!$C$27)))*INDEX(SUP_C3_EXPANSION!$C$6:$F$6,MIN(4,COUNTIF(CAPA3_EXPANSION!$D$56:S$56,"&gt;="&amp;36)))*CAPA3_EXPANSION!S$36)</f>
        <v>0</v>
      </c>
      <c r="T43" s="88">
        <f>IF(COUNTIF(CAPA3_EXPANSION!$D$56:T$56,"&gt;="&amp;36)=0,0,SUP_CONTROL!$C$8*IF($B43="V",1,IF($B43="D",(1+SUP_VOLUMEN!$C$26),(1+SUP_VOLUMEN!$C$27)))*INDEX(SUP_C3_EXPANSION!$C$6:$F$6,MIN(4,COUNTIF(CAPA3_EXPANSION!$D$56:T$56,"&gt;="&amp;36)))*CAPA3_EXPANSION!T$36)</f>
        <v>0</v>
      </c>
      <c r="U43" s="88">
        <f>IF(COUNTIF(CAPA3_EXPANSION!$D$56:U$56,"&gt;="&amp;36)=0,0,SUP_CONTROL!$C$8*IF($B43="V",1,IF($B43="D",(1+SUP_VOLUMEN!$C$26),(1+SUP_VOLUMEN!$C$27)))*INDEX(SUP_C3_EXPANSION!$C$6:$F$6,MIN(4,COUNTIF(CAPA3_EXPANSION!$D$56:U$56,"&gt;="&amp;36)))*CAPA3_EXPANSION!U$36)</f>
        <v>0</v>
      </c>
      <c r="V43" s="88">
        <f>IF(COUNTIF(CAPA3_EXPANSION!$D$56:V$56,"&gt;="&amp;36)=0,0,SUP_CONTROL!$C$8*IF($B43="V",1,IF($B43="D",(1+SUP_VOLUMEN!$C$26),(1+SUP_VOLUMEN!$C$27)))*INDEX(SUP_C3_EXPANSION!$C$6:$F$6,MIN(4,COUNTIF(CAPA3_EXPANSION!$D$56:V$56,"&gt;="&amp;36)))*CAPA3_EXPANSION!V$36)</f>
        <v>0</v>
      </c>
      <c r="W43" s="88">
        <f>IF(COUNTIF(CAPA3_EXPANSION!$D$56:W$56,"&gt;="&amp;36)=0,0,SUP_CONTROL!$C$8*IF($B43="V",1,IF($B43="D",(1+SUP_VOLUMEN!$C$26),(1+SUP_VOLUMEN!$C$27)))*INDEX(SUP_C3_EXPANSION!$C$6:$F$6,MIN(4,COUNTIF(CAPA3_EXPANSION!$D$56:W$56,"&gt;="&amp;36)))*CAPA3_EXPANSION!W$36)</f>
        <v>0</v>
      </c>
      <c r="X43" s="88">
        <f>IF(COUNTIF(CAPA3_EXPANSION!$D$56:X$56,"&gt;="&amp;36)=0,0,SUP_CONTROL!$C$8*IF($B43="V",1,IF($B43="D",(1+SUP_VOLUMEN!$C$26),(1+SUP_VOLUMEN!$C$27)))*INDEX(SUP_C3_EXPANSION!$C$6:$F$6,MIN(4,COUNTIF(CAPA3_EXPANSION!$D$56:X$56,"&gt;="&amp;36)))*CAPA3_EXPANSION!X$36)</f>
        <v>0</v>
      </c>
      <c r="Y43" s="88">
        <f>IF(COUNTIF(CAPA3_EXPANSION!$D$56:Y$56,"&gt;="&amp;36)=0,0,SUP_CONTROL!$C$8*IF($B43="V",1,IF($B43="D",(1+SUP_VOLUMEN!$C$26),(1+SUP_VOLUMEN!$C$27)))*INDEX(SUP_C3_EXPANSION!$C$6:$F$6,MIN(4,COUNTIF(CAPA3_EXPANSION!$D$56:Y$56,"&gt;="&amp;36)))*CAPA3_EXPANSION!Y$36)</f>
        <v>0</v>
      </c>
      <c r="Z43" s="88">
        <f>IF(COUNTIF(CAPA3_EXPANSION!$D$56:Z$56,"&gt;="&amp;36)=0,0,SUP_CONTROL!$C$8*IF($B43="V",1,IF($B43="D",(1+SUP_VOLUMEN!$C$26),(1+SUP_VOLUMEN!$C$27)))*INDEX(SUP_C3_EXPANSION!$C$6:$F$6,MIN(4,COUNTIF(CAPA3_EXPANSION!$D$56:Z$56,"&gt;="&amp;36)))*CAPA3_EXPANSION!Z$36)</f>
        <v>0</v>
      </c>
      <c r="AA43" s="88">
        <f>IF(COUNTIF(CAPA3_EXPANSION!$D$56:AA$56,"&gt;="&amp;36)=0,0,SUP_CONTROL!$C$8*IF($B43="V",1,IF($B43="D",(1+SUP_VOLUMEN!$C$26),(1+SUP_VOLUMEN!$C$27)))*INDEX(SUP_C3_EXPANSION!$C$6:$F$6,MIN(4,COUNTIF(CAPA3_EXPANSION!$D$56:AA$56,"&gt;="&amp;36)))*CAPA3_EXPANSION!AA$36)</f>
        <v>0</v>
      </c>
      <c r="AB43" s="88">
        <f>IF(COUNTIF(CAPA3_EXPANSION!$D$56:AB$56,"&gt;="&amp;36)=0,0,SUP_CONTROL!$C$8*IF($B43="V",1,IF($B43="D",(1+SUP_VOLUMEN!$C$26),(1+SUP_VOLUMEN!$C$27)))*INDEX(SUP_C3_EXPANSION!$C$6:$F$6,MIN(4,COUNTIF(CAPA3_EXPANSION!$D$56:AB$56,"&gt;="&amp;36)))*CAPA3_EXPANSION!AB$36)</f>
        <v>0</v>
      </c>
      <c r="AC43" s="88">
        <f>IF(COUNTIF(CAPA3_EXPANSION!$D$56:AC$56,"&gt;="&amp;36)=0,0,SUP_CONTROL!$C$8*IF($B43="V",1,IF($B43="D",(1+SUP_VOLUMEN!$C$26),(1+SUP_VOLUMEN!$C$27)))*INDEX(SUP_C3_EXPANSION!$C$6:$F$6,MIN(4,COUNTIF(CAPA3_EXPANSION!$D$56:AC$56,"&gt;="&amp;36)))*CAPA3_EXPANSION!AC$36)</f>
        <v>0</v>
      </c>
      <c r="AD43" s="88">
        <f>IF(COUNTIF(CAPA3_EXPANSION!$D$56:AD$56,"&gt;="&amp;36)=0,0,SUP_CONTROL!$C$8*IF($B43="V",1,IF($B43="D",(1+SUP_VOLUMEN!$C$26),(1+SUP_VOLUMEN!$C$27)))*INDEX(SUP_C3_EXPANSION!$C$6:$F$6,MIN(4,COUNTIF(CAPA3_EXPANSION!$D$56:AD$56,"&gt;="&amp;36)))*CAPA3_EXPANSION!AD$36)</f>
        <v>0</v>
      </c>
      <c r="AE43" s="88">
        <f>IF(COUNTIF(CAPA3_EXPANSION!$D$56:AE$56,"&gt;="&amp;36)=0,0,SUP_CONTROL!$C$8*IF($B43="V",1,IF($B43="D",(1+SUP_VOLUMEN!$C$26),(1+SUP_VOLUMEN!$C$27)))*INDEX(SUP_C3_EXPANSION!$C$6:$F$6,MIN(4,COUNTIF(CAPA3_EXPANSION!$D$56:AE$56,"&gt;="&amp;36)))*CAPA3_EXPANSION!AE$36)</f>
        <v>0</v>
      </c>
      <c r="AF43" s="88">
        <f>IF(COUNTIF(CAPA3_EXPANSION!$D$56:AF$56,"&gt;="&amp;36)=0,0,SUP_CONTROL!$C$8*IF($B43="V",1,IF($B43="D",(1+SUP_VOLUMEN!$C$26),(1+SUP_VOLUMEN!$C$27)))*INDEX(SUP_C3_EXPANSION!$C$6:$F$6,MIN(4,COUNTIF(CAPA3_EXPANSION!$D$56:AF$56,"&gt;="&amp;36)))*CAPA3_EXPANSION!AF$36)</f>
        <v>0</v>
      </c>
      <c r="AG43" s="88">
        <f>IF(COUNTIF(CAPA3_EXPANSION!$D$56:AG$56,"&gt;="&amp;36)=0,0,SUP_CONTROL!$C$8*IF($B43="V",1,IF($B43="D",(1+SUP_VOLUMEN!$C$26),(1+SUP_VOLUMEN!$C$27)))*INDEX(SUP_C3_EXPANSION!$C$6:$F$6,MIN(4,COUNTIF(CAPA3_EXPANSION!$D$56:AG$56,"&gt;="&amp;36)))*CAPA3_EXPANSION!AG$36)</f>
        <v>0</v>
      </c>
      <c r="AH43" s="88">
        <f>IF(COUNTIF(CAPA3_EXPANSION!$D$56:AH$56,"&gt;="&amp;36)=0,0,SUP_CONTROL!$C$8*IF($B43="V",1,IF($B43="D",(1+SUP_VOLUMEN!$C$26),(1+SUP_VOLUMEN!$C$27)))*INDEX(SUP_C3_EXPANSION!$C$6:$F$6,MIN(4,COUNTIF(CAPA3_EXPANSION!$D$56:AH$56,"&gt;="&amp;36)))*CAPA3_EXPANSION!AH$36)</f>
        <v>0</v>
      </c>
      <c r="AI43" s="88">
        <f>IF(COUNTIF(CAPA3_EXPANSION!$D$56:AI$56,"&gt;="&amp;36)=0,0,SUP_CONTROL!$C$8*IF($B43="V",1,IF($B43="D",(1+SUP_VOLUMEN!$C$26),(1+SUP_VOLUMEN!$C$27)))*INDEX(SUP_C3_EXPANSION!$C$6:$F$6,MIN(4,COUNTIF(CAPA3_EXPANSION!$D$56:AI$56,"&gt;="&amp;36)))*CAPA3_EXPANSION!AI$36)</f>
        <v>0</v>
      </c>
      <c r="AJ43" s="88">
        <f>IF(COUNTIF(CAPA3_EXPANSION!$D$56:AJ$56,"&gt;="&amp;36)=0,0,SUP_CONTROL!$C$8*IF($B43="V",1,IF($B43="D",(1+SUP_VOLUMEN!$C$26),(1+SUP_VOLUMEN!$C$27)))*INDEX(SUP_C3_EXPANSION!$C$6:$F$6,MIN(4,COUNTIF(CAPA3_EXPANSION!$D$56:AJ$56,"&gt;="&amp;36)))*CAPA3_EXPANSION!AJ$36)</f>
        <v>0</v>
      </c>
      <c r="AK43" s="88">
        <f>IF(COUNTIF(CAPA3_EXPANSION!$D$56:AK$56,"&gt;="&amp;36)=0,0,SUP_CONTROL!$C$8*IF($B43="V",1,IF($B43="D",(1+SUP_VOLUMEN!$C$26),(1+SUP_VOLUMEN!$C$27)))*INDEX(SUP_C3_EXPANSION!$C$6:$F$6,MIN(4,COUNTIF(CAPA3_EXPANSION!$D$56:AK$56,"&gt;="&amp;36)))*CAPA3_EXPANSION!AK$36)</f>
        <v>0</v>
      </c>
      <c r="AL43" s="88">
        <f>IF(COUNTIF(CAPA3_EXPANSION!$D$56:AL$56,"&gt;="&amp;36)=0,0,SUP_CONTROL!$C$8*IF($B43="V",1,IF($B43="D",(1+SUP_VOLUMEN!$C$26),(1+SUP_VOLUMEN!$C$27)))*INDEX(SUP_C3_EXPANSION!$C$6:$F$6,MIN(4,COUNTIF(CAPA3_EXPANSION!$D$56:AL$56,"&gt;="&amp;36)))*CAPA3_EXPANSION!AL$36)</f>
        <v>0</v>
      </c>
      <c r="AM43" s="88">
        <f>IF(COUNTIF(CAPA3_EXPANSION!$D$56:AM$56,"&gt;="&amp;36)=0,0,SUP_CONTROL!$C$8*IF($B43="V",1,IF($B43="D",(1+SUP_VOLUMEN!$C$26),(1+SUP_VOLUMEN!$C$27)))*INDEX(SUP_C3_EXPANSION!$C$6:$F$6,MIN(4,COUNTIF(CAPA3_EXPANSION!$D$56:AM$56,"&gt;="&amp;36)))*CAPA3_EXPANSION!AM$36)</f>
        <v>0</v>
      </c>
      <c r="AN43" s="88">
        <f>IF(COUNTIF(CAPA3_EXPANSION!$D$56:AN$56,"&gt;="&amp;36)=0,0,SUP_CONTROL!$C$8*IF($B43="V",1,IF($B43="D",(1+SUP_VOLUMEN!$C$26),(1+SUP_VOLUMEN!$C$27)))*INDEX(SUP_C3_EXPANSION!$C$6:$F$6,MIN(4,COUNTIF(CAPA3_EXPANSION!$D$56:AN$56,"&gt;="&amp;36)))*CAPA3_EXPANSION!AN$36)</f>
        <v>0</v>
      </c>
      <c r="AO43" s="88">
        <f>IF(COUNTIF(CAPA3_EXPANSION!$D$56:AO$56,"&gt;="&amp;36)=0,0,SUP_CONTROL!$C$8*IF($B43="V",1,IF($B43="D",(1+SUP_VOLUMEN!$C$26),(1+SUP_VOLUMEN!$C$27)))*INDEX(SUP_C3_EXPANSION!$C$6:$F$6,MIN(4,COUNTIF(CAPA3_EXPANSION!$D$56:AO$56,"&gt;="&amp;36)))*CAPA3_EXPANSION!AO$36)</f>
        <v>0</v>
      </c>
      <c r="AP43" s="88">
        <f>IF(COUNTIF(CAPA3_EXPANSION!$D$56:AP$56,"&gt;="&amp;36)=0,0,SUP_CONTROL!$C$8*IF($B43="V",1,IF($B43="D",(1+SUP_VOLUMEN!$C$26),(1+SUP_VOLUMEN!$C$27)))*INDEX(SUP_C3_EXPANSION!$C$6:$F$6,MIN(4,COUNTIF(CAPA3_EXPANSION!$D$56:AP$56,"&gt;="&amp;36)))*CAPA3_EXPANSION!AP$36)</f>
        <v>0</v>
      </c>
      <c r="AQ43" s="88">
        <f>IF(COUNTIF(CAPA3_EXPANSION!$D$56:AQ$56,"&gt;="&amp;36)=0,0,SUP_CONTROL!$C$8*IF($B43="V",1,IF($B43="D",(1+SUP_VOLUMEN!$C$26),(1+SUP_VOLUMEN!$C$27)))*INDEX(SUP_C3_EXPANSION!$C$6:$F$6,MIN(4,COUNTIF(CAPA3_EXPANSION!$D$56:AQ$56,"&gt;="&amp;36)))*CAPA3_EXPANSION!AQ$36)</f>
        <v>0</v>
      </c>
      <c r="AR43" s="88">
        <f>IF(COUNTIF(CAPA3_EXPANSION!$D$56:AR$56,"&gt;="&amp;36)=0,0,SUP_CONTROL!$C$8*IF($B43="V",1,IF($B43="D",(1+SUP_VOLUMEN!$C$26),(1+SUP_VOLUMEN!$C$27)))*INDEX(SUP_C3_EXPANSION!$C$6:$F$6,MIN(4,COUNTIF(CAPA3_EXPANSION!$D$56:AR$56,"&gt;="&amp;36)))*CAPA3_EXPANSION!AR$36)</f>
        <v>0</v>
      </c>
      <c r="AS43" s="88">
        <f>IF(COUNTIF(CAPA3_EXPANSION!$D$56:AS$56,"&gt;="&amp;36)=0,0,SUP_CONTROL!$C$8*IF($B43="V",1,IF($B43="D",(1+SUP_VOLUMEN!$C$26),(1+SUP_VOLUMEN!$C$27)))*INDEX(SUP_C3_EXPANSION!$C$6:$F$6,MIN(4,COUNTIF(CAPA3_EXPANSION!$D$56:AS$56,"&gt;="&amp;36)))*CAPA3_EXPANSION!AS$36)</f>
        <v>0</v>
      </c>
      <c r="AT43" s="88">
        <f>IF(COUNTIF(CAPA3_EXPANSION!$D$56:AT$56,"&gt;="&amp;36)=0,0,SUP_CONTROL!$C$8*IF($B43="V",1,IF($B43="D",(1+SUP_VOLUMEN!$C$26),(1+SUP_VOLUMEN!$C$27)))*INDEX(SUP_C3_EXPANSION!$C$6:$F$6,MIN(4,COUNTIF(CAPA3_EXPANSION!$D$56:AT$56,"&gt;="&amp;36)))*CAPA3_EXPANSION!AT$36)</f>
        <v>0</v>
      </c>
      <c r="AU43" s="88">
        <f>IF(COUNTIF(CAPA3_EXPANSION!$D$56:AU$56,"&gt;="&amp;36)=0,0,SUP_CONTROL!$C$8*IF($B43="V",1,IF($B43="D",(1+SUP_VOLUMEN!$C$26),(1+SUP_VOLUMEN!$C$27)))*INDEX(SUP_C3_EXPANSION!$C$6:$F$6,MIN(4,COUNTIF(CAPA3_EXPANSION!$D$56:AU$56,"&gt;="&amp;36)))*CAPA3_EXPANSION!AU$36)</f>
        <v>0</v>
      </c>
      <c r="AV43" s="88">
        <f>IF(COUNTIF(CAPA3_EXPANSION!$D$56:AV$56,"&gt;="&amp;36)=0,0,SUP_CONTROL!$C$8*IF($B43="V",1,IF($B43="D",(1+SUP_VOLUMEN!$C$26),(1+SUP_VOLUMEN!$C$27)))*INDEX(SUP_C3_EXPANSION!$C$6:$F$6,MIN(4,COUNTIF(CAPA3_EXPANSION!$D$56:AV$56,"&gt;="&amp;36)))*CAPA3_EXPANSION!AV$36)</f>
        <v>0</v>
      </c>
      <c r="AW43" s="88">
        <f>IF(COUNTIF(CAPA3_EXPANSION!$D$56:AW$56,"&gt;="&amp;36)=0,0,SUP_CONTROL!$C$8*IF($B43="V",1,IF($B43="D",(1+SUP_VOLUMEN!$C$26),(1+SUP_VOLUMEN!$C$27)))*INDEX(SUP_C3_EXPANSION!$C$6:$F$6,MIN(4,COUNTIF(CAPA3_EXPANSION!$D$56:AW$56,"&gt;="&amp;36)))*CAPA3_EXPANSION!AW$36)</f>
        <v>0</v>
      </c>
      <c r="AX43" s="88">
        <f>IF(COUNTIF(CAPA3_EXPANSION!$D$56:AX$56,"&gt;="&amp;36)=0,0,SUP_CONTROL!$C$8*IF($B43="V",1,IF($B43="D",(1+SUP_VOLUMEN!$C$26),(1+SUP_VOLUMEN!$C$27)))*INDEX(SUP_C3_EXPANSION!$C$6:$F$6,MIN(4,COUNTIF(CAPA3_EXPANSION!$D$56:AX$56,"&gt;="&amp;36)))*CAPA3_EXPANSION!AX$36)</f>
        <v>0</v>
      </c>
      <c r="AY43" s="88">
        <f>IF(COUNTIF(CAPA3_EXPANSION!$D$56:AY$56,"&gt;="&amp;36)=0,0,SUP_CONTROL!$C$8*IF($B43="V",1,IF($B43="D",(1+SUP_VOLUMEN!$C$26),(1+SUP_VOLUMEN!$C$27)))*INDEX(SUP_C3_EXPANSION!$C$6:$F$6,MIN(4,COUNTIF(CAPA3_EXPANSION!$D$56:AY$56,"&gt;="&amp;36)))*CAPA3_EXPANSION!AY$36)</f>
        <v>0</v>
      </c>
      <c r="AZ43" s="88">
        <f>IF(COUNTIF(CAPA3_EXPANSION!$D$56:AZ$56,"&gt;="&amp;36)=0,0,SUP_CONTROL!$C$8*IF($B43="V",1,IF($B43="D",(1+SUP_VOLUMEN!$C$26),(1+SUP_VOLUMEN!$C$27)))*INDEX(SUP_C3_EXPANSION!$C$6:$F$6,MIN(4,COUNTIF(CAPA3_EXPANSION!$D$56:AZ$56,"&gt;="&amp;36)))*CAPA3_EXPANSION!AZ$36)</f>
        <v>0</v>
      </c>
      <c r="BA43" s="88">
        <f>IF(COUNTIF(CAPA3_EXPANSION!$D$56:BA$56,"&gt;="&amp;36)=0,0,SUP_CONTROL!$C$8*IF($B43="V",1,IF($B43="D",(1+SUP_VOLUMEN!$C$26),(1+SUP_VOLUMEN!$C$27)))*INDEX(SUP_C3_EXPANSION!$C$6:$F$6,MIN(4,COUNTIF(CAPA3_EXPANSION!$D$56:BA$56,"&gt;="&amp;36)))*CAPA3_EXPANSION!BA$36)</f>
        <v>0</v>
      </c>
      <c r="BB43" s="88">
        <f>IF(COUNTIF(CAPA3_EXPANSION!$D$56:BB$56,"&gt;="&amp;36)=0,0,SUP_CONTROL!$C$8*IF($B43="V",1,IF($B43="D",(1+SUP_VOLUMEN!$C$26),(1+SUP_VOLUMEN!$C$27)))*INDEX(SUP_C3_EXPANSION!$C$6:$F$6,MIN(4,COUNTIF(CAPA3_EXPANSION!$D$56:BB$56,"&gt;="&amp;36)))*CAPA3_EXPANSION!BB$36)</f>
        <v>0</v>
      </c>
      <c r="BC43" s="88">
        <f>IF(COUNTIF(CAPA3_EXPANSION!$D$56:BC$56,"&gt;="&amp;36)=0,0,SUP_CONTROL!$C$8*IF($B43="V",1,IF($B43="D",(1+SUP_VOLUMEN!$C$26),(1+SUP_VOLUMEN!$C$27)))*INDEX(SUP_C3_EXPANSION!$C$6:$F$6,MIN(4,COUNTIF(CAPA3_EXPANSION!$D$56:BC$56,"&gt;="&amp;36)))*CAPA3_EXPANSION!BC$36)</f>
        <v>0</v>
      </c>
      <c r="BD43" s="88">
        <f>IF(COUNTIF(CAPA3_EXPANSION!$D$56:BD$56,"&gt;="&amp;36)=0,0,SUP_CONTROL!$C$8*IF($B43="V",1,IF($B43="D",(1+SUP_VOLUMEN!$C$26),(1+SUP_VOLUMEN!$C$27)))*INDEX(SUP_C3_EXPANSION!$C$6:$F$6,MIN(4,COUNTIF(CAPA3_EXPANSION!$D$56:BD$56,"&gt;="&amp;36)))*CAPA3_EXPANSION!BD$36)</f>
        <v>0</v>
      </c>
      <c r="BE43" s="88">
        <f>IF(COUNTIF(CAPA3_EXPANSION!$D$56:BE$56,"&gt;="&amp;36)=0,0,SUP_CONTROL!$C$8*IF($B43="V",1,IF($B43="D",(1+SUP_VOLUMEN!$C$26),(1+SUP_VOLUMEN!$C$27)))*INDEX(SUP_C3_EXPANSION!$C$6:$F$6,MIN(4,COUNTIF(CAPA3_EXPANSION!$D$56:BE$56,"&gt;="&amp;36)))*CAPA3_EXPANSION!BE$36)</f>
        <v>0</v>
      </c>
      <c r="BF43" s="88">
        <f>IF(COUNTIF(CAPA3_EXPANSION!$D$56:BF$56,"&gt;="&amp;36)=0,0,SUP_CONTROL!$C$8*IF($B43="V",1,IF($B43="D",(1+SUP_VOLUMEN!$C$26),(1+SUP_VOLUMEN!$C$27)))*INDEX(SUP_C3_EXPANSION!$C$6:$F$6,MIN(4,COUNTIF(CAPA3_EXPANSION!$D$56:BF$56,"&gt;="&amp;36)))*CAPA3_EXPANSION!BF$36)</f>
        <v>0</v>
      </c>
      <c r="BG43" s="88">
        <f>IF(COUNTIF(CAPA3_EXPANSION!$D$56:BG$56,"&gt;="&amp;36)=0,0,SUP_CONTROL!$C$8*IF($B43="V",1,IF($B43="D",(1+SUP_VOLUMEN!$C$26),(1+SUP_VOLUMEN!$C$27)))*INDEX(SUP_C3_EXPANSION!$C$6:$F$6,MIN(4,COUNTIF(CAPA3_EXPANSION!$D$56:BG$56,"&gt;="&amp;36)))*CAPA3_EXPANSION!BG$36)</f>
        <v>0</v>
      </c>
      <c r="BH43" s="88">
        <f>IF(COUNTIF(CAPA3_EXPANSION!$D$56:BH$56,"&gt;="&amp;36)=0,0,SUP_CONTROL!$C$8*IF($B43="V",1,IF($B43="D",(1+SUP_VOLUMEN!$C$26),(1+SUP_VOLUMEN!$C$27)))*INDEX(SUP_C3_EXPANSION!$C$6:$F$6,MIN(4,COUNTIF(CAPA3_EXPANSION!$D$56:BH$56,"&gt;="&amp;36)))*CAPA3_EXPANSION!BH$36)</f>
        <v>0</v>
      </c>
      <c r="BI43" s="88">
        <f>IF(COUNTIF(CAPA3_EXPANSION!$D$56:BI$56,"&gt;="&amp;36)=0,0,SUP_CONTROL!$C$8*IF($B43="V",1,IF($B43="D",(1+SUP_VOLUMEN!$C$26),(1+SUP_VOLUMEN!$C$27)))*INDEX(SUP_C3_EXPANSION!$C$6:$F$6,MIN(4,COUNTIF(CAPA3_EXPANSION!$D$56:BI$56,"&gt;="&amp;36)))*CAPA3_EXPANSION!BI$36)</f>
        <v>0</v>
      </c>
      <c r="BJ43" s="88">
        <f>IF(COUNTIF(CAPA3_EXPANSION!$D$56:BJ$56,"&gt;="&amp;36)=0,0,SUP_CONTROL!$C$8*IF($B43="V",1,IF($B43="D",(1+SUP_VOLUMEN!$C$26),(1+SUP_VOLUMEN!$C$27)))*INDEX(SUP_C3_EXPANSION!$C$6:$F$6,MIN(4,COUNTIF(CAPA3_EXPANSION!$D$56:BJ$56,"&gt;="&amp;36)))*CAPA3_EXPANSION!BJ$36)</f>
        <v>0</v>
      </c>
      <c r="BK43" s="88">
        <f>IF(COUNTIF(CAPA3_EXPANSION!$D$56:BK$56,"&gt;="&amp;36)=0,0,SUP_CONTROL!$C$8*IF($B43="V",1,IF($B43="D",(1+SUP_VOLUMEN!$C$26),(1+SUP_VOLUMEN!$C$27)))*INDEX(SUP_C3_EXPANSION!$C$6:$F$6,MIN(4,COUNTIF(CAPA3_EXPANSION!$D$56:BK$56,"&gt;="&amp;36)))*CAPA3_EXPANSION!BK$36)</f>
        <v>0</v>
      </c>
      <c r="BL43" s="88">
        <f>IF(COUNTIF(CAPA3_EXPANSION!$D$56:BL$56,"&gt;="&amp;36)=0,0,SUP_CONTROL!$C$8*IF($B43="V",1,IF($B43="D",(1+SUP_VOLUMEN!$C$26),(1+SUP_VOLUMEN!$C$27)))*INDEX(SUP_C3_EXPANSION!$C$6:$F$6,MIN(4,COUNTIF(CAPA3_EXPANSION!$D$56:BL$56,"&gt;="&amp;36)))*CAPA3_EXPANSION!BL$36)</f>
        <v>0</v>
      </c>
      <c r="BM43" s="88">
        <f>IF(COUNTIF(CAPA3_EXPANSION!$D$56:BM$56,"&gt;="&amp;36)=0,0,SUP_CONTROL!$C$8*IF($B43="V",1,IF($B43="D",(1+SUP_VOLUMEN!$C$26),(1+SUP_VOLUMEN!$C$27)))*INDEX(SUP_C3_EXPANSION!$C$6:$F$6,MIN(4,COUNTIF(CAPA3_EXPANSION!$D$56:BM$56,"&gt;="&amp;36)))*CAPA3_EXPANSION!BM$36)</f>
        <v>0</v>
      </c>
      <c r="BN43" s="88">
        <f>IF(COUNTIF(CAPA3_EXPANSION!$D$56:BN$56,"&gt;="&amp;36)=0,0,SUP_CONTROL!$C$8*IF($B43="V",1,IF($B43="D",(1+SUP_VOLUMEN!$C$26),(1+SUP_VOLUMEN!$C$27)))*INDEX(SUP_C3_EXPANSION!$C$6:$F$6,MIN(4,COUNTIF(CAPA3_EXPANSION!$D$56:BN$56,"&gt;="&amp;36)))*CAPA3_EXPANSION!BN$36)</f>
        <v>0</v>
      </c>
      <c r="BO43" s="88">
        <f>IF(COUNTIF(CAPA3_EXPANSION!$D$56:BO$56,"&gt;="&amp;36)=0,0,SUP_CONTROL!$C$8*IF($B43="V",1,IF($B43="D",(1+SUP_VOLUMEN!$C$26),(1+SUP_VOLUMEN!$C$27)))*INDEX(SUP_C3_EXPANSION!$C$6:$F$6,MIN(4,COUNTIF(CAPA3_EXPANSION!$D$56:BO$56,"&gt;="&amp;36)))*CAPA3_EXPANSION!BO$36)</f>
        <v>0</v>
      </c>
      <c r="BP43" s="88">
        <f>IF(COUNTIF(CAPA3_EXPANSION!$D$56:BP$56,"&gt;="&amp;36)=0,0,SUP_CONTROL!$C$8*IF($B43="V",1,IF($B43="D",(1+SUP_VOLUMEN!$C$26),(1+SUP_VOLUMEN!$C$27)))*INDEX(SUP_C3_EXPANSION!$C$6:$F$6,MIN(4,COUNTIF(CAPA3_EXPANSION!$D$56:BP$56,"&gt;="&amp;36)))*CAPA3_EXPANSION!BP$36)</f>
        <v>0</v>
      </c>
      <c r="BQ43" s="88">
        <f>IF(COUNTIF(CAPA3_EXPANSION!$D$56:BQ$56,"&gt;="&amp;36)=0,0,SUP_CONTROL!$C$8*IF($B43="V",1,IF($B43="D",(1+SUP_VOLUMEN!$C$26),(1+SUP_VOLUMEN!$C$27)))*INDEX(SUP_C3_EXPANSION!$C$6:$F$6,MIN(4,COUNTIF(CAPA3_EXPANSION!$D$56:BQ$56,"&gt;="&amp;36)))*CAPA3_EXPANSION!BQ$36)</f>
        <v>0</v>
      </c>
      <c r="BR43" s="88">
        <f>IF(COUNTIF(CAPA3_EXPANSION!$D$56:BR$56,"&gt;="&amp;36)=0,0,SUP_CONTROL!$C$8*IF($B43="V",1,IF($B43="D",(1+SUP_VOLUMEN!$C$26),(1+SUP_VOLUMEN!$C$27)))*INDEX(SUP_C3_EXPANSION!$C$6:$F$6,MIN(4,COUNTIF(CAPA3_EXPANSION!$D$56:BR$56,"&gt;="&amp;36)))*CAPA3_EXPANSION!BR$36)</f>
        <v>0</v>
      </c>
      <c r="BS43" s="88">
        <f>IF(COUNTIF(CAPA3_EXPANSION!$D$56:BS$56,"&gt;="&amp;36)=0,0,SUP_CONTROL!$C$8*IF($B43="V",1,IF($B43="D",(1+SUP_VOLUMEN!$C$26),(1+SUP_VOLUMEN!$C$27)))*INDEX(SUP_C3_EXPANSION!$C$6:$F$6,MIN(4,COUNTIF(CAPA3_EXPANSION!$D$56:BS$56,"&gt;="&amp;36)))*CAPA3_EXPANSION!BS$36)</f>
        <v>0</v>
      </c>
      <c r="BT43" s="88">
        <f>IF(COUNTIF(CAPA3_EXPANSION!$D$56:BT$56,"&gt;="&amp;36)=0,0,SUP_CONTROL!$C$8*IF($B43="V",1,IF($B43="D",(1+SUP_VOLUMEN!$C$26),(1+SUP_VOLUMEN!$C$27)))*INDEX(SUP_C3_EXPANSION!$C$6:$F$6,MIN(4,COUNTIF(CAPA3_EXPANSION!$D$56:BT$56,"&gt;="&amp;36)))*CAPA3_EXPANSION!BT$36)</f>
        <v>0</v>
      </c>
      <c r="BU43" s="88">
        <f>IF(COUNTIF(CAPA3_EXPANSION!$D$56:BU$56,"&gt;="&amp;36)=0,0,SUP_CONTROL!$C$8*IF($B43="V",1,IF($B43="D",(1+SUP_VOLUMEN!$C$26),(1+SUP_VOLUMEN!$C$27)))*INDEX(SUP_C3_EXPANSION!$C$6:$F$6,MIN(4,COUNTIF(CAPA3_EXPANSION!$D$56:BU$56,"&gt;="&amp;36)))*CAPA3_EXPANSION!BU$36)</f>
        <v>0</v>
      </c>
      <c r="BV43" s="88">
        <f>IF(COUNTIF(CAPA3_EXPANSION!$D$56:BV$56,"&gt;="&amp;36)=0,0,SUP_CONTROL!$C$8*IF($B43="V",1,IF($B43="D",(1+SUP_VOLUMEN!$C$26),(1+SUP_VOLUMEN!$C$27)))*INDEX(SUP_C3_EXPANSION!$C$6:$F$6,MIN(4,COUNTIF(CAPA3_EXPANSION!$D$56:BV$56,"&gt;="&amp;36)))*CAPA3_EXPANSION!BV$36)</f>
        <v>0</v>
      </c>
      <c r="BW43" s="88">
        <f>IF(COUNTIF(CAPA3_EXPANSION!$D$56:BW$56,"&gt;="&amp;36)=0,0,SUP_CONTROL!$C$8*IF($B43="V",1,IF($B43="D",(1+SUP_VOLUMEN!$C$26),(1+SUP_VOLUMEN!$C$27)))*INDEX(SUP_C3_EXPANSION!$C$6:$F$6,MIN(4,COUNTIF(CAPA3_EXPANSION!$D$56:BW$56,"&gt;="&amp;36)))*CAPA3_EXPANSION!BW$36)</f>
        <v>0</v>
      </c>
      <c r="BX43" s="88">
        <f>IF(COUNTIF(CAPA3_EXPANSION!$D$56:BX$56,"&gt;="&amp;36)=0,0,SUP_CONTROL!$C$8*IF($B43="V",1,IF($B43="D",(1+SUP_VOLUMEN!$C$26),(1+SUP_VOLUMEN!$C$27)))*INDEX(SUP_C3_EXPANSION!$C$6:$F$6,MIN(4,COUNTIF(CAPA3_EXPANSION!$D$56:BX$56,"&gt;="&amp;36)))*CAPA3_EXPANSION!BX$36)</f>
        <v>0</v>
      </c>
      <c r="BY43" s="88">
        <f>IF(COUNTIF(CAPA3_EXPANSION!$D$56:BY$56,"&gt;="&amp;36)=0,0,SUP_CONTROL!$C$8*IF($B43="V",1,IF($B43="D",(1+SUP_VOLUMEN!$C$26),(1+SUP_VOLUMEN!$C$27)))*INDEX(SUP_C3_EXPANSION!$C$6:$F$6,MIN(4,COUNTIF(CAPA3_EXPANSION!$D$56:BY$56,"&gt;="&amp;36)))*CAPA3_EXPANSION!BY$36)</f>
        <v>1860.2675000000002</v>
      </c>
      <c r="BZ43" s="88">
        <f>IF(COUNTIF(CAPA3_EXPANSION!$D$56:BZ$56,"&gt;="&amp;36)=0,0,SUP_CONTROL!$C$8*IF($B43="V",1,IF($B43="D",(1+SUP_VOLUMEN!$C$26),(1+SUP_VOLUMEN!$C$27)))*INDEX(SUP_C3_EXPANSION!$C$6:$F$6,MIN(4,COUNTIF(CAPA3_EXPANSION!$D$56:BZ$56,"&gt;="&amp;36)))*CAPA3_EXPANSION!BZ$36)</f>
        <v>2262.6240000000003</v>
      </c>
      <c r="CA43" s="88">
        <f>IF(COUNTIF(CAPA3_EXPANSION!$D$56:CA$56,"&gt;="&amp;36)=0,0,SUP_CONTROL!$C$8*IF($B43="V",1,IF($B43="D",(1+SUP_VOLUMEN!$C$26),(1+SUP_VOLUMEN!$C$27)))*INDEX(SUP_C3_EXPANSION!$C$6:$F$6,MIN(4,COUNTIF(CAPA3_EXPANSION!$D$56:CA$56,"&gt;="&amp;36)))*CAPA3_EXPANSION!CA$36)</f>
        <v>2545.4520000000002</v>
      </c>
      <c r="CB43" s="88">
        <f>IF(COUNTIF(CAPA3_EXPANSION!$D$56:CB$56,"&gt;="&amp;36)=0,0,SUP_CONTROL!$C$8*IF($B43="V",1,IF($B43="D",(1+SUP_VOLUMEN!$C$26),(1+SUP_VOLUMEN!$C$27)))*INDEX(SUP_C3_EXPANSION!$C$6:$F$6,MIN(4,COUNTIF(CAPA3_EXPANSION!$D$56:CB$56,"&gt;="&amp;36)))*CAPA3_EXPANSION!CB$36)</f>
        <v>2828.2799999999997</v>
      </c>
      <c r="CC43" s="88">
        <f>IF(COUNTIF(CAPA3_EXPANSION!$D$56:CC$56,"&gt;="&amp;36)=0,0,SUP_CONTROL!$C$8*IF($B43="V",1,IF($B43="D",(1+SUP_VOLUMEN!$C$26),(1+SUP_VOLUMEN!$C$27)))*INDEX(SUP_C3_EXPANSION!$C$6:$F$6,MIN(4,COUNTIF(CAPA3_EXPANSION!$D$56:CC$56,"&gt;="&amp;36)))*CAPA3_EXPANSION!CC$36)</f>
        <v>2828.2799999999997</v>
      </c>
      <c r="CD43" s="88">
        <f>IF(COUNTIF(CAPA3_EXPANSION!$D$56:CD$56,"&gt;="&amp;36)=0,0,SUP_CONTROL!$C$8*IF($B43="V",1,IF($B43="D",(1+SUP_VOLUMEN!$C$26),(1+SUP_VOLUMEN!$C$27)))*INDEX(SUP_C3_EXPANSION!$C$6:$F$6,MIN(4,COUNTIF(CAPA3_EXPANSION!$D$56:CD$56,"&gt;="&amp;36)))*CAPA3_EXPANSION!CD$36)</f>
        <v>2828.2799999999997</v>
      </c>
      <c r="CE43" s="88">
        <f>IF(COUNTIF(CAPA3_EXPANSION!$D$56:CE$56,"&gt;="&amp;36)=0,0,SUP_CONTROL!$C$8*IF($B43="V",1,IF($B43="D",(1+SUP_VOLUMEN!$C$26),(1+SUP_VOLUMEN!$C$27)))*INDEX(SUP_C3_EXPANSION!$C$6:$F$6,MIN(4,COUNTIF(CAPA3_EXPANSION!$D$56:CE$56,"&gt;="&amp;36)))*CAPA3_EXPANSION!CE$36)</f>
        <v>2828.2799999999997</v>
      </c>
      <c r="CF43" s="88">
        <f>IF(COUNTIF(CAPA3_EXPANSION!$D$56:CF$56,"&gt;="&amp;36)=0,0,SUP_CONTROL!$C$8*IF($B43="V",1,IF($B43="D",(1+SUP_VOLUMEN!$C$26),(1+SUP_VOLUMEN!$C$27)))*INDEX(SUP_C3_EXPANSION!$C$6:$F$6,MIN(4,COUNTIF(CAPA3_EXPANSION!$D$56:CF$56,"&gt;="&amp;36)))*CAPA3_EXPANSION!CF$36)</f>
        <v>2828.2799999999997</v>
      </c>
      <c r="CG43" s="88">
        <f>IF(COUNTIF(CAPA3_EXPANSION!$D$56:CG$56,"&gt;="&amp;36)=0,0,SUP_CONTROL!$C$8*IF($B43="V",1,IF($B43="D",(1+SUP_VOLUMEN!$C$26),(1+SUP_VOLUMEN!$C$27)))*INDEX(SUP_C3_EXPANSION!$C$6:$F$6,MIN(4,COUNTIF(CAPA3_EXPANSION!$D$56:CG$56,"&gt;="&amp;36)))*CAPA3_EXPANSION!CG$36)</f>
        <v>2828.2799999999997</v>
      </c>
      <c r="CH43" s="88">
        <f>IF(COUNTIF(CAPA3_EXPANSION!$D$56:CH$56,"&gt;="&amp;36)=0,0,SUP_CONTROL!$C$8*IF($B43="V",1,IF($B43="D",(1+SUP_VOLUMEN!$C$26),(1+SUP_VOLUMEN!$C$27)))*INDEX(SUP_C3_EXPANSION!$C$6:$F$6,MIN(4,COUNTIF(CAPA3_EXPANSION!$D$56:CH$56,"&gt;="&amp;36)))*CAPA3_EXPANSION!CH$36)</f>
        <v>2828.2799999999997</v>
      </c>
      <c r="CI43" s="88">
        <f>IF(COUNTIF(CAPA3_EXPANSION!$D$56:CI$56,"&gt;="&amp;36)=0,0,SUP_CONTROL!$C$8*IF($B43="V",1,IF($B43="D",(1+SUP_VOLUMEN!$C$26),(1+SUP_VOLUMEN!$C$27)))*INDEX(SUP_C3_EXPANSION!$C$6:$F$6,MIN(4,COUNTIF(CAPA3_EXPANSION!$D$56:CI$56,"&gt;="&amp;36)))*CAPA3_EXPANSION!CI$36)</f>
        <v>2828.2799999999997</v>
      </c>
      <c r="CJ43" s="88">
        <f>IF(COUNTIF(CAPA3_EXPANSION!$D$56:CJ$56,"&gt;="&amp;36)=0,0,SUP_CONTROL!$C$8*IF($B43="V",1,IF($B43="D",(1+SUP_VOLUMEN!$C$26),(1+SUP_VOLUMEN!$C$27)))*INDEX(SUP_C3_EXPANSION!$C$6:$F$6,MIN(4,COUNTIF(CAPA3_EXPANSION!$D$56:CJ$56,"&gt;="&amp;36)))*CAPA3_EXPANSION!CJ$36)</f>
        <v>2828.2799999999997</v>
      </c>
      <c r="CK43" s="88">
        <f>IF(COUNTIF(CAPA3_EXPANSION!$D$56:CK$56,"&gt;="&amp;36)=0,0,SUP_CONTROL!$C$8*IF($B43="V",1,IF($B43="D",(1+SUP_VOLUMEN!$C$26),(1+SUP_VOLUMEN!$C$27)))*INDEX(SUP_C3_EXPANSION!$C$6:$F$6,MIN(4,COUNTIF(CAPA3_EXPANSION!$D$56:CK$56,"&gt;="&amp;36)))*CAPA3_EXPANSION!CK$36)</f>
        <v>2828.2799999999997</v>
      </c>
      <c r="CL43" s="88">
        <f>IF(COUNTIF(CAPA3_EXPANSION!$D$56:CL$56,"&gt;="&amp;36)=0,0,SUP_CONTROL!$C$8*IF($B43="V",1,IF($B43="D",(1+SUP_VOLUMEN!$C$26),(1+SUP_VOLUMEN!$C$27)))*INDEX(SUP_C3_EXPANSION!$C$6:$F$6,MIN(4,COUNTIF(CAPA3_EXPANSION!$D$56:CL$56,"&gt;="&amp;36)))*CAPA3_EXPANSION!CL$36)</f>
        <v>2828.2799999999997</v>
      </c>
      <c r="CM43" s="88">
        <f>IF(COUNTIF(CAPA3_EXPANSION!$D$56:CM$56,"&gt;="&amp;36)=0,0,SUP_CONTROL!$C$8*IF($B43="V",1,IF($B43="D",(1+SUP_VOLUMEN!$C$26),(1+SUP_VOLUMEN!$C$27)))*INDEX(SUP_C3_EXPANSION!$C$6:$F$6,MIN(4,COUNTIF(CAPA3_EXPANSION!$D$56:CM$56,"&gt;="&amp;36)))*CAPA3_EXPANSION!CM$36)</f>
        <v>2828.2799999999997</v>
      </c>
      <c r="CN43" s="88">
        <f>IF(COUNTIF(CAPA3_EXPANSION!$D$56:CN$56,"&gt;="&amp;36)=0,0,SUP_CONTROL!$C$8*IF($B43="V",1,IF($B43="D",(1+SUP_VOLUMEN!$C$26),(1+SUP_VOLUMEN!$C$27)))*INDEX(SUP_C3_EXPANSION!$C$6:$F$6,MIN(4,COUNTIF(CAPA3_EXPANSION!$D$56:CN$56,"&gt;="&amp;36)))*CAPA3_EXPANSION!CN$36)</f>
        <v>2828.2799999999997</v>
      </c>
      <c r="CO43" s="88">
        <f>IF(COUNTIF(CAPA3_EXPANSION!$D$56:CO$56,"&gt;="&amp;36)=0,0,SUP_CONTROL!$C$8*IF($B43="V",1,IF($B43="D",(1+SUP_VOLUMEN!$C$26),(1+SUP_VOLUMEN!$C$27)))*INDEX(SUP_C3_EXPANSION!$C$6:$F$6,MIN(4,COUNTIF(CAPA3_EXPANSION!$D$56:CO$56,"&gt;="&amp;36)))*CAPA3_EXPANSION!CO$36)</f>
        <v>2828.2799999999997</v>
      </c>
      <c r="CP43" s="88">
        <f>IF(COUNTIF(CAPA3_EXPANSION!$D$56:CP$56,"&gt;="&amp;36)=0,0,SUP_CONTROL!$C$8*IF($B43="V",1,IF($B43="D",(1+SUP_VOLUMEN!$C$26),(1+SUP_VOLUMEN!$C$27)))*INDEX(SUP_C3_EXPANSION!$C$6:$F$6,MIN(4,COUNTIF(CAPA3_EXPANSION!$D$56:CP$56,"&gt;="&amp;36)))*CAPA3_EXPANSION!CP$36)</f>
        <v>2828.2799999999997</v>
      </c>
      <c r="CQ43" s="88">
        <f>IF(COUNTIF(CAPA3_EXPANSION!$D$56:CQ$56,"&gt;="&amp;36)=0,0,SUP_CONTROL!$C$8*IF($B43="V",1,IF($B43="D",(1+SUP_VOLUMEN!$C$26),(1+SUP_VOLUMEN!$C$27)))*INDEX(SUP_C3_EXPANSION!$C$6:$F$6,MIN(4,COUNTIF(CAPA3_EXPANSION!$D$56:CQ$56,"&gt;="&amp;36)))*CAPA3_EXPANSION!CQ$36)</f>
        <v>2828.2799999999997</v>
      </c>
      <c r="CR43" s="88">
        <f>IF(COUNTIF(CAPA3_EXPANSION!$D$56:CR$56,"&gt;="&amp;36)=0,0,SUP_CONTROL!$C$8*IF($B43="V",1,IF($B43="D",(1+SUP_VOLUMEN!$C$26),(1+SUP_VOLUMEN!$C$27)))*INDEX(SUP_C3_EXPANSION!$C$6:$F$6,MIN(4,COUNTIF(CAPA3_EXPANSION!$D$56:CR$56,"&gt;="&amp;36)))*CAPA3_EXPANSION!CR$36)</f>
        <v>2828.2799999999997</v>
      </c>
      <c r="CS43" s="88">
        <f>IF(COUNTIF(CAPA3_EXPANSION!$D$56:CS$56,"&gt;="&amp;36)=0,0,SUP_CONTROL!$C$8*IF($B43="V",1,IF($B43="D",(1+SUP_VOLUMEN!$C$26),(1+SUP_VOLUMEN!$C$27)))*INDEX(SUP_C3_EXPANSION!$C$6:$F$6,MIN(4,COUNTIF(CAPA3_EXPANSION!$D$56:CS$56,"&gt;="&amp;36)))*CAPA3_EXPANSION!CS$36)</f>
        <v>2828.2799999999997</v>
      </c>
      <c r="CT43" s="88">
        <f>IF(COUNTIF(CAPA3_EXPANSION!$D$56:CT$56,"&gt;="&amp;36)=0,0,SUP_CONTROL!$C$8*IF($B43="V",1,IF($B43="D",(1+SUP_VOLUMEN!$C$26),(1+SUP_VOLUMEN!$C$27)))*INDEX(SUP_C3_EXPANSION!$C$6:$F$6,MIN(4,COUNTIF(CAPA3_EXPANSION!$D$56:CT$56,"&gt;="&amp;36)))*CAPA3_EXPANSION!CT$36)</f>
        <v>2828.2799999999997</v>
      </c>
      <c r="CU43" s="88">
        <f>IF(COUNTIF(CAPA3_EXPANSION!$D$56:CU$56,"&gt;="&amp;36)=0,0,SUP_CONTROL!$C$8*IF($B43="V",1,IF($B43="D",(1+SUP_VOLUMEN!$C$26),(1+SUP_VOLUMEN!$C$27)))*INDEX(SUP_C3_EXPANSION!$C$6:$F$6,MIN(4,COUNTIF(CAPA3_EXPANSION!$D$56:CU$56,"&gt;="&amp;36)))*CAPA3_EXPANSION!CU$36)</f>
        <v>2828.2799999999997</v>
      </c>
      <c r="CV43" s="88">
        <f>IF(COUNTIF(CAPA3_EXPANSION!$D$56:CV$56,"&gt;="&amp;36)=0,0,SUP_CONTROL!$C$8*IF($B43="V",1,IF($B43="D",(1+SUP_VOLUMEN!$C$26),(1+SUP_VOLUMEN!$C$27)))*INDEX(SUP_C3_EXPANSION!$C$6:$F$6,MIN(4,COUNTIF(CAPA3_EXPANSION!$D$56:CV$56,"&gt;="&amp;36)))*CAPA3_EXPANSION!CV$36)</f>
        <v>2828.2799999999997</v>
      </c>
      <c r="CW43" s="88">
        <f>IF(COUNTIF(CAPA3_EXPANSION!$D$56:CW$56,"&gt;="&amp;36)=0,0,SUP_CONTROL!$C$8*IF($B43="V",1,IF($B43="D",(1+SUP_VOLUMEN!$C$26),(1+SUP_VOLUMEN!$C$27)))*INDEX(SUP_C3_EXPANSION!$C$6:$F$6,MIN(4,COUNTIF(CAPA3_EXPANSION!$D$56:CW$56,"&gt;="&amp;36)))*CAPA3_EXPANSION!CW$36)</f>
        <v>2828.2799999999997</v>
      </c>
      <c r="CX43" s="88">
        <f>IF(COUNTIF(CAPA3_EXPANSION!$D$56:CX$56,"&gt;="&amp;36)=0,0,SUP_CONTROL!$C$8*IF($B43="V",1,IF($B43="D",(1+SUP_VOLUMEN!$C$26),(1+SUP_VOLUMEN!$C$27)))*INDEX(SUP_C3_EXPANSION!$C$6:$F$6,MIN(4,COUNTIF(CAPA3_EXPANSION!$D$56:CX$56,"&gt;="&amp;36)))*CAPA3_EXPANSION!CX$36)</f>
        <v>2828.2799999999997</v>
      </c>
      <c r="CY43" s="88">
        <f>IF(COUNTIF(CAPA3_EXPANSION!$D$56:CY$56,"&gt;="&amp;36)=0,0,SUP_CONTROL!$C$8*IF($B43="V",1,IF($B43="D",(1+SUP_VOLUMEN!$C$26),(1+SUP_VOLUMEN!$C$27)))*INDEX(SUP_C3_EXPANSION!$C$6:$F$6,MIN(4,COUNTIF(CAPA3_EXPANSION!$D$56:CY$56,"&gt;="&amp;36)))*CAPA3_EXPANSION!CY$36)</f>
        <v>2828.2799999999997</v>
      </c>
      <c r="CZ43" s="88">
        <f>IF(COUNTIF(CAPA3_EXPANSION!$D$56:CZ$56,"&gt;="&amp;36)=0,0,SUP_CONTROL!$C$8*IF($B43="V",1,IF($B43="D",(1+SUP_VOLUMEN!$C$26),(1+SUP_VOLUMEN!$C$27)))*INDEX(SUP_C3_EXPANSION!$C$6:$F$6,MIN(4,COUNTIF(CAPA3_EXPANSION!$D$56:CZ$56,"&gt;="&amp;36)))*CAPA3_EXPANSION!CZ$36)</f>
        <v>2828.2799999999997</v>
      </c>
      <c r="DA43" s="88">
        <f>IF(COUNTIF(CAPA3_EXPANSION!$D$56:DA$56,"&gt;="&amp;36)=0,0,SUP_CONTROL!$C$8*IF($B43="V",1,IF($B43="D",(1+SUP_VOLUMEN!$C$26),(1+SUP_VOLUMEN!$C$27)))*INDEX(SUP_C3_EXPANSION!$C$6:$F$6,MIN(4,COUNTIF(CAPA3_EXPANSION!$D$56:DA$56,"&gt;="&amp;36)))*CAPA3_EXPANSION!DA$36)</f>
        <v>2828.2799999999997</v>
      </c>
      <c r="DB43" s="88">
        <f>IF(COUNTIF(CAPA3_EXPANSION!$D$56:DB$56,"&gt;="&amp;36)=0,0,SUP_CONTROL!$C$8*IF($B43="V",1,IF($B43="D",(1+SUP_VOLUMEN!$C$26),(1+SUP_VOLUMEN!$C$27)))*INDEX(SUP_C3_EXPANSION!$C$6:$F$6,MIN(4,COUNTIF(CAPA3_EXPANSION!$D$56:DB$56,"&gt;="&amp;36)))*CAPA3_EXPANSION!DB$36)</f>
        <v>2828.2799999999997</v>
      </c>
      <c r="DC43" s="88">
        <f>IF(COUNTIF(CAPA3_EXPANSION!$D$56:DC$56,"&gt;="&amp;36)=0,0,SUP_CONTROL!$C$8*IF($B43="V",1,IF($B43="D",(1+SUP_VOLUMEN!$C$26),(1+SUP_VOLUMEN!$C$27)))*INDEX(SUP_C3_EXPANSION!$C$6:$F$6,MIN(4,COUNTIF(CAPA3_EXPANSION!$D$56:DC$56,"&gt;="&amp;36)))*CAPA3_EXPANSION!DC$36)</f>
        <v>2828.2799999999997</v>
      </c>
      <c r="DD43" s="88">
        <f>IF(COUNTIF(CAPA3_EXPANSION!$D$56:DD$56,"&gt;="&amp;36)=0,0,SUP_CONTROL!$C$8*IF($B43="V",1,IF($B43="D",(1+SUP_VOLUMEN!$C$26),(1+SUP_VOLUMEN!$C$27)))*INDEX(SUP_C3_EXPANSION!$C$6:$F$6,MIN(4,COUNTIF(CAPA3_EXPANSION!$D$56:DD$56,"&gt;="&amp;36)))*CAPA3_EXPANSION!DD$36)</f>
        <v>2828.2799999999997</v>
      </c>
      <c r="DE43" s="88">
        <f>IF(COUNTIF(CAPA3_EXPANSION!$D$56:DE$56,"&gt;="&amp;36)=0,0,SUP_CONTROL!$C$8*IF($B43="V",1,IF($B43="D",(1+SUP_VOLUMEN!$C$26),(1+SUP_VOLUMEN!$C$27)))*INDEX(SUP_C3_EXPANSION!$C$6:$F$6,MIN(4,COUNTIF(CAPA3_EXPANSION!$D$56:DE$56,"&gt;="&amp;36)))*CAPA3_EXPANSION!DE$36)</f>
        <v>2828.2799999999997</v>
      </c>
      <c r="DF43" s="88">
        <f>IF(COUNTIF(CAPA3_EXPANSION!$D$56:DF$56,"&gt;="&amp;36)=0,0,SUP_CONTROL!$C$8*IF($B43="V",1,IF($B43="D",(1+SUP_VOLUMEN!$C$26),(1+SUP_VOLUMEN!$C$27)))*INDEX(SUP_C3_EXPANSION!$C$6:$F$6,MIN(4,COUNTIF(CAPA3_EXPANSION!$D$56:DF$56,"&gt;="&amp;36)))*CAPA3_EXPANSION!DF$36)</f>
        <v>2828.2799999999997</v>
      </c>
      <c r="DG43" s="88">
        <f>IF(COUNTIF(CAPA3_EXPANSION!$D$56:DG$56,"&gt;="&amp;36)=0,0,SUP_CONTROL!$C$8*IF($B43="V",1,IF($B43="D",(1+SUP_VOLUMEN!$C$26),(1+SUP_VOLUMEN!$C$27)))*INDEX(SUP_C3_EXPANSION!$C$6:$F$6,MIN(4,COUNTIF(CAPA3_EXPANSION!$D$56:DG$56,"&gt;="&amp;36)))*CAPA3_EXPANSION!DG$36)</f>
        <v>2828.2799999999997</v>
      </c>
      <c r="DH43" s="88">
        <f>IF(COUNTIF(CAPA3_EXPANSION!$D$56:DH$56,"&gt;="&amp;36)=0,0,SUP_CONTROL!$C$8*IF($B43="V",1,IF($B43="D",(1+SUP_VOLUMEN!$C$26),(1+SUP_VOLUMEN!$C$27)))*INDEX(SUP_C3_EXPANSION!$C$6:$F$6,MIN(4,COUNTIF(CAPA3_EXPANSION!$D$56:DH$56,"&gt;="&amp;36)))*CAPA3_EXPANSION!DH$36)</f>
        <v>2828.2799999999997</v>
      </c>
      <c r="DI43" s="88">
        <f>IF(COUNTIF(CAPA3_EXPANSION!$D$56:DI$56,"&gt;="&amp;36)=0,0,SUP_CONTROL!$C$8*IF($B43="V",1,IF($B43="D",(1+SUP_VOLUMEN!$C$26),(1+SUP_VOLUMEN!$C$27)))*INDEX(SUP_C3_EXPANSION!$C$6:$F$6,MIN(4,COUNTIF(CAPA3_EXPANSION!$D$56:DI$56,"&gt;="&amp;36)))*CAPA3_EXPANSION!DI$36)</f>
        <v>2828.2799999999997</v>
      </c>
      <c r="DJ43" s="88">
        <f>IF(COUNTIF(CAPA3_EXPANSION!$D$56:DJ$56,"&gt;="&amp;36)=0,0,SUP_CONTROL!$C$8*IF($B43="V",1,IF($B43="D",(1+SUP_VOLUMEN!$C$26),(1+SUP_VOLUMEN!$C$27)))*INDEX(SUP_C3_EXPANSION!$C$6:$F$6,MIN(4,COUNTIF(CAPA3_EXPANSION!$D$56:DJ$56,"&gt;="&amp;36)))*CAPA3_EXPANSION!DJ$36)</f>
        <v>2828.2799999999997</v>
      </c>
      <c r="DK43" s="88">
        <f>IF(COUNTIF(CAPA3_EXPANSION!$D$56:DK$56,"&gt;="&amp;36)=0,0,SUP_CONTROL!$C$8*IF($B43="V",1,IF($B43="D",(1+SUP_VOLUMEN!$C$26),(1+SUP_VOLUMEN!$C$27)))*INDEX(SUP_C3_EXPANSION!$C$6:$F$6,MIN(4,COUNTIF(CAPA3_EXPANSION!$D$56:DK$56,"&gt;="&amp;36)))*CAPA3_EXPANSION!DK$36)</f>
        <v>2828.2799999999997</v>
      </c>
      <c r="DL43" s="88">
        <f>IF(COUNTIF(CAPA3_EXPANSION!$D$56:DL$56,"&gt;="&amp;36)=0,0,SUP_CONTROL!$C$8*IF($B43="V",1,IF($B43="D",(1+SUP_VOLUMEN!$C$26),(1+SUP_VOLUMEN!$C$27)))*INDEX(SUP_C3_EXPANSION!$C$6:$F$6,MIN(4,COUNTIF(CAPA3_EXPANSION!$D$56:DL$56,"&gt;="&amp;36)))*CAPA3_EXPANSION!DL$36)</f>
        <v>2828.2799999999997</v>
      </c>
      <c r="DM43" s="88">
        <f>IF(COUNTIF(CAPA3_EXPANSION!$D$56:DM$56,"&gt;="&amp;36)=0,0,SUP_CONTROL!$C$8*IF($B43="V",1,IF($B43="D",(1+SUP_VOLUMEN!$C$26),(1+SUP_VOLUMEN!$C$27)))*INDEX(SUP_C3_EXPANSION!$C$6:$F$6,MIN(4,COUNTIF(CAPA3_EXPANSION!$D$56:DM$56,"&gt;="&amp;36)))*CAPA3_EXPANSION!DM$36)</f>
        <v>2828.2799999999997</v>
      </c>
      <c r="DN43" s="88">
        <f>IF(COUNTIF(CAPA3_EXPANSION!$D$56:DN$56,"&gt;="&amp;36)=0,0,SUP_CONTROL!$C$8*IF($B43="V",1,IF($B43="D",(1+SUP_VOLUMEN!$C$26),(1+SUP_VOLUMEN!$C$27)))*INDEX(SUP_C3_EXPANSION!$C$6:$F$6,MIN(4,COUNTIF(CAPA3_EXPANSION!$D$56:DN$56,"&gt;="&amp;36)))*CAPA3_EXPANSION!DN$36)</f>
        <v>2828.2799999999997</v>
      </c>
      <c r="DO43" s="88">
        <f>IF(COUNTIF(CAPA3_EXPANSION!$D$56:DO$56,"&gt;="&amp;36)=0,0,SUP_CONTROL!$C$8*IF($B43="V",1,IF($B43="D",(1+SUP_VOLUMEN!$C$26),(1+SUP_VOLUMEN!$C$27)))*INDEX(SUP_C3_EXPANSION!$C$6:$F$6,MIN(4,COUNTIF(CAPA3_EXPANSION!$D$56:DO$56,"&gt;="&amp;36)))*CAPA3_EXPANSION!DO$36)</f>
        <v>2828.2799999999997</v>
      </c>
      <c r="DP43" s="88">
        <f>IF(COUNTIF(CAPA3_EXPANSION!$D$56:DP$56,"&gt;="&amp;36)=0,0,SUP_CONTROL!$C$8*IF($B43="V",1,IF($B43="D",(1+SUP_VOLUMEN!$C$26),(1+SUP_VOLUMEN!$C$27)))*INDEX(SUP_C3_EXPANSION!$C$6:$F$6,MIN(4,COUNTIF(CAPA3_EXPANSION!$D$56:DP$56,"&gt;="&amp;36)))*CAPA3_EXPANSION!DP$36)</f>
        <v>2828.2799999999997</v>
      </c>
      <c r="DQ43" s="88">
        <f>IF(COUNTIF(CAPA3_EXPANSION!$D$56:DQ$56,"&gt;="&amp;36)=0,0,SUP_CONTROL!$C$8*IF($B43="V",1,IF($B43="D",(1+SUP_VOLUMEN!$C$26),(1+SUP_VOLUMEN!$C$27)))*INDEX(SUP_C3_EXPANSION!$C$6:$F$6,MIN(4,COUNTIF(CAPA3_EXPANSION!$D$56:DQ$56,"&gt;="&amp;36)))*CAPA3_EXPANSION!DQ$36)</f>
        <v>2828.2799999999997</v>
      </c>
      <c r="DR43" s="88">
        <f>IF(COUNTIF(CAPA3_EXPANSION!$D$56:DR$56,"&gt;="&amp;36)=0,0,SUP_CONTROL!$C$8*IF($B43="V",1,IF($B43="D",(1+SUP_VOLUMEN!$C$26),(1+SUP_VOLUMEN!$C$27)))*INDEX(SUP_C3_EXPANSION!$C$6:$F$6,MIN(4,COUNTIF(CAPA3_EXPANSION!$D$56:DR$56,"&gt;="&amp;36)))*CAPA3_EXPANSION!DR$36)</f>
        <v>2828.2799999999997</v>
      </c>
      <c r="DS43" s="88">
        <f>IF(COUNTIF(CAPA3_EXPANSION!$D$56:DS$56,"&gt;="&amp;36)=0,0,SUP_CONTROL!$C$8*IF($B43="V",1,IF($B43="D",(1+SUP_VOLUMEN!$C$26),(1+SUP_VOLUMEN!$C$27)))*INDEX(SUP_C3_EXPANSION!$C$6:$F$6,MIN(4,COUNTIF(CAPA3_EXPANSION!$D$56:DS$56,"&gt;="&amp;36)))*CAPA3_EXPANSION!DS$36)</f>
        <v>2828.2799999999997</v>
      </c>
    </row>
    <row r="44" spans="1:123" ht="15" customHeight="1" x14ac:dyDescent="0.2">
      <c r="A44" s="88">
        <v>47</v>
      </c>
      <c r="B44" s="104" t="str">
        <f>SUP_C3_EXPANSION!B56</f>
        <v>V</v>
      </c>
      <c r="C44" s="73">
        <f>SUP_C3_EXPANSION!G56</f>
        <v>72</v>
      </c>
      <c r="D44" s="88">
        <f>IF(COUNTIF(CAPA3_EXPANSION!$D$56:D$56,"&gt;="&amp;37)=0,0,SUP_CONTROL!$C$8*IF($B44="V",1,IF($B44="D",(1+SUP_VOLUMEN!$C$26),(1+SUP_VOLUMEN!$C$27)))*INDEX(SUP_C3_EXPANSION!$C$6:$F$6,MIN(4,COUNTIF(CAPA3_EXPANSION!$D$56:D$56,"&gt;="&amp;37)))*CAPA3_EXPANSION!D$36)</f>
        <v>0</v>
      </c>
      <c r="E44" s="88">
        <f>IF(COUNTIF(CAPA3_EXPANSION!$D$56:E$56,"&gt;="&amp;37)=0,0,SUP_CONTROL!$C$8*IF($B44="V",1,IF($B44="D",(1+SUP_VOLUMEN!$C$26),(1+SUP_VOLUMEN!$C$27)))*INDEX(SUP_C3_EXPANSION!$C$6:$F$6,MIN(4,COUNTIF(CAPA3_EXPANSION!$D$56:E$56,"&gt;="&amp;37)))*CAPA3_EXPANSION!E$36)</f>
        <v>0</v>
      </c>
      <c r="F44" s="88">
        <f>IF(COUNTIF(CAPA3_EXPANSION!$D$56:F$56,"&gt;="&amp;37)=0,0,SUP_CONTROL!$C$8*IF($B44="V",1,IF($B44="D",(1+SUP_VOLUMEN!$C$26),(1+SUP_VOLUMEN!$C$27)))*INDEX(SUP_C3_EXPANSION!$C$6:$F$6,MIN(4,COUNTIF(CAPA3_EXPANSION!$D$56:F$56,"&gt;="&amp;37)))*CAPA3_EXPANSION!F$36)</f>
        <v>0</v>
      </c>
      <c r="G44" s="88">
        <f>IF(COUNTIF(CAPA3_EXPANSION!$D$56:G$56,"&gt;="&amp;37)=0,0,SUP_CONTROL!$C$8*IF($B44="V",1,IF($B44="D",(1+SUP_VOLUMEN!$C$26),(1+SUP_VOLUMEN!$C$27)))*INDEX(SUP_C3_EXPANSION!$C$6:$F$6,MIN(4,COUNTIF(CAPA3_EXPANSION!$D$56:G$56,"&gt;="&amp;37)))*CAPA3_EXPANSION!G$36)</f>
        <v>0</v>
      </c>
      <c r="H44" s="88">
        <f>IF(COUNTIF(CAPA3_EXPANSION!$D$56:H$56,"&gt;="&amp;37)=0,0,SUP_CONTROL!$C$8*IF($B44="V",1,IF($B44="D",(1+SUP_VOLUMEN!$C$26),(1+SUP_VOLUMEN!$C$27)))*INDEX(SUP_C3_EXPANSION!$C$6:$F$6,MIN(4,COUNTIF(CAPA3_EXPANSION!$D$56:H$56,"&gt;="&amp;37)))*CAPA3_EXPANSION!H$36)</f>
        <v>0</v>
      </c>
      <c r="I44" s="88">
        <f>IF(COUNTIF(CAPA3_EXPANSION!$D$56:I$56,"&gt;="&amp;37)=0,0,SUP_CONTROL!$C$8*IF($B44="V",1,IF($B44="D",(1+SUP_VOLUMEN!$C$26),(1+SUP_VOLUMEN!$C$27)))*INDEX(SUP_C3_EXPANSION!$C$6:$F$6,MIN(4,COUNTIF(CAPA3_EXPANSION!$D$56:I$56,"&gt;="&amp;37)))*CAPA3_EXPANSION!I$36)</f>
        <v>0</v>
      </c>
      <c r="J44" s="88">
        <f>IF(COUNTIF(CAPA3_EXPANSION!$D$56:J$56,"&gt;="&amp;37)=0,0,SUP_CONTROL!$C$8*IF($B44="V",1,IF($B44="D",(1+SUP_VOLUMEN!$C$26),(1+SUP_VOLUMEN!$C$27)))*INDEX(SUP_C3_EXPANSION!$C$6:$F$6,MIN(4,COUNTIF(CAPA3_EXPANSION!$D$56:J$56,"&gt;="&amp;37)))*CAPA3_EXPANSION!J$36)</f>
        <v>0</v>
      </c>
      <c r="K44" s="88">
        <f>IF(COUNTIF(CAPA3_EXPANSION!$D$56:K$56,"&gt;="&amp;37)=0,0,SUP_CONTROL!$C$8*IF($B44="V",1,IF($B44="D",(1+SUP_VOLUMEN!$C$26),(1+SUP_VOLUMEN!$C$27)))*INDEX(SUP_C3_EXPANSION!$C$6:$F$6,MIN(4,COUNTIF(CAPA3_EXPANSION!$D$56:K$56,"&gt;="&amp;37)))*CAPA3_EXPANSION!K$36)</f>
        <v>0</v>
      </c>
      <c r="L44" s="88">
        <f>IF(COUNTIF(CAPA3_EXPANSION!$D$56:L$56,"&gt;="&amp;37)=0,0,SUP_CONTROL!$C$8*IF($B44="V",1,IF($B44="D",(1+SUP_VOLUMEN!$C$26),(1+SUP_VOLUMEN!$C$27)))*INDEX(SUP_C3_EXPANSION!$C$6:$F$6,MIN(4,COUNTIF(CAPA3_EXPANSION!$D$56:L$56,"&gt;="&amp;37)))*CAPA3_EXPANSION!L$36)</f>
        <v>0</v>
      </c>
      <c r="M44" s="88">
        <f>IF(COUNTIF(CAPA3_EXPANSION!$D$56:M$56,"&gt;="&amp;37)=0,0,SUP_CONTROL!$C$8*IF($B44="V",1,IF($B44="D",(1+SUP_VOLUMEN!$C$26),(1+SUP_VOLUMEN!$C$27)))*INDEX(SUP_C3_EXPANSION!$C$6:$F$6,MIN(4,COUNTIF(CAPA3_EXPANSION!$D$56:M$56,"&gt;="&amp;37)))*CAPA3_EXPANSION!M$36)</f>
        <v>0</v>
      </c>
      <c r="N44" s="88">
        <f>IF(COUNTIF(CAPA3_EXPANSION!$D$56:N$56,"&gt;="&amp;37)=0,0,SUP_CONTROL!$C$8*IF($B44="V",1,IF($B44="D",(1+SUP_VOLUMEN!$C$26),(1+SUP_VOLUMEN!$C$27)))*INDEX(SUP_C3_EXPANSION!$C$6:$F$6,MIN(4,COUNTIF(CAPA3_EXPANSION!$D$56:N$56,"&gt;="&amp;37)))*CAPA3_EXPANSION!N$36)</f>
        <v>0</v>
      </c>
      <c r="O44" s="88">
        <f>IF(COUNTIF(CAPA3_EXPANSION!$D$56:O$56,"&gt;="&amp;37)=0,0,SUP_CONTROL!$C$8*IF($B44="V",1,IF($B44="D",(1+SUP_VOLUMEN!$C$26),(1+SUP_VOLUMEN!$C$27)))*INDEX(SUP_C3_EXPANSION!$C$6:$F$6,MIN(4,COUNTIF(CAPA3_EXPANSION!$D$56:O$56,"&gt;="&amp;37)))*CAPA3_EXPANSION!O$36)</f>
        <v>0</v>
      </c>
      <c r="P44" s="88">
        <f>IF(COUNTIF(CAPA3_EXPANSION!$D$56:P$56,"&gt;="&amp;37)=0,0,SUP_CONTROL!$C$8*IF($B44="V",1,IF($B44="D",(1+SUP_VOLUMEN!$C$26),(1+SUP_VOLUMEN!$C$27)))*INDEX(SUP_C3_EXPANSION!$C$6:$F$6,MIN(4,COUNTIF(CAPA3_EXPANSION!$D$56:P$56,"&gt;="&amp;37)))*CAPA3_EXPANSION!P$36)</f>
        <v>0</v>
      </c>
      <c r="Q44" s="88">
        <f>IF(COUNTIF(CAPA3_EXPANSION!$D$56:Q$56,"&gt;="&amp;37)=0,0,SUP_CONTROL!$C$8*IF($B44="V",1,IF($B44="D",(1+SUP_VOLUMEN!$C$26),(1+SUP_VOLUMEN!$C$27)))*INDEX(SUP_C3_EXPANSION!$C$6:$F$6,MIN(4,COUNTIF(CAPA3_EXPANSION!$D$56:Q$56,"&gt;="&amp;37)))*CAPA3_EXPANSION!Q$36)</f>
        <v>0</v>
      </c>
      <c r="R44" s="88">
        <f>IF(COUNTIF(CAPA3_EXPANSION!$D$56:R$56,"&gt;="&amp;37)=0,0,SUP_CONTROL!$C$8*IF($B44="V",1,IF($B44="D",(1+SUP_VOLUMEN!$C$26),(1+SUP_VOLUMEN!$C$27)))*INDEX(SUP_C3_EXPANSION!$C$6:$F$6,MIN(4,COUNTIF(CAPA3_EXPANSION!$D$56:R$56,"&gt;="&amp;37)))*CAPA3_EXPANSION!R$36)</f>
        <v>0</v>
      </c>
      <c r="S44" s="88">
        <f>IF(COUNTIF(CAPA3_EXPANSION!$D$56:S$56,"&gt;="&amp;37)=0,0,SUP_CONTROL!$C$8*IF($B44="V",1,IF($B44="D",(1+SUP_VOLUMEN!$C$26),(1+SUP_VOLUMEN!$C$27)))*INDEX(SUP_C3_EXPANSION!$C$6:$F$6,MIN(4,COUNTIF(CAPA3_EXPANSION!$D$56:S$56,"&gt;="&amp;37)))*CAPA3_EXPANSION!S$36)</f>
        <v>0</v>
      </c>
      <c r="T44" s="88">
        <f>IF(COUNTIF(CAPA3_EXPANSION!$D$56:T$56,"&gt;="&amp;37)=0,0,SUP_CONTROL!$C$8*IF($B44="V",1,IF($B44="D",(1+SUP_VOLUMEN!$C$26),(1+SUP_VOLUMEN!$C$27)))*INDEX(SUP_C3_EXPANSION!$C$6:$F$6,MIN(4,COUNTIF(CAPA3_EXPANSION!$D$56:T$56,"&gt;="&amp;37)))*CAPA3_EXPANSION!T$36)</f>
        <v>0</v>
      </c>
      <c r="U44" s="88">
        <f>IF(COUNTIF(CAPA3_EXPANSION!$D$56:U$56,"&gt;="&amp;37)=0,0,SUP_CONTROL!$C$8*IF($B44="V",1,IF($B44="D",(1+SUP_VOLUMEN!$C$26),(1+SUP_VOLUMEN!$C$27)))*INDEX(SUP_C3_EXPANSION!$C$6:$F$6,MIN(4,COUNTIF(CAPA3_EXPANSION!$D$56:U$56,"&gt;="&amp;37)))*CAPA3_EXPANSION!U$36)</f>
        <v>0</v>
      </c>
      <c r="V44" s="88">
        <f>IF(COUNTIF(CAPA3_EXPANSION!$D$56:V$56,"&gt;="&amp;37)=0,0,SUP_CONTROL!$C$8*IF($B44="V",1,IF($B44="D",(1+SUP_VOLUMEN!$C$26),(1+SUP_VOLUMEN!$C$27)))*INDEX(SUP_C3_EXPANSION!$C$6:$F$6,MIN(4,COUNTIF(CAPA3_EXPANSION!$D$56:V$56,"&gt;="&amp;37)))*CAPA3_EXPANSION!V$36)</f>
        <v>0</v>
      </c>
      <c r="W44" s="88">
        <f>IF(COUNTIF(CAPA3_EXPANSION!$D$56:W$56,"&gt;="&amp;37)=0,0,SUP_CONTROL!$C$8*IF($B44="V",1,IF($B44="D",(1+SUP_VOLUMEN!$C$26),(1+SUP_VOLUMEN!$C$27)))*INDEX(SUP_C3_EXPANSION!$C$6:$F$6,MIN(4,COUNTIF(CAPA3_EXPANSION!$D$56:W$56,"&gt;="&amp;37)))*CAPA3_EXPANSION!W$36)</f>
        <v>0</v>
      </c>
      <c r="X44" s="88">
        <f>IF(COUNTIF(CAPA3_EXPANSION!$D$56:X$56,"&gt;="&amp;37)=0,0,SUP_CONTROL!$C$8*IF($B44="V",1,IF($B44="D",(1+SUP_VOLUMEN!$C$26),(1+SUP_VOLUMEN!$C$27)))*INDEX(SUP_C3_EXPANSION!$C$6:$F$6,MIN(4,COUNTIF(CAPA3_EXPANSION!$D$56:X$56,"&gt;="&amp;37)))*CAPA3_EXPANSION!X$36)</f>
        <v>0</v>
      </c>
      <c r="Y44" s="88">
        <f>IF(COUNTIF(CAPA3_EXPANSION!$D$56:Y$56,"&gt;="&amp;37)=0,0,SUP_CONTROL!$C$8*IF($B44="V",1,IF($B44="D",(1+SUP_VOLUMEN!$C$26),(1+SUP_VOLUMEN!$C$27)))*INDEX(SUP_C3_EXPANSION!$C$6:$F$6,MIN(4,COUNTIF(CAPA3_EXPANSION!$D$56:Y$56,"&gt;="&amp;37)))*CAPA3_EXPANSION!Y$36)</f>
        <v>0</v>
      </c>
      <c r="Z44" s="88">
        <f>IF(COUNTIF(CAPA3_EXPANSION!$D$56:Z$56,"&gt;="&amp;37)=0,0,SUP_CONTROL!$C$8*IF($B44="V",1,IF($B44="D",(1+SUP_VOLUMEN!$C$26),(1+SUP_VOLUMEN!$C$27)))*INDEX(SUP_C3_EXPANSION!$C$6:$F$6,MIN(4,COUNTIF(CAPA3_EXPANSION!$D$56:Z$56,"&gt;="&amp;37)))*CAPA3_EXPANSION!Z$36)</f>
        <v>0</v>
      </c>
      <c r="AA44" s="88">
        <f>IF(COUNTIF(CAPA3_EXPANSION!$D$56:AA$56,"&gt;="&amp;37)=0,0,SUP_CONTROL!$C$8*IF($B44="V",1,IF($B44="D",(1+SUP_VOLUMEN!$C$26),(1+SUP_VOLUMEN!$C$27)))*INDEX(SUP_C3_EXPANSION!$C$6:$F$6,MIN(4,COUNTIF(CAPA3_EXPANSION!$D$56:AA$56,"&gt;="&amp;37)))*CAPA3_EXPANSION!AA$36)</f>
        <v>0</v>
      </c>
      <c r="AB44" s="88">
        <f>IF(COUNTIF(CAPA3_EXPANSION!$D$56:AB$56,"&gt;="&amp;37)=0,0,SUP_CONTROL!$C$8*IF($B44="V",1,IF($B44="D",(1+SUP_VOLUMEN!$C$26),(1+SUP_VOLUMEN!$C$27)))*INDEX(SUP_C3_EXPANSION!$C$6:$F$6,MIN(4,COUNTIF(CAPA3_EXPANSION!$D$56:AB$56,"&gt;="&amp;37)))*CAPA3_EXPANSION!AB$36)</f>
        <v>0</v>
      </c>
      <c r="AC44" s="88">
        <f>IF(COUNTIF(CAPA3_EXPANSION!$D$56:AC$56,"&gt;="&amp;37)=0,0,SUP_CONTROL!$C$8*IF($B44="V",1,IF($B44="D",(1+SUP_VOLUMEN!$C$26),(1+SUP_VOLUMEN!$C$27)))*INDEX(SUP_C3_EXPANSION!$C$6:$F$6,MIN(4,COUNTIF(CAPA3_EXPANSION!$D$56:AC$56,"&gt;="&amp;37)))*CAPA3_EXPANSION!AC$36)</f>
        <v>0</v>
      </c>
      <c r="AD44" s="88">
        <f>IF(COUNTIF(CAPA3_EXPANSION!$D$56:AD$56,"&gt;="&amp;37)=0,0,SUP_CONTROL!$C$8*IF($B44="V",1,IF($B44="D",(1+SUP_VOLUMEN!$C$26),(1+SUP_VOLUMEN!$C$27)))*INDEX(SUP_C3_EXPANSION!$C$6:$F$6,MIN(4,COUNTIF(CAPA3_EXPANSION!$D$56:AD$56,"&gt;="&amp;37)))*CAPA3_EXPANSION!AD$36)</f>
        <v>0</v>
      </c>
      <c r="AE44" s="88">
        <f>IF(COUNTIF(CAPA3_EXPANSION!$D$56:AE$56,"&gt;="&amp;37)=0,0,SUP_CONTROL!$C$8*IF($B44="V",1,IF($B44="D",(1+SUP_VOLUMEN!$C$26),(1+SUP_VOLUMEN!$C$27)))*INDEX(SUP_C3_EXPANSION!$C$6:$F$6,MIN(4,COUNTIF(CAPA3_EXPANSION!$D$56:AE$56,"&gt;="&amp;37)))*CAPA3_EXPANSION!AE$36)</f>
        <v>0</v>
      </c>
      <c r="AF44" s="88">
        <f>IF(COUNTIF(CAPA3_EXPANSION!$D$56:AF$56,"&gt;="&amp;37)=0,0,SUP_CONTROL!$C$8*IF($B44="V",1,IF($B44="D",(1+SUP_VOLUMEN!$C$26),(1+SUP_VOLUMEN!$C$27)))*INDEX(SUP_C3_EXPANSION!$C$6:$F$6,MIN(4,COUNTIF(CAPA3_EXPANSION!$D$56:AF$56,"&gt;="&amp;37)))*CAPA3_EXPANSION!AF$36)</f>
        <v>0</v>
      </c>
      <c r="AG44" s="88">
        <f>IF(COUNTIF(CAPA3_EXPANSION!$D$56:AG$56,"&gt;="&amp;37)=0,0,SUP_CONTROL!$C$8*IF($B44="V",1,IF($B44="D",(1+SUP_VOLUMEN!$C$26),(1+SUP_VOLUMEN!$C$27)))*INDEX(SUP_C3_EXPANSION!$C$6:$F$6,MIN(4,COUNTIF(CAPA3_EXPANSION!$D$56:AG$56,"&gt;="&amp;37)))*CAPA3_EXPANSION!AG$36)</f>
        <v>0</v>
      </c>
      <c r="AH44" s="88">
        <f>IF(COUNTIF(CAPA3_EXPANSION!$D$56:AH$56,"&gt;="&amp;37)=0,0,SUP_CONTROL!$C$8*IF($B44="V",1,IF($B44="D",(1+SUP_VOLUMEN!$C$26),(1+SUP_VOLUMEN!$C$27)))*INDEX(SUP_C3_EXPANSION!$C$6:$F$6,MIN(4,COUNTIF(CAPA3_EXPANSION!$D$56:AH$56,"&gt;="&amp;37)))*CAPA3_EXPANSION!AH$36)</f>
        <v>0</v>
      </c>
      <c r="AI44" s="88">
        <f>IF(COUNTIF(CAPA3_EXPANSION!$D$56:AI$56,"&gt;="&amp;37)=0,0,SUP_CONTROL!$C$8*IF($B44="V",1,IF($B44="D",(1+SUP_VOLUMEN!$C$26),(1+SUP_VOLUMEN!$C$27)))*INDEX(SUP_C3_EXPANSION!$C$6:$F$6,MIN(4,COUNTIF(CAPA3_EXPANSION!$D$56:AI$56,"&gt;="&amp;37)))*CAPA3_EXPANSION!AI$36)</f>
        <v>0</v>
      </c>
      <c r="AJ44" s="88">
        <f>IF(COUNTIF(CAPA3_EXPANSION!$D$56:AJ$56,"&gt;="&amp;37)=0,0,SUP_CONTROL!$C$8*IF($B44="V",1,IF($B44="D",(1+SUP_VOLUMEN!$C$26),(1+SUP_VOLUMEN!$C$27)))*INDEX(SUP_C3_EXPANSION!$C$6:$F$6,MIN(4,COUNTIF(CAPA3_EXPANSION!$D$56:AJ$56,"&gt;="&amp;37)))*CAPA3_EXPANSION!AJ$36)</f>
        <v>0</v>
      </c>
      <c r="AK44" s="88">
        <f>IF(COUNTIF(CAPA3_EXPANSION!$D$56:AK$56,"&gt;="&amp;37)=0,0,SUP_CONTROL!$C$8*IF($B44="V",1,IF($B44="D",(1+SUP_VOLUMEN!$C$26),(1+SUP_VOLUMEN!$C$27)))*INDEX(SUP_C3_EXPANSION!$C$6:$F$6,MIN(4,COUNTIF(CAPA3_EXPANSION!$D$56:AK$56,"&gt;="&amp;37)))*CAPA3_EXPANSION!AK$36)</f>
        <v>0</v>
      </c>
      <c r="AL44" s="88">
        <f>IF(COUNTIF(CAPA3_EXPANSION!$D$56:AL$56,"&gt;="&amp;37)=0,0,SUP_CONTROL!$C$8*IF($B44="V",1,IF($B44="D",(1+SUP_VOLUMEN!$C$26),(1+SUP_VOLUMEN!$C$27)))*INDEX(SUP_C3_EXPANSION!$C$6:$F$6,MIN(4,COUNTIF(CAPA3_EXPANSION!$D$56:AL$56,"&gt;="&amp;37)))*CAPA3_EXPANSION!AL$36)</f>
        <v>0</v>
      </c>
      <c r="AM44" s="88">
        <f>IF(COUNTIF(CAPA3_EXPANSION!$D$56:AM$56,"&gt;="&amp;37)=0,0,SUP_CONTROL!$C$8*IF($B44="V",1,IF($B44="D",(1+SUP_VOLUMEN!$C$26),(1+SUP_VOLUMEN!$C$27)))*INDEX(SUP_C3_EXPANSION!$C$6:$F$6,MIN(4,COUNTIF(CAPA3_EXPANSION!$D$56:AM$56,"&gt;="&amp;37)))*CAPA3_EXPANSION!AM$36)</f>
        <v>0</v>
      </c>
      <c r="AN44" s="88">
        <f>IF(COUNTIF(CAPA3_EXPANSION!$D$56:AN$56,"&gt;="&amp;37)=0,0,SUP_CONTROL!$C$8*IF($B44="V",1,IF($B44="D",(1+SUP_VOLUMEN!$C$26),(1+SUP_VOLUMEN!$C$27)))*INDEX(SUP_C3_EXPANSION!$C$6:$F$6,MIN(4,COUNTIF(CAPA3_EXPANSION!$D$56:AN$56,"&gt;="&amp;37)))*CAPA3_EXPANSION!AN$36)</f>
        <v>0</v>
      </c>
      <c r="AO44" s="88">
        <f>IF(COUNTIF(CAPA3_EXPANSION!$D$56:AO$56,"&gt;="&amp;37)=0,0,SUP_CONTROL!$C$8*IF($B44="V",1,IF($B44="D",(1+SUP_VOLUMEN!$C$26),(1+SUP_VOLUMEN!$C$27)))*INDEX(SUP_C3_EXPANSION!$C$6:$F$6,MIN(4,COUNTIF(CAPA3_EXPANSION!$D$56:AO$56,"&gt;="&amp;37)))*CAPA3_EXPANSION!AO$36)</f>
        <v>0</v>
      </c>
      <c r="AP44" s="88">
        <f>IF(COUNTIF(CAPA3_EXPANSION!$D$56:AP$56,"&gt;="&amp;37)=0,0,SUP_CONTROL!$C$8*IF($B44="V",1,IF($B44="D",(1+SUP_VOLUMEN!$C$26),(1+SUP_VOLUMEN!$C$27)))*INDEX(SUP_C3_EXPANSION!$C$6:$F$6,MIN(4,COUNTIF(CAPA3_EXPANSION!$D$56:AP$56,"&gt;="&amp;37)))*CAPA3_EXPANSION!AP$36)</f>
        <v>0</v>
      </c>
      <c r="AQ44" s="88">
        <f>IF(COUNTIF(CAPA3_EXPANSION!$D$56:AQ$56,"&gt;="&amp;37)=0,0,SUP_CONTROL!$C$8*IF($B44="V",1,IF($B44="D",(1+SUP_VOLUMEN!$C$26),(1+SUP_VOLUMEN!$C$27)))*INDEX(SUP_C3_EXPANSION!$C$6:$F$6,MIN(4,COUNTIF(CAPA3_EXPANSION!$D$56:AQ$56,"&gt;="&amp;37)))*CAPA3_EXPANSION!AQ$36)</f>
        <v>0</v>
      </c>
      <c r="AR44" s="88">
        <f>IF(COUNTIF(CAPA3_EXPANSION!$D$56:AR$56,"&gt;="&amp;37)=0,0,SUP_CONTROL!$C$8*IF($B44="V",1,IF($B44="D",(1+SUP_VOLUMEN!$C$26),(1+SUP_VOLUMEN!$C$27)))*INDEX(SUP_C3_EXPANSION!$C$6:$F$6,MIN(4,COUNTIF(CAPA3_EXPANSION!$D$56:AR$56,"&gt;="&amp;37)))*CAPA3_EXPANSION!AR$36)</f>
        <v>0</v>
      </c>
      <c r="AS44" s="88">
        <f>IF(COUNTIF(CAPA3_EXPANSION!$D$56:AS$56,"&gt;="&amp;37)=0,0,SUP_CONTROL!$C$8*IF($B44="V",1,IF($B44="D",(1+SUP_VOLUMEN!$C$26),(1+SUP_VOLUMEN!$C$27)))*INDEX(SUP_C3_EXPANSION!$C$6:$F$6,MIN(4,COUNTIF(CAPA3_EXPANSION!$D$56:AS$56,"&gt;="&amp;37)))*CAPA3_EXPANSION!AS$36)</f>
        <v>0</v>
      </c>
      <c r="AT44" s="88">
        <f>IF(COUNTIF(CAPA3_EXPANSION!$D$56:AT$56,"&gt;="&amp;37)=0,0,SUP_CONTROL!$C$8*IF($B44="V",1,IF($B44="D",(1+SUP_VOLUMEN!$C$26),(1+SUP_VOLUMEN!$C$27)))*INDEX(SUP_C3_EXPANSION!$C$6:$F$6,MIN(4,COUNTIF(CAPA3_EXPANSION!$D$56:AT$56,"&gt;="&amp;37)))*CAPA3_EXPANSION!AT$36)</f>
        <v>0</v>
      </c>
      <c r="AU44" s="88">
        <f>IF(COUNTIF(CAPA3_EXPANSION!$D$56:AU$56,"&gt;="&amp;37)=0,0,SUP_CONTROL!$C$8*IF($B44="V",1,IF($B44="D",(1+SUP_VOLUMEN!$C$26),(1+SUP_VOLUMEN!$C$27)))*INDEX(SUP_C3_EXPANSION!$C$6:$F$6,MIN(4,COUNTIF(CAPA3_EXPANSION!$D$56:AU$56,"&gt;="&amp;37)))*CAPA3_EXPANSION!AU$36)</f>
        <v>0</v>
      </c>
      <c r="AV44" s="88">
        <f>IF(COUNTIF(CAPA3_EXPANSION!$D$56:AV$56,"&gt;="&amp;37)=0,0,SUP_CONTROL!$C$8*IF($B44="V",1,IF($B44="D",(1+SUP_VOLUMEN!$C$26),(1+SUP_VOLUMEN!$C$27)))*INDEX(SUP_C3_EXPANSION!$C$6:$F$6,MIN(4,COUNTIF(CAPA3_EXPANSION!$D$56:AV$56,"&gt;="&amp;37)))*CAPA3_EXPANSION!AV$36)</f>
        <v>0</v>
      </c>
      <c r="AW44" s="88">
        <f>IF(COUNTIF(CAPA3_EXPANSION!$D$56:AW$56,"&gt;="&amp;37)=0,0,SUP_CONTROL!$C$8*IF($B44="V",1,IF($B44="D",(1+SUP_VOLUMEN!$C$26),(1+SUP_VOLUMEN!$C$27)))*INDEX(SUP_C3_EXPANSION!$C$6:$F$6,MIN(4,COUNTIF(CAPA3_EXPANSION!$D$56:AW$56,"&gt;="&amp;37)))*CAPA3_EXPANSION!AW$36)</f>
        <v>0</v>
      </c>
      <c r="AX44" s="88">
        <f>IF(COUNTIF(CAPA3_EXPANSION!$D$56:AX$56,"&gt;="&amp;37)=0,0,SUP_CONTROL!$C$8*IF($B44="V",1,IF($B44="D",(1+SUP_VOLUMEN!$C$26),(1+SUP_VOLUMEN!$C$27)))*INDEX(SUP_C3_EXPANSION!$C$6:$F$6,MIN(4,COUNTIF(CAPA3_EXPANSION!$D$56:AX$56,"&gt;="&amp;37)))*CAPA3_EXPANSION!AX$36)</f>
        <v>0</v>
      </c>
      <c r="AY44" s="88">
        <f>IF(COUNTIF(CAPA3_EXPANSION!$D$56:AY$56,"&gt;="&amp;37)=0,0,SUP_CONTROL!$C$8*IF($B44="V",1,IF($B44="D",(1+SUP_VOLUMEN!$C$26),(1+SUP_VOLUMEN!$C$27)))*INDEX(SUP_C3_EXPANSION!$C$6:$F$6,MIN(4,COUNTIF(CAPA3_EXPANSION!$D$56:AY$56,"&gt;="&amp;37)))*CAPA3_EXPANSION!AY$36)</f>
        <v>0</v>
      </c>
      <c r="AZ44" s="88">
        <f>IF(COUNTIF(CAPA3_EXPANSION!$D$56:AZ$56,"&gt;="&amp;37)=0,0,SUP_CONTROL!$C$8*IF($B44="V",1,IF($B44="D",(1+SUP_VOLUMEN!$C$26),(1+SUP_VOLUMEN!$C$27)))*INDEX(SUP_C3_EXPANSION!$C$6:$F$6,MIN(4,COUNTIF(CAPA3_EXPANSION!$D$56:AZ$56,"&gt;="&amp;37)))*CAPA3_EXPANSION!AZ$36)</f>
        <v>0</v>
      </c>
      <c r="BA44" s="88">
        <f>IF(COUNTIF(CAPA3_EXPANSION!$D$56:BA$56,"&gt;="&amp;37)=0,0,SUP_CONTROL!$C$8*IF($B44="V",1,IF($B44="D",(1+SUP_VOLUMEN!$C$26),(1+SUP_VOLUMEN!$C$27)))*INDEX(SUP_C3_EXPANSION!$C$6:$F$6,MIN(4,COUNTIF(CAPA3_EXPANSION!$D$56:BA$56,"&gt;="&amp;37)))*CAPA3_EXPANSION!BA$36)</f>
        <v>0</v>
      </c>
      <c r="BB44" s="88">
        <f>IF(COUNTIF(CAPA3_EXPANSION!$D$56:BB$56,"&gt;="&amp;37)=0,0,SUP_CONTROL!$C$8*IF($B44="V",1,IF($B44="D",(1+SUP_VOLUMEN!$C$26),(1+SUP_VOLUMEN!$C$27)))*INDEX(SUP_C3_EXPANSION!$C$6:$F$6,MIN(4,COUNTIF(CAPA3_EXPANSION!$D$56:BB$56,"&gt;="&amp;37)))*CAPA3_EXPANSION!BB$36)</f>
        <v>0</v>
      </c>
      <c r="BC44" s="88">
        <f>IF(COUNTIF(CAPA3_EXPANSION!$D$56:BC$56,"&gt;="&amp;37)=0,0,SUP_CONTROL!$C$8*IF($B44="V",1,IF($B44="D",(1+SUP_VOLUMEN!$C$26),(1+SUP_VOLUMEN!$C$27)))*INDEX(SUP_C3_EXPANSION!$C$6:$F$6,MIN(4,COUNTIF(CAPA3_EXPANSION!$D$56:BC$56,"&gt;="&amp;37)))*CAPA3_EXPANSION!BC$36)</f>
        <v>0</v>
      </c>
      <c r="BD44" s="88">
        <f>IF(COUNTIF(CAPA3_EXPANSION!$D$56:BD$56,"&gt;="&amp;37)=0,0,SUP_CONTROL!$C$8*IF($B44="V",1,IF($B44="D",(1+SUP_VOLUMEN!$C$26),(1+SUP_VOLUMEN!$C$27)))*INDEX(SUP_C3_EXPANSION!$C$6:$F$6,MIN(4,COUNTIF(CAPA3_EXPANSION!$D$56:BD$56,"&gt;="&amp;37)))*CAPA3_EXPANSION!BD$36)</f>
        <v>0</v>
      </c>
      <c r="BE44" s="88">
        <f>IF(COUNTIF(CAPA3_EXPANSION!$D$56:BE$56,"&gt;="&amp;37)=0,0,SUP_CONTROL!$C$8*IF($B44="V",1,IF($B44="D",(1+SUP_VOLUMEN!$C$26),(1+SUP_VOLUMEN!$C$27)))*INDEX(SUP_C3_EXPANSION!$C$6:$F$6,MIN(4,COUNTIF(CAPA3_EXPANSION!$D$56:BE$56,"&gt;="&amp;37)))*CAPA3_EXPANSION!BE$36)</f>
        <v>0</v>
      </c>
      <c r="BF44" s="88">
        <f>IF(COUNTIF(CAPA3_EXPANSION!$D$56:BF$56,"&gt;="&amp;37)=0,0,SUP_CONTROL!$C$8*IF($B44="V",1,IF($B44="D",(1+SUP_VOLUMEN!$C$26),(1+SUP_VOLUMEN!$C$27)))*INDEX(SUP_C3_EXPANSION!$C$6:$F$6,MIN(4,COUNTIF(CAPA3_EXPANSION!$D$56:BF$56,"&gt;="&amp;37)))*CAPA3_EXPANSION!BF$36)</f>
        <v>0</v>
      </c>
      <c r="BG44" s="88">
        <f>IF(COUNTIF(CAPA3_EXPANSION!$D$56:BG$56,"&gt;="&amp;37)=0,0,SUP_CONTROL!$C$8*IF($B44="V",1,IF($B44="D",(1+SUP_VOLUMEN!$C$26),(1+SUP_VOLUMEN!$C$27)))*INDEX(SUP_C3_EXPANSION!$C$6:$F$6,MIN(4,COUNTIF(CAPA3_EXPANSION!$D$56:BG$56,"&gt;="&amp;37)))*CAPA3_EXPANSION!BG$36)</f>
        <v>0</v>
      </c>
      <c r="BH44" s="88">
        <f>IF(COUNTIF(CAPA3_EXPANSION!$D$56:BH$56,"&gt;="&amp;37)=0,0,SUP_CONTROL!$C$8*IF($B44="V",1,IF($B44="D",(1+SUP_VOLUMEN!$C$26),(1+SUP_VOLUMEN!$C$27)))*INDEX(SUP_C3_EXPANSION!$C$6:$F$6,MIN(4,COUNTIF(CAPA3_EXPANSION!$D$56:BH$56,"&gt;="&amp;37)))*CAPA3_EXPANSION!BH$36)</f>
        <v>0</v>
      </c>
      <c r="BI44" s="88">
        <f>IF(COUNTIF(CAPA3_EXPANSION!$D$56:BI$56,"&gt;="&amp;37)=0,0,SUP_CONTROL!$C$8*IF($B44="V",1,IF($B44="D",(1+SUP_VOLUMEN!$C$26),(1+SUP_VOLUMEN!$C$27)))*INDEX(SUP_C3_EXPANSION!$C$6:$F$6,MIN(4,COUNTIF(CAPA3_EXPANSION!$D$56:BI$56,"&gt;="&amp;37)))*CAPA3_EXPANSION!BI$36)</f>
        <v>0</v>
      </c>
      <c r="BJ44" s="88">
        <f>IF(COUNTIF(CAPA3_EXPANSION!$D$56:BJ$56,"&gt;="&amp;37)=0,0,SUP_CONTROL!$C$8*IF($B44="V",1,IF($B44="D",(1+SUP_VOLUMEN!$C$26),(1+SUP_VOLUMEN!$C$27)))*INDEX(SUP_C3_EXPANSION!$C$6:$F$6,MIN(4,COUNTIF(CAPA3_EXPANSION!$D$56:BJ$56,"&gt;="&amp;37)))*CAPA3_EXPANSION!BJ$36)</f>
        <v>0</v>
      </c>
      <c r="BK44" s="88">
        <f>IF(COUNTIF(CAPA3_EXPANSION!$D$56:BK$56,"&gt;="&amp;37)=0,0,SUP_CONTROL!$C$8*IF($B44="V",1,IF($B44="D",(1+SUP_VOLUMEN!$C$26),(1+SUP_VOLUMEN!$C$27)))*INDEX(SUP_C3_EXPANSION!$C$6:$F$6,MIN(4,COUNTIF(CAPA3_EXPANSION!$D$56:BK$56,"&gt;="&amp;37)))*CAPA3_EXPANSION!BK$36)</f>
        <v>0</v>
      </c>
      <c r="BL44" s="88">
        <f>IF(COUNTIF(CAPA3_EXPANSION!$D$56:BL$56,"&gt;="&amp;37)=0,0,SUP_CONTROL!$C$8*IF($B44="V",1,IF($B44="D",(1+SUP_VOLUMEN!$C$26),(1+SUP_VOLUMEN!$C$27)))*INDEX(SUP_C3_EXPANSION!$C$6:$F$6,MIN(4,COUNTIF(CAPA3_EXPANSION!$D$56:BL$56,"&gt;="&amp;37)))*CAPA3_EXPANSION!BL$36)</f>
        <v>0</v>
      </c>
      <c r="BM44" s="88">
        <f>IF(COUNTIF(CAPA3_EXPANSION!$D$56:BM$56,"&gt;="&amp;37)=0,0,SUP_CONTROL!$C$8*IF($B44="V",1,IF($B44="D",(1+SUP_VOLUMEN!$C$26),(1+SUP_VOLUMEN!$C$27)))*INDEX(SUP_C3_EXPANSION!$C$6:$F$6,MIN(4,COUNTIF(CAPA3_EXPANSION!$D$56:BM$56,"&gt;="&amp;37)))*CAPA3_EXPANSION!BM$36)</f>
        <v>0</v>
      </c>
      <c r="BN44" s="88">
        <f>IF(COUNTIF(CAPA3_EXPANSION!$D$56:BN$56,"&gt;="&amp;37)=0,0,SUP_CONTROL!$C$8*IF($B44="V",1,IF($B44="D",(1+SUP_VOLUMEN!$C$26),(1+SUP_VOLUMEN!$C$27)))*INDEX(SUP_C3_EXPANSION!$C$6:$F$6,MIN(4,COUNTIF(CAPA3_EXPANSION!$D$56:BN$56,"&gt;="&amp;37)))*CAPA3_EXPANSION!BN$36)</f>
        <v>0</v>
      </c>
      <c r="BO44" s="88">
        <f>IF(COUNTIF(CAPA3_EXPANSION!$D$56:BO$56,"&gt;="&amp;37)=0,0,SUP_CONTROL!$C$8*IF($B44="V",1,IF($B44="D",(1+SUP_VOLUMEN!$C$26),(1+SUP_VOLUMEN!$C$27)))*INDEX(SUP_C3_EXPANSION!$C$6:$F$6,MIN(4,COUNTIF(CAPA3_EXPANSION!$D$56:BO$56,"&gt;="&amp;37)))*CAPA3_EXPANSION!BO$36)</f>
        <v>0</v>
      </c>
      <c r="BP44" s="88">
        <f>IF(COUNTIF(CAPA3_EXPANSION!$D$56:BP$56,"&gt;="&amp;37)=0,0,SUP_CONTROL!$C$8*IF($B44="V",1,IF($B44="D",(1+SUP_VOLUMEN!$C$26),(1+SUP_VOLUMEN!$C$27)))*INDEX(SUP_C3_EXPANSION!$C$6:$F$6,MIN(4,COUNTIF(CAPA3_EXPANSION!$D$56:BP$56,"&gt;="&amp;37)))*CAPA3_EXPANSION!BP$36)</f>
        <v>0</v>
      </c>
      <c r="BQ44" s="88">
        <f>IF(COUNTIF(CAPA3_EXPANSION!$D$56:BQ$56,"&gt;="&amp;37)=0,0,SUP_CONTROL!$C$8*IF($B44="V",1,IF($B44="D",(1+SUP_VOLUMEN!$C$26),(1+SUP_VOLUMEN!$C$27)))*INDEX(SUP_C3_EXPANSION!$C$6:$F$6,MIN(4,COUNTIF(CAPA3_EXPANSION!$D$56:BQ$56,"&gt;="&amp;37)))*CAPA3_EXPANSION!BQ$36)</f>
        <v>0</v>
      </c>
      <c r="BR44" s="88">
        <f>IF(COUNTIF(CAPA3_EXPANSION!$D$56:BR$56,"&gt;="&amp;37)=0,0,SUP_CONTROL!$C$8*IF($B44="V",1,IF($B44="D",(1+SUP_VOLUMEN!$C$26),(1+SUP_VOLUMEN!$C$27)))*INDEX(SUP_C3_EXPANSION!$C$6:$F$6,MIN(4,COUNTIF(CAPA3_EXPANSION!$D$56:BR$56,"&gt;="&amp;37)))*CAPA3_EXPANSION!BR$36)</f>
        <v>0</v>
      </c>
      <c r="BS44" s="88">
        <f>IF(COUNTIF(CAPA3_EXPANSION!$D$56:BS$56,"&gt;="&amp;37)=0,0,SUP_CONTROL!$C$8*IF($B44="V",1,IF($B44="D",(1+SUP_VOLUMEN!$C$26),(1+SUP_VOLUMEN!$C$27)))*INDEX(SUP_C3_EXPANSION!$C$6:$F$6,MIN(4,COUNTIF(CAPA3_EXPANSION!$D$56:BS$56,"&gt;="&amp;37)))*CAPA3_EXPANSION!BS$36)</f>
        <v>0</v>
      </c>
      <c r="BT44" s="88">
        <f>IF(COUNTIF(CAPA3_EXPANSION!$D$56:BT$56,"&gt;="&amp;37)=0,0,SUP_CONTROL!$C$8*IF($B44="V",1,IF($B44="D",(1+SUP_VOLUMEN!$C$26),(1+SUP_VOLUMEN!$C$27)))*INDEX(SUP_C3_EXPANSION!$C$6:$F$6,MIN(4,COUNTIF(CAPA3_EXPANSION!$D$56:BT$56,"&gt;="&amp;37)))*CAPA3_EXPANSION!BT$36)</f>
        <v>0</v>
      </c>
      <c r="BU44" s="88">
        <f>IF(COUNTIF(CAPA3_EXPANSION!$D$56:BU$56,"&gt;="&amp;37)=0,0,SUP_CONTROL!$C$8*IF($B44="V",1,IF($B44="D",(1+SUP_VOLUMEN!$C$26),(1+SUP_VOLUMEN!$C$27)))*INDEX(SUP_C3_EXPANSION!$C$6:$F$6,MIN(4,COUNTIF(CAPA3_EXPANSION!$D$56:BU$56,"&gt;="&amp;37)))*CAPA3_EXPANSION!BU$36)</f>
        <v>0</v>
      </c>
      <c r="BV44" s="88">
        <f>IF(COUNTIF(CAPA3_EXPANSION!$D$56:BV$56,"&gt;="&amp;37)=0,0,SUP_CONTROL!$C$8*IF($B44="V",1,IF($B44="D",(1+SUP_VOLUMEN!$C$26),(1+SUP_VOLUMEN!$C$27)))*INDEX(SUP_C3_EXPANSION!$C$6:$F$6,MIN(4,COUNTIF(CAPA3_EXPANSION!$D$56:BV$56,"&gt;="&amp;37)))*CAPA3_EXPANSION!BV$36)</f>
        <v>0</v>
      </c>
      <c r="BW44" s="88">
        <f>IF(COUNTIF(CAPA3_EXPANSION!$D$56:BW$56,"&gt;="&amp;37)=0,0,SUP_CONTROL!$C$8*IF($B44="V",1,IF($B44="D",(1+SUP_VOLUMEN!$C$26),(1+SUP_VOLUMEN!$C$27)))*INDEX(SUP_C3_EXPANSION!$C$6:$F$6,MIN(4,COUNTIF(CAPA3_EXPANSION!$D$56:BW$56,"&gt;="&amp;37)))*CAPA3_EXPANSION!BW$36)</f>
        <v>0</v>
      </c>
      <c r="BX44" s="88">
        <f>IF(COUNTIF(CAPA3_EXPANSION!$D$56:BX$56,"&gt;="&amp;37)=0,0,SUP_CONTROL!$C$8*IF($B44="V",1,IF($B44="D",(1+SUP_VOLUMEN!$C$26),(1+SUP_VOLUMEN!$C$27)))*INDEX(SUP_C3_EXPANSION!$C$6:$F$6,MIN(4,COUNTIF(CAPA3_EXPANSION!$D$56:BX$56,"&gt;="&amp;37)))*CAPA3_EXPANSION!BX$36)</f>
        <v>0</v>
      </c>
      <c r="BY44" s="88">
        <f>IF(COUNTIF(CAPA3_EXPANSION!$D$56:BY$56,"&gt;="&amp;37)=0,0,SUP_CONTROL!$C$8*IF($B44="V",1,IF($B44="D",(1+SUP_VOLUMEN!$C$26),(1+SUP_VOLUMEN!$C$27)))*INDEX(SUP_C3_EXPANSION!$C$6:$F$6,MIN(4,COUNTIF(CAPA3_EXPANSION!$D$56:BY$56,"&gt;="&amp;37)))*CAPA3_EXPANSION!BY$36)</f>
        <v>0</v>
      </c>
      <c r="BZ44" s="88">
        <f>IF(COUNTIF(CAPA3_EXPANSION!$D$56:BZ$56,"&gt;="&amp;37)=0,0,SUP_CONTROL!$C$8*IF($B44="V",1,IF($B44="D",(1+SUP_VOLUMEN!$C$26),(1+SUP_VOLUMEN!$C$27)))*INDEX(SUP_C3_EXPANSION!$C$6:$F$6,MIN(4,COUNTIF(CAPA3_EXPANSION!$D$56:BZ$56,"&gt;="&amp;37)))*CAPA3_EXPANSION!BZ$36)</f>
        <v>1838.3820000000001</v>
      </c>
      <c r="CA44" s="88">
        <f>IF(COUNTIF(CAPA3_EXPANSION!$D$56:CA$56,"&gt;="&amp;37)=0,0,SUP_CONTROL!$C$8*IF($B44="V",1,IF($B44="D",(1+SUP_VOLUMEN!$C$26),(1+SUP_VOLUMEN!$C$27)))*INDEX(SUP_C3_EXPANSION!$C$6:$F$6,MIN(4,COUNTIF(CAPA3_EXPANSION!$D$56:CA$56,"&gt;="&amp;37)))*CAPA3_EXPANSION!CA$36)</f>
        <v>2262.6240000000003</v>
      </c>
      <c r="CB44" s="88">
        <f>IF(COUNTIF(CAPA3_EXPANSION!$D$56:CB$56,"&gt;="&amp;37)=0,0,SUP_CONTROL!$C$8*IF($B44="V",1,IF($B44="D",(1+SUP_VOLUMEN!$C$26),(1+SUP_VOLUMEN!$C$27)))*INDEX(SUP_C3_EXPANSION!$C$6:$F$6,MIN(4,COUNTIF(CAPA3_EXPANSION!$D$56:CB$56,"&gt;="&amp;37)))*CAPA3_EXPANSION!CB$36)</f>
        <v>2545.4520000000002</v>
      </c>
      <c r="CC44" s="88">
        <f>IF(COUNTIF(CAPA3_EXPANSION!$D$56:CC$56,"&gt;="&amp;37)=0,0,SUP_CONTROL!$C$8*IF($B44="V",1,IF($B44="D",(1+SUP_VOLUMEN!$C$26),(1+SUP_VOLUMEN!$C$27)))*INDEX(SUP_C3_EXPANSION!$C$6:$F$6,MIN(4,COUNTIF(CAPA3_EXPANSION!$D$56:CC$56,"&gt;="&amp;37)))*CAPA3_EXPANSION!CC$36)</f>
        <v>2828.2799999999997</v>
      </c>
      <c r="CD44" s="88">
        <f>IF(COUNTIF(CAPA3_EXPANSION!$D$56:CD$56,"&gt;="&amp;37)=0,0,SUP_CONTROL!$C$8*IF($B44="V",1,IF($B44="D",(1+SUP_VOLUMEN!$C$26),(1+SUP_VOLUMEN!$C$27)))*INDEX(SUP_C3_EXPANSION!$C$6:$F$6,MIN(4,COUNTIF(CAPA3_EXPANSION!$D$56:CD$56,"&gt;="&amp;37)))*CAPA3_EXPANSION!CD$36)</f>
        <v>2828.2799999999997</v>
      </c>
      <c r="CE44" s="88">
        <f>IF(COUNTIF(CAPA3_EXPANSION!$D$56:CE$56,"&gt;="&amp;37)=0,0,SUP_CONTROL!$C$8*IF($B44="V",1,IF($B44="D",(1+SUP_VOLUMEN!$C$26),(1+SUP_VOLUMEN!$C$27)))*INDEX(SUP_C3_EXPANSION!$C$6:$F$6,MIN(4,COUNTIF(CAPA3_EXPANSION!$D$56:CE$56,"&gt;="&amp;37)))*CAPA3_EXPANSION!CE$36)</f>
        <v>2828.2799999999997</v>
      </c>
      <c r="CF44" s="88">
        <f>IF(COUNTIF(CAPA3_EXPANSION!$D$56:CF$56,"&gt;="&amp;37)=0,0,SUP_CONTROL!$C$8*IF($B44="V",1,IF($B44="D",(1+SUP_VOLUMEN!$C$26),(1+SUP_VOLUMEN!$C$27)))*INDEX(SUP_C3_EXPANSION!$C$6:$F$6,MIN(4,COUNTIF(CAPA3_EXPANSION!$D$56:CF$56,"&gt;="&amp;37)))*CAPA3_EXPANSION!CF$36)</f>
        <v>2828.2799999999997</v>
      </c>
      <c r="CG44" s="88">
        <f>IF(COUNTIF(CAPA3_EXPANSION!$D$56:CG$56,"&gt;="&amp;37)=0,0,SUP_CONTROL!$C$8*IF($B44="V",1,IF($B44="D",(1+SUP_VOLUMEN!$C$26),(1+SUP_VOLUMEN!$C$27)))*INDEX(SUP_C3_EXPANSION!$C$6:$F$6,MIN(4,COUNTIF(CAPA3_EXPANSION!$D$56:CG$56,"&gt;="&amp;37)))*CAPA3_EXPANSION!CG$36)</f>
        <v>2828.2799999999997</v>
      </c>
      <c r="CH44" s="88">
        <f>IF(COUNTIF(CAPA3_EXPANSION!$D$56:CH$56,"&gt;="&amp;37)=0,0,SUP_CONTROL!$C$8*IF($B44="V",1,IF($B44="D",(1+SUP_VOLUMEN!$C$26),(1+SUP_VOLUMEN!$C$27)))*INDEX(SUP_C3_EXPANSION!$C$6:$F$6,MIN(4,COUNTIF(CAPA3_EXPANSION!$D$56:CH$56,"&gt;="&amp;37)))*CAPA3_EXPANSION!CH$36)</f>
        <v>2828.2799999999997</v>
      </c>
      <c r="CI44" s="88">
        <f>IF(COUNTIF(CAPA3_EXPANSION!$D$56:CI$56,"&gt;="&amp;37)=0,0,SUP_CONTROL!$C$8*IF($B44="V",1,IF($B44="D",(1+SUP_VOLUMEN!$C$26),(1+SUP_VOLUMEN!$C$27)))*INDEX(SUP_C3_EXPANSION!$C$6:$F$6,MIN(4,COUNTIF(CAPA3_EXPANSION!$D$56:CI$56,"&gt;="&amp;37)))*CAPA3_EXPANSION!CI$36)</f>
        <v>2828.2799999999997</v>
      </c>
      <c r="CJ44" s="88">
        <f>IF(COUNTIF(CAPA3_EXPANSION!$D$56:CJ$56,"&gt;="&amp;37)=0,0,SUP_CONTROL!$C$8*IF($B44="V",1,IF($B44="D",(1+SUP_VOLUMEN!$C$26),(1+SUP_VOLUMEN!$C$27)))*INDEX(SUP_C3_EXPANSION!$C$6:$F$6,MIN(4,COUNTIF(CAPA3_EXPANSION!$D$56:CJ$56,"&gt;="&amp;37)))*CAPA3_EXPANSION!CJ$36)</f>
        <v>2828.2799999999997</v>
      </c>
      <c r="CK44" s="88">
        <f>IF(COUNTIF(CAPA3_EXPANSION!$D$56:CK$56,"&gt;="&amp;37)=0,0,SUP_CONTROL!$C$8*IF($B44="V",1,IF($B44="D",(1+SUP_VOLUMEN!$C$26),(1+SUP_VOLUMEN!$C$27)))*INDEX(SUP_C3_EXPANSION!$C$6:$F$6,MIN(4,COUNTIF(CAPA3_EXPANSION!$D$56:CK$56,"&gt;="&amp;37)))*CAPA3_EXPANSION!CK$36)</f>
        <v>2828.2799999999997</v>
      </c>
      <c r="CL44" s="88">
        <f>IF(COUNTIF(CAPA3_EXPANSION!$D$56:CL$56,"&gt;="&amp;37)=0,0,SUP_CONTROL!$C$8*IF($B44="V",1,IF($B44="D",(1+SUP_VOLUMEN!$C$26),(1+SUP_VOLUMEN!$C$27)))*INDEX(SUP_C3_EXPANSION!$C$6:$F$6,MIN(4,COUNTIF(CAPA3_EXPANSION!$D$56:CL$56,"&gt;="&amp;37)))*CAPA3_EXPANSION!CL$36)</f>
        <v>2828.2799999999997</v>
      </c>
      <c r="CM44" s="88">
        <f>IF(COUNTIF(CAPA3_EXPANSION!$D$56:CM$56,"&gt;="&amp;37)=0,0,SUP_CONTROL!$C$8*IF($B44="V",1,IF($B44="D",(1+SUP_VOLUMEN!$C$26),(1+SUP_VOLUMEN!$C$27)))*INDEX(SUP_C3_EXPANSION!$C$6:$F$6,MIN(4,COUNTIF(CAPA3_EXPANSION!$D$56:CM$56,"&gt;="&amp;37)))*CAPA3_EXPANSION!CM$36)</f>
        <v>2828.2799999999997</v>
      </c>
      <c r="CN44" s="88">
        <f>IF(COUNTIF(CAPA3_EXPANSION!$D$56:CN$56,"&gt;="&amp;37)=0,0,SUP_CONTROL!$C$8*IF($B44="V",1,IF($B44="D",(1+SUP_VOLUMEN!$C$26),(1+SUP_VOLUMEN!$C$27)))*INDEX(SUP_C3_EXPANSION!$C$6:$F$6,MIN(4,COUNTIF(CAPA3_EXPANSION!$D$56:CN$56,"&gt;="&amp;37)))*CAPA3_EXPANSION!CN$36)</f>
        <v>2828.2799999999997</v>
      </c>
      <c r="CO44" s="88">
        <f>IF(COUNTIF(CAPA3_EXPANSION!$D$56:CO$56,"&gt;="&amp;37)=0,0,SUP_CONTROL!$C$8*IF($B44="V",1,IF($B44="D",(1+SUP_VOLUMEN!$C$26),(1+SUP_VOLUMEN!$C$27)))*INDEX(SUP_C3_EXPANSION!$C$6:$F$6,MIN(4,COUNTIF(CAPA3_EXPANSION!$D$56:CO$56,"&gt;="&amp;37)))*CAPA3_EXPANSION!CO$36)</f>
        <v>2828.2799999999997</v>
      </c>
      <c r="CP44" s="88">
        <f>IF(COUNTIF(CAPA3_EXPANSION!$D$56:CP$56,"&gt;="&amp;37)=0,0,SUP_CONTROL!$C$8*IF($B44="V",1,IF($B44="D",(1+SUP_VOLUMEN!$C$26),(1+SUP_VOLUMEN!$C$27)))*INDEX(SUP_C3_EXPANSION!$C$6:$F$6,MIN(4,COUNTIF(CAPA3_EXPANSION!$D$56:CP$56,"&gt;="&amp;37)))*CAPA3_EXPANSION!CP$36)</f>
        <v>2828.2799999999997</v>
      </c>
      <c r="CQ44" s="88">
        <f>IF(COUNTIF(CAPA3_EXPANSION!$D$56:CQ$56,"&gt;="&amp;37)=0,0,SUP_CONTROL!$C$8*IF($B44="V",1,IF($B44="D",(1+SUP_VOLUMEN!$C$26),(1+SUP_VOLUMEN!$C$27)))*INDEX(SUP_C3_EXPANSION!$C$6:$F$6,MIN(4,COUNTIF(CAPA3_EXPANSION!$D$56:CQ$56,"&gt;="&amp;37)))*CAPA3_EXPANSION!CQ$36)</f>
        <v>2828.2799999999997</v>
      </c>
      <c r="CR44" s="88">
        <f>IF(COUNTIF(CAPA3_EXPANSION!$D$56:CR$56,"&gt;="&amp;37)=0,0,SUP_CONTROL!$C$8*IF($B44="V",1,IF($B44="D",(1+SUP_VOLUMEN!$C$26),(1+SUP_VOLUMEN!$C$27)))*INDEX(SUP_C3_EXPANSION!$C$6:$F$6,MIN(4,COUNTIF(CAPA3_EXPANSION!$D$56:CR$56,"&gt;="&amp;37)))*CAPA3_EXPANSION!CR$36)</f>
        <v>2828.2799999999997</v>
      </c>
      <c r="CS44" s="88">
        <f>IF(COUNTIF(CAPA3_EXPANSION!$D$56:CS$56,"&gt;="&amp;37)=0,0,SUP_CONTROL!$C$8*IF($B44="V",1,IF($B44="D",(1+SUP_VOLUMEN!$C$26),(1+SUP_VOLUMEN!$C$27)))*INDEX(SUP_C3_EXPANSION!$C$6:$F$6,MIN(4,COUNTIF(CAPA3_EXPANSION!$D$56:CS$56,"&gt;="&amp;37)))*CAPA3_EXPANSION!CS$36)</f>
        <v>2828.2799999999997</v>
      </c>
      <c r="CT44" s="88">
        <f>IF(COUNTIF(CAPA3_EXPANSION!$D$56:CT$56,"&gt;="&amp;37)=0,0,SUP_CONTROL!$C$8*IF($B44="V",1,IF($B44="D",(1+SUP_VOLUMEN!$C$26),(1+SUP_VOLUMEN!$C$27)))*INDEX(SUP_C3_EXPANSION!$C$6:$F$6,MIN(4,COUNTIF(CAPA3_EXPANSION!$D$56:CT$56,"&gt;="&amp;37)))*CAPA3_EXPANSION!CT$36)</f>
        <v>2828.2799999999997</v>
      </c>
      <c r="CU44" s="88">
        <f>IF(COUNTIF(CAPA3_EXPANSION!$D$56:CU$56,"&gt;="&amp;37)=0,0,SUP_CONTROL!$C$8*IF($B44="V",1,IF($B44="D",(1+SUP_VOLUMEN!$C$26),(1+SUP_VOLUMEN!$C$27)))*INDEX(SUP_C3_EXPANSION!$C$6:$F$6,MIN(4,COUNTIF(CAPA3_EXPANSION!$D$56:CU$56,"&gt;="&amp;37)))*CAPA3_EXPANSION!CU$36)</f>
        <v>2828.2799999999997</v>
      </c>
      <c r="CV44" s="88">
        <f>IF(COUNTIF(CAPA3_EXPANSION!$D$56:CV$56,"&gt;="&amp;37)=0,0,SUP_CONTROL!$C$8*IF($B44="V",1,IF($B44="D",(1+SUP_VOLUMEN!$C$26),(1+SUP_VOLUMEN!$C$27)))*INDEX(SUP_C3_EXPANSION!$C$6:$F$6,MIN(4,COUNTIF(CAPA3_EXPANSION!$D$56:CV$56,"&gt;="&amp;37)))*CAPA3_EXPANSION!CV$36)</f>
        <v>2828.2799999999997</v>
      </c>
      <c r="CW44" s="88">
        <f>IF(COUNTIF(CAPA3_EXPANSION!$D$56:CW$56,"&gt;="&amp;37)=0,0,SUP_CONTROL!$C$8*IF($B44="V",1,IF($B44="D",(1+SUP_VOLUMEN!$C$26),(1+SUP_VOLUMEN!$C$27)))*INDEX(SUP_C3_EXPANSION!$C$6:$F$6,MIN(4,COUNTIF(CAPA3_EXPANSION!$D$56:CW$56,"&gt;="&amp;37)))*CAPA3_EXPANSION!CW$36)</f>
        <v>2828.2799999999997</v>
      </c>
      <c r="CX44" s="88">
        <f>IF(COUNTIF(CAPA3_EXPANSION!$D$56:CX$56,"&gt;="&amp;37)=0,0,SUP_CONTROL!$C$8*IF($B44="V",1,IF($B44="D",(1+SUP_VOLUMEN!$C$26),(1+SUP_VOLUMEN!$C$27)))*INDEX(SUP_C3_EXPANSION!$C$6:$F$6,MIN(4,COUNTIF(CAPA3_EXPANSION!$D$56:CX$56,"&gt;="&amp;37)))*CAPA3_EXPANSION!CX$36)</f>
        <v>2828.2799999999997</v>
      </c>
      <c r="CY44" s="88">
        <f>IF(COUNTIF(CAPA3_EXPANSION!$D$56:CY$56,"&gt;="&amp;37)=0,0,SUP_CONTROL!$C$8*IF($B44="V",1,IF($B44="D",(1+SUP_VOLUMEN!$C$26),(1+SUP_VOLUMEN!$C$27)))*INDEX(SUP_C3_EXPANSION!$C$6:$F$6,MIN(4,COUNTIF(CAPA3_EXPANSION!$D$56:CY$56,"&gt;="&amp;37)))*CAPA3_EXPANSION!CY$36)</f>
        <v>2828.2799999999997</v>
      </c>
      <c r="CZ44" s="88">
        <f>IF(COUNTIF(CAPA3_EXPANSION!$D$56:CZ$56,"&gt;="&amp;37)=0,0,SUP_CONTROL!$C$8*IF($B44="V",1,IF($B44="D",(1+SUP_VOLUMEN!$C$26),(1+SUP_VOLUMEN!$C$27)))*INDEX(SUP_C3_EXPANSION!$C$6:$F$6,MIN(4,COUNTIF(CAPA3_EXPANSION!$D$56:CZ$56,"&gt;="&amp;37)))*CAPA3_EXPANSION!CZ$36)</f>
        <v>2828.2799999999997</v>
      </c>
      <c r="DA44" s="88">
        <f>IF(COUNTIF(CAPA3_EXPANSION!$D$56:DA$56,"&gt;="&amp;37)=0,0,SUP_CONTROL!$C$8*IF($B44="V",1,IF($B44="D",(1+SUP_VOLUMEN!$C$26),(1+SUP_VOLUMEN!$C$27)))*INDEX(SUP_C3_EXPANSION!$C$6:$F$6,MIN(4,COUNTIF(CAPA3_EXPANSION!$D$56:DA$56,"&gt;="&amp;37)))*CAPA3_EXPANSION!DA$36)</f>
        <v>2828.2799999999997</v>
      </c>
      <c r="DB44" s="88">
        <f>IF(COUNTIF(CAPA3_EXPANSION!$D$56:DB$56,"&gt;="&amp;37)=0,0,SUP_CONTROL!$C$8*IF($B44="V",1,IF($B44="D",(1+SUP_VOLUMEN!$C$26),(1+SUP_VOLUMEN!$C$27)))*INDEX(SUP_C3_EXPANSION!$C$6:$F$6,MIN(4,COUNTIF(CAPA3_EXPANSION!$D$56:DB$56,"&gt;="&amp;37)))*CAPA3_EXPANSION!DB$36)</f>
        <v>2828.2799999999997</v>
      </c>
      <c r="DC44" s="88">
        <f>IF(COUNTIF(CAPA3_EXPANSION!$D$56:DC$56,"&gt;="&amp;37)=0,0,SUP_CONTROL!$C$8*IF($B44="V",1,IF($B44="D",(1+SUP_VOLUMEN!$C$26),(1+SUP_VOLUMEN!$C$27)))*INDEX(SUP_C3_EXPANSION!$C$6:$F$6,MIN(4,COUNTIF(CAPA3_EXPANSION!$D$56:DC$56,"&gt;="&amp;37)))*CAPA3_EXPANSION!DC$36)</f>
        <v>2828.2799999999997</v>
      </c>
      <c r="DD44" s="88">
        <f>IF(COUNTIF(CAPA3_EXPANSION!$D$56:DD$56,"&gt;="&amp;37)=0,0,SUP_CONTROL!$C$8*IF($B44="V",1,IF($B44="D",(1+SUP_VOLUMEN!$C$26),(1+SUP_VOLUMEN!$C$27)))*INDEX(SUP_C3_EXPANSION!$C$6:$F$6,MIN(4,COUNTIF(CAPA3_EXPANSION!$D$56:DD$56,"&gt;="&amp;37)))*CAPA3_EXPANSION!DD$36)</f>
        <v>2828.2799999999997</v>
      </c>
      <c r="DE44" s="88">
        <f>IF(COUNTIF(CAPA3_EXPANSION!$D$56:DE$56,"&gt;="&amp;37)=0,0,SUP_CONTROL!$C$8*IF($B44="V",1,IF($B44="D",(1+SUP_VOLUMEN!$C$26),(1+SUP_VOLUMEN!$C$27)))*INDEX(SUP_C3_EXPANSION!$C$6:$F$6,MIN(4,COUNTIF(CAPA3_EXPANSION!$D$56:DE$56,"&gt;="&amp;37)))*CAPA3_EXPANSION!DE$36)</f>
        <v>2828.2799999999997</v>
      </c>
      <c r="DF44" s="88">
        <f>IF(COUNTIF(CAPA3_EXPANSION!$D$56:DF$56,"&gt;="&amp;37)=0,0,SUP_CONTROL!$C$8*IF($B44="V",1,IF($B44="D",(1+SUP_VOLUMEN!$C$26),(1+SUP_VOLUMEN!$C$27)))*INDEX(SUP_C3_EXPANSION!$C$6:$F$6,MIN(4,COUNTIF(CAPA3_EXPANSION!$D$56:DF$56,"&gt;="&amp;37)))*CAPA3_EXPANSION!DF$36)</f>
        <v>2828.2799999999997</v>
      </c>
      <c r="DG44" s="88">
        <f>IF(COUNTIF(CAPA3_EXPANSION!$D$56:DG$56,"&gt;="&amp;37)=0,0,SUP_CONTROL!$C$8*IF($B44="V",1,IF($B44="D",(1+SUP_VOLUMEN!$C$26),(1+SUP_VOLUMEN!$C$27)))*INDEX(SUP_C3_EXPANSION!$C$6:$F$6,MIN(4,COUNTIF(CAPA3_EXPANSION!$D$56:DG$56,"&gt;="&amp;37)))*CAPA3_EXPANSION!DG$36)</f>
        <v>2828.2799999999997</v>
      </c>
      <c r="DH44" s="88">
        <f>IF(COUNTIF(CAPA3_EXPANSION!$D$56:DH$56,"&gt;="&amp;37)=0,0,SUP_CONTROL!$C$8*IF($B44="V",1,IF($B44="D",(1+SUP_VOLUMEN!$C$26),(1+SUP_VOLUMEN!$C$27)))*INDEX(SUP_C3_EXPANSION!$C$6:$F$6,MIN(4,COUNTIF(CAPA3_EXPANSION!$D$56:DH$56,"&gt;="&amp;37)))*CAPA3_EXPANSION!DH$36)</f>
        <v>2828.2799999999997</v>
      </c>
      <c r="DI44" s="88">
        <f>IF(COUNTIF(CAPA3_EXPANSION!$D$56:DI$56,"&gt;="&amp;37)=0,0,SUP_CONTROL!$C$8*IF($B44="V",1,IF($B44="D",(1+SUP_VOLUMEN!$C$26),(1+SUP_VOLUMEN!$C$27)))*INDEX(SUP_C3_EXPANSION!$C$6:$F$6,MIN(4,COUNTIF(CAPA3_EXPANSION!$D$56:DI$56,"&gt;="&amp;37)))*CAPA3_EXPANSION!DI$36)</f>
        <v>2828.2799999999997</v>
      </c>
      <c r="DJ44" s="88">
        <f>IF(COUNTIF(CAPA3_EXPANSION!$D$56:DJ$56,"&gt;="&amp;37)=0,0,SUP_CONTROL!$C$8*IF($B44="V",1,IF($B44="D",(1+SUP_VOLUMEN!$C$26),(1+SUP_VOLUMEN!$C$27)))*INDEX(SUP_C3_EXPANSION!$C$6:$F$6,MIN(4,COUNTIF(CAPA3_EXPANSION!$D$56:DJ$56,"&gt;="&amp;37)))*CAPA3_EXPANSION!DJ$36)</f>
        <v>2828.2799999999997</v>
      </c>
      <c r="DK44" s="88">
        <f>IF(COUNTIF(CAPA3_EXPANSION!$D$56:DK$56,"&gt;="&amp;37)=0,0,SUP_CONTROL!$C$8*IF($B44="V",1,IF($B44="D",(1+SUP_VOLUMEN!$C$26),(1+SUP_VOLUMEN!$C$27)))*INDEX(SUP_C3_EXPANSION!$C$6:$F$6,MIN(4,COUNTIF(CAPA3_EXPANSION!$D$56:DK$56,"&gt;="&amp;37)))*CAPA3_EXPANSION!DK$36)</f>
        <v>2828.2799999999997</v>
      </c>
      <c r="DL44" s="88">
        <f>IF(COUNTIF(CAPA3_EXPANSION!$D$56:DL$56,"&gt;="&amp;37)=0,0,SUP_CONTROL!$C$8*IF($B44="V",1,IF($B44="D",(1+SUP_VOLUMEN!$C$26),(1+SUP_VOLUMEN!$C$27)))*INDEX(SUP_C3_EXPANSION!$C$6:$F$6,MIN(4,COUNTIF(CAPA3_EXPANSION!$D$56:DL$56,"&gt;="&amp;37)))*CAPA3_EXPANSION!DL$36)</f>
        <v>2828.2799999999997</v>
      </c>
      <c r="DM44" s="88">
        <f>IF(COUNTIF(CAPA3_EXPANSION!$D$56:DM$56,"&gt;="&amp;37)=0,0,SUP_CONTROL!$C$8*IF($B44="V",1,IF($B44="D",(1+SUP_VOLUMEN!$C$26),(1+SUP_VOLUMEN!$C$27)))*INDEX(SUP_C3_EXPANSION!$C$6:$F$6,MIN(4,COUNTIF(CAPA3_EXPANSION!$D$56:DM$56,"&gt;="&amp;37)))*CAPA3_EXPANSION!DM$36)</f>
        <v>2828.2799999999997</v>
      </c>
      <c r="DN44" s="88">
        <f>IF(COUNTIF(CAPA3_EXPANSION!$D$56:DN$56,"&gt;="&amp;37)=0,0,SUP_CONTROL!$C$8*IF($B44="V",1,IF($B44="D",(1+SUP_VOLUMEN!$C$26),(1+SUP_VOLUMEN!$C$27)))*INDEX(SUP_C3_EXPANSION!$C$6:$F$6,MIN(4,COUNTIF(CAPA3_EXPANSION!$D$56:DN$56,"&gt;="&amp;37)))*CAPA3_EXPANSION!DN$36)</f>
        <v>2828.2799999999997</v>
      </c>
      <c r="DO44" s="88">
        <f>IF(COUNTIF(CAPA3_EXPANSION!$D$56:DO$56,"&gt;="&amp;37)=0,0,SUP_CONTROL!$C$8*IF($B44="V",1,IF($B44="D",(1+SUP_VOLUMEN!$C$26),(1+SUP_VOLUMEN!$C$27)))*INDEX(SUP_C3_EXPANSION!$C$6:$F$6,MIN(4,COUNTIF(CAPA3_EXPANSION!$D$56:DO$56,"&gt;="&amp;37)))*CAPA3_EXPANSION!DO$36)</f>
        <v>2828.2799999999997</v>
      </c>
      <c r="DP44" s="88">
        <f>IF(COUNTIF(CAPA3_EXPANSION!$D$56:DP$56,"&gt;="&amp;37)=0,0,SUP_CONTROL!$C$8*IF($B44="V",1,IF($B44="D",(1+SUP_VOLUMEN!$C$26),(1+SUP_VOLUMEN!$C$27)))*INDEX(SUP_C3_EXPANSION!$C$6:$F$6,MIN(4,COUNTIF(CAPA3_EXPANSION!$D$56:DP$56,"&gt;="&amp;37)))*CAPA3_EXPANSION!DP$36)</f>
        <v>2828.2799999999997</v>
      </c>
      <c r="DQ44" s="88">
        <f>IF(COUNTIF(CAPA3_EXPANSION!$D$56:DQ$56,"&gt;="&amp;37)=0,0,SUP_CONTROL!$C$8*IF($B44="V",1,IF($B44="D",(1+SUP_VOLUMEN!$C$26),(1+SUP_VOLUMEN!$C$27)))*INDEX(SUP_C3_EXPANSION!$C$6:$F$6,MIN(4,COUNTIF(CAPA3_EXPANSION!$D$56:DQ$56,"&gt;="&amp;37)))*CAPA3_EXPANSION!DQ$36)</f>
        <v>2828.2799999999997</v>
      </c>
      <c r="DR44" s="88">
        <f>IF(COUNTIF(CAPA3_EXPANSION!$D$56:DR$56,"&gt;="&amp;37)=0,0,SUP_CONTROL!$C$8*IF($B44="V",1,IF($B44="D",(1+SUP_VOLUMEN!$C$26),(1+SUP_VOLUMEN!$C$27)))*INDEX(SUP_C3_EXPANSION!$C$6:$F$6,MIN(4,COUNTIF(CAPA3_EXPANSION!$D$56:DR$56,"&gt;="&amp;37)))*CAPA3_EXPANSION!DR$36)</f>
        <v>2828.2799999999997</v>
      </c>
      <c r="DS44" s="88">
        <f>IF(COUNTIF(CAPA3_EXPANSION!$D$56:DS$56,"&gt;="&amp;37)=0,0,SUP_CONTROL!$C$8*IF($B44="V",1,IF($B44="D",(1+SUP_VOLUMEN!$C$26),(1+SUP_VOLUMEN!$C$27)))*INDEX(SUP_C3_EXPANSION!$C$6:$F$6,MIN(4,COUNTIF(CAPA3_EXPANSION!$D$56:DS$56,"&gt;="&amp;37)))*CAPA3_EXPANSION!DS$36)</f>
        <v>2828.2799999999997</v>
      </c>
    </row>
    <row r="45" spans="1:123" ht="15" customHeight="1" x14ac:dyDescent="0.2">
      <c r="A45" s="88">
        <v>48</v>
      </c>
      <c r="B45" s="104" t="str">
        <f>SUP_C3_EXPANSION!B57</f>
        <v>D</v>
      </c>
      <c r="C45" s="73">
        <f>SUP_C3_EXPANSION!G57</f>
        <v>73</v>
      </c>
      <c r="D45" s="88">
        <f>IF(COUNTIF(CAPA3_EXPANSION!$D$56:D$56,"&gt;="&amp;38)=0,0,SUP_CONTROL!$C$8*IF($B45="V",1,IF($B45="D",(1+SUP_VOLUMEN!$C$26),(1+SUP_VOLUMEN!$C$27)))*INDEX(SUP_C3_EXPANSION!$C$6:$F$6,MIN(4,COUNTIF(CAPA3_EXPANSION!$D$56:D$56,"&gt;="&amp;38)))*CAPA3_EXPANSION!D$36)</f>
        <v>0</v>
      </c>
      <c r="E45" s="88">
        <f>IF(COUNTIF(CAPA3_EXPANSION!$D$56:E$56,"&gt;="&amp;38)=0,0,SUP_CONTROL!$C$8*IF($B45="V",1,IF($B45="D",(1+SUP_VOLUMEN!$C$26),(1+SUP_VOLUMEN!$C$27)))*INDEX(SUP_C3_EXPANSION!$C$6:$F$6,MIN(4,COUNTIF(CAPA3_EXPANSION!$D$56:E$56,"&gt;="&amp;38)))*CAPA3_EXPANSION!E$36)</f>
        <v>0</v>
      </c>
      <c r="F45" s="88">
        <f>IF(COUNTIF(CAPA3_EXPANSION!$D$56:F$56,"&gt;="&amp;38)=0,0,SUP_CONTROL!$C$8*IF($B45="V",1,IF($B45="D",(1+SUP_VOLUMEN!$C$26),(1+SUP_VOLUMEN!$C$27)))*INDEX(SUP_C3_EXPANSION!$C$6:$F$6,MIN(4,COUNTIF(CAPA3_EXPANSION!$D$56:F$56,"&gt;="&amp;38)))*CAPA3_EXPANSION!F$36)</f>
        <v>0</v>
      </c>
      <c r="G45" s="88">
        <f>IF(COUNTIF(CAPA3_EXPANSION!$D$56:G$56,"&gt;="&amp;38)=0,0,SUP_CONTROL!$C$8*IF($B45="V",1,IF($B45="D",(1+SUP_VOLUMEN!$C$26),(1+SUP_VOLUMEN!$C$27)))*INDEX(SUP_C3_EXPANSION!$C$6:$F$6,MIN(4,COUNTIF(CAPA3_EXPANSION!$D$56:G$56,"&gt;="&amp;38)))*CAPA3_EXPANSION!G$36)</f>
        <v>0</v>
      </c>
      <c r="H45" s="88">
        <f>IF(COUNTIF(CAPA3_EXPANSION!$D$56:H$56,"&gt;="&amp;38)=0,0,SUP_CONTROL!$C$8*IF($B45="V",1,IF($B45="D",(1+SUP_VOLUMEN!$C$26),(1+SUP_VOLUMEN!$C$27)))*INDEX(SUP_C3_EXPANSION!$C$6:$F$6,MIN(4,COUNTIF(CAPA3_EXPANSION!$D$56:H$56,"&gt;="&amp;38)))*CAPA3_EXPANSION!H$36)</f>
        <v>0</v>
      </c>
      <c r="I45" s="88">
        <f>IF(COUNTIF(CAPA3_EXPANSION!$D$56:I$56,"&gt;="&amp;38)=0,0,SUP_CONTROL!$C$8*IF($B45="V",1,IF($B45="D",(1+SUP_VOLUMEN!$C$26),(1+SUP_VOLUMEN!$C$27)))*INDEX(SUP_C3_EXPANSION!$C$6:$F$6,MIN(4,COUNTIF(CAPA3_EXPANSION!$D$56:I$56,"&gt;="&amp;38)))*CAPA3_EXPANSION!I$36)</f>
        <v>0</v>
      </c>
      <c r="J45" s="88">
        <f>IF(COUNTIF(CAPA3_EXPANSION!$D$56:J$56,"&gt;="&amp;38)=0,0,SUP_CONTROL!$C$8*IF($B45="V",1,IF($B45="D",(1+SUP_VOLUMEN!$C$26),(1+SUP_VOLUMEN!$C$27)))*INDEX(SUP_C3_EXPANSION!$C$6:$F$6,MIN(4,COUNTIF(CAPA3_EXPANSION!$D$56:J$56,"&gt;="&amp;38)))*CAPA3_EXPANSION!J$36)</f>
        <v>0</v>
      </c>
      <c r="K45" s="88">
        <f>IF(COUNTIF(CAPA3_EXPANSION!$D$56:K$56,"&gt;="&amp;38)=0,0,SUP_CONTROL!$C$8*IF($B45="V",1,IF($B45="D",(1+SUP_VOLUMEN!$C$26),(1+SUP_VOLUMEN!$C$27)))*INDEX(SUP_C3_EXPANSION!$C$6:$F$6,MIN(4,COUNTIF(CAPA3_EXPANSION!$D$56:K$56,"&gt;="&amp;38)))*CAPA3_EXPANSION!K$36)</f>
        <v>0</v>
      </c>
      <c r="L45" s="88">
        <f>IF(COUNTIF(CAPA3_EXPANSION!$D$56:L$56,"&gt;="&amp;38)=0,0,SUP_CONTROL!$C$8*IF($B45="V",1,IF($B45="D",(1+SUP_VOLUMEN!$C$26),(1+SUP_VOLUMEN!$C$27)))*INDEX(SUP_C3_EXPANSION!$C$6:$F$6,MIN(4,COUNTIF(CAPA3_EXPANSION!$D$56:L$56,"&gt;="&amp;38)))*CAPA3_EXPANSION!L$36)</f>
        <v>0</v>
      </c>
      <c r="M45" s="88">
        <f>IF(COUNTIF(CAPA3_EXPANSION!$D$56:M$56,"&gt;="&amp;38)=0,0,SUP_CONTROL!$C$8*IF($B45="V",1,IF($B45="D",(1+SUP_VOLUMEN!$C$26),(1+SUP_VOLUMEN!$C$27)))*INDEX(SUP_C3_EXPANSION!$C$6:$F$6,MIN(4,COUNTIF(CAPA3_EXPANSION!$D$56:M$56,"&gt;="&amp;38)))*CAPA3_EXPANSION!M$36)</f>
        <v>0</v>
      </c>
      <c r="N45" s="88">
        <f>IF(COUNTIF(CAPA3_EXPANSION!$D$56:N$56,"&gt;="&amp;38)=0,0,SUP_CONTROL!$C$8*IF($B45="V",1,IF($B45="D",(1+SUP_VOLUMEN!$C$26),(1+SUP_VOLUMEN!$C$27)))*INDEX(SUP_C3_EXPANSION!$C$6:$F$6,MIN(4,COUNTIF(CAPA3_EXPANSION!$D$56:N$56,"&gt;="&amp;38)))*CAPA3_EXPANSION!N$36)</f>
        <v>0</v>
      </c>
      <c r="O45" s="88">
        <f>IF(COUNTIF(CAPA3_EXPANSION!$D$56:O$56,"&gt;="&amp;38)=0,0,SUP_CONTROL!$C$8*IF($B45="V",1,IF($B45="D",(1+SUP_VOLUMEN!$C$26),(1+SUP_VOLUMEN!$C$27)))*INDEX(SUP_C3_EXPANSION!$C$6:$F$6,MIN(4,COUNTIF(CAPA3_EXPANSION!$D$56:O$56,"&gt;="&amp;38)))*CAPA3_EXPANSION!O$36)</f>
        <v>0</v>
      </c>
      <c r="P45" s="88">
        <f>IF(COUNTIF(CAPA3_EXPANSION!$D$56:P$56,"&gt;="&amp;38)=0,0,SUP_CONTROL!$C$8*IF($B45="V",1,IF($B45="D",(1+SUP_VOLUMEN!$C$26),(1+SUP_VOLUMEN!$C$27)))*INDEX(SUP_C3_EXPANSION!$C$6:$F$6,MIN(4,COUNTIF(CAPA3_EXPANSION!$D$56:P$56,"&gt;="&amp;38)))*CAPA3_EXPANSION!P$36)</f>
        <v>0</v>
      </c>
      <c r="Q45" s="88">
        <f>IF(COUNTIF(CAPA3_EXPANSION!$D$56:Q$56,"&gt;="&amp;38)=0,0,SUP_CONTROL!$C$8*IF($B45="V",1,IF($B45="D",(1+SUP_VOLUMEN!$C$26),(1+SUP_VOLUMEN!$C$27)))*INDEX(SUP_C3_EXPANSION!$C$6:$F$6,MIN(4,COUNTIF(CAPA3_EXPANSION!$D$56:Q$56,"&gt;="&amp;38)))*CAPA3_EXPANSION!Q$36)</f>
        <v>0</v>
      </c>
      <c r="R45" s="88">
        <f>IF(COUNTIF(CAPA3_EXPANSION!$D$56:R$56,"&gt;="&amp;38)=0,0,SUP_CONTROL!$C$8*IF($B45="V",1,IF($B45="D",(1+SUP_VOLUMEN!$C$26),(1+SUP_VOLUMEN!$C$27)))*INDEX(SUP_C3_EXPANSION!$C$6:$F$6,MIN(4,COUNTIF(CAPA3_EXPANSION!$D$56:R$56,"&gt;="&amp;38)))*CAPA3_EXPANSION!R$36)</f>
        <v>0</v>
      </c>
      <c r="S45" s="88">
        <f>IF(COUNTIF(CAPA3_EXPANSION!$D$56:S$56,"&gt;="&amp;38)=0,0,SUP_CONTROL!$C$8*IF($B45="V",1,IF($B45="D",(1+SUP_VOLUMEN!$C$26),(1+SUP_VOLUMEN!$C$27)))*INDEX(SUP_C3_EXPANSION!$C$6:$F$6,MIN(4,COUNTIF(CAPA3_EXPANSION!$D$56:S$56,"&gt;="&amp;38)))*CAPA3_EXPANSION!S$36)</f>
        <v>0</v>
      </c>
      <c r="T45" s="88">
        <f>IF(COUNTIF(CAPA3_EXPANSION!$D$56:T$56,"&gt;="&amp;38)=0,0,SUP_CONTROL!$C$8*IF($B45="V",1,IF($B45="D",(1+SUP_VOLUMEN!$C$26),(1+SUP_VOLUMEN!$C$27)))*INDEX(SUP_C3_EXPANSION!$C$6:$F$6,MIN(4,COUNTIF(CAPA3_EXPANSION!$D$56:T$56,"&gt;="&amp;38)))*CAPA3_EXPANSION!T$36)</f>
        <v>0</v>
      </c>
      <c r="U45" s="88">
        <f>IF(COUNTIF(CAPA3_EXPANSION!$D$56:U$56,"&gt;="&amp;38)=0,0,SUP_CONTROL!$C$8*IF($B45="V",1,IF($B45="D",(1+SUP_VOLUMEN!$C$26),(1+SUP_VOLUMEN!$C$27)))*INDEX(SUP_C3_EXPANSION!$C$6:$F$6,MIN(4,COUNTIF(CAPA3_EXPANSION!$D$56:U$56,"&gt;="&amp;38)))*CAPA3_EXPANSION!U$36)</f>
        <v>0</v>
      </c>
      <c r="V45" s="88">
        <f>IF(COUNTIF(CAPA3_EXPANSION!$D$56:V$56,"&gt;="&amp;38)=0,0,SUP_CONTROL!$C$8*IF($B45="V",1,IF($B45="D",(1+SUP_VOLUMEN!$C$26),(1+SUP_VOLUMEN!$C$27)))*INDEX(SUP_C3_EXPANSION!$C$6:$F$6,MIN(4,COUNTIF(CAPA3_EXPANSION!$D$56:V$56,"&gt;="&amp;38)))*CAPA3_EXPANSION!V$36)</f>
        <v>0</v>
      </c>
      <c r="W45" s="88">
        <f>IF(COUNTIF(CAPA3_EXPANSION!$D$56:W$56,"&gt;="&amp;38)=0,0,SUP_CONTROL!$C$8*IF($B45="V",1,IF($B45="D",(1+SUP_VOLUMEN!$C$26),(1+SUP_VOLUMEN!$C$27)))*INDEX(SUP_C3_EXPANSION!$C$6:$F$6,MIN(4,COUNTIF(CAPA3_EXPANSION!$D$56:W$56,"&gt;="&amp;38)))*CAPA3_EXPANSION!W$36)</f>
        <v>0</v>
      </c>
      <c r="X45" s="88">
        <f>IF(COUNTIF(CAPA3_EXPANSION!$D$56:X$56,"&gt;="&amp;38)=0,0,SUP_CONTROL!$C$8*IF($B45="V",1,IF($B45="D",(1+SUP_VOLUMEN!$C$26),(1+SUP_VOLUMEN!$C$27)))*INDEX(SUP_C3_EXPANSION!$C$6:$F$6,MIN(4,COUNTIF(CAPA3_EXPANSION!$D$56:X$56,"&gt;="&amp;38)))*CAPA3_EXPANSION!X$36)</f>
        <v>0</v>
      </c>
      <c r="Y45" s="88">
        <f>IF(COUNTIF(CAPA3_EXPANSION!$D$56:Y$56,"&gt;="&amp;38)=0,0,SUP_CONTROL!$C$8*IF($B45="V",1,IF($B45="D",(1+SUP_VOLUMEN!$C$26),(1+SUP_VOLUMEN!$C$27)))*INDEX(SUP_C3_EXPANSION!$C$6:$F$6,MIN(4,COUNTIF(CAPA3_EXPANSION!$D$56:Y$56,"&gt;="&amp;38)))*CAPA3_EXPANSION!Y$36)</f>
        <v>0</v>
      </c>
      <c r="Z45" s="88">
        <f>IF(COUNTIF(CAPA3_EXPANSION!$D$56:Z$56,"&gt;="&amp;38)=0,0,SUP_CONTROL!$C$8*IF($B45="V",1,IF($B45="D",(1+SUP_VOLUMEN!$C$26),(1+SUP_VOLUMEN!$C$27)))*INDEX(SUP_C3_EXPANSION!$C$6:$F$6,MIN(4,COUNTIF(CAPA3_EXPANSION!$D$56:Z$56,"&gt;="&amp;38)))*CAPA3_EXPANSION!Z$36)</f>
        <v>0</v>
      </c>
      <c r="AA45" s="88">
        <f>IF(COUNTIF(CAPA3_EXPANSION!$D$56:AA$56,"&gt;="&amp;38)=0,0,SUP_CONTROL!$C$8*IF($B45="V",1,IF($B45="D",(1+SUP_VOLUMEN!$C$26),(1+SUP_VOLUMEN!$C$27)))*INDEX(SUP_C3_EXPANSION!$C$6:$F$6,MIN(4,COUNTIF(CAPA3_EXPANSION!$D$56:AA$56,"&gt;="&amp;38)))*CAPA3_EXPANSION!AA$36)</f>
        <v>0</v>
      </c>
      <c r="AB45" s="88">
        <f>IF(COUNTIF(CAPA3_EXPANSION!$D$56:AB$56,"&gt;="&amp;38)=0,0,SUP_CONTROL!$C$8*IF($B45="V",1,IF($B45="D",(1+SUP_VOLUMEN!$C$26),(1+SUP_VOLUMEN!$C$27)))*INDEX(SUP_C3_EXPANSION!$C$6:$F$6,MIN(4,COUNTIF(CAPA3_EXPANSION!$D$56:AB$56,"&gt;="&amp;38)))*CAPA3_EXPANSION!AB$36)</f>
        <v>0</v>
      </c>
      <c r="AC45" s="88">
        <f>IF(COUNTIF(CAPA3_EXPANSION!$D$56:AC$56,"&gt;="&amp;38)=0,0,SUP_CONTROL!$C$8*IF($B45="V",1,IF($B45="D",(1+SUP_VOLUMEN!$C$26),(1+SUP_VOLUMEN!$C$27)))*INDEX(SUP_C3_EXPANSION!$C$6:$F$6,MIN(4,COUNTIF(CAPA3_EXPANSION!$D$56:AC$56,"&gt;="&amp;38)))*CAPA3_EXPANSION!AC$36)</f>
        <v>0</v>
      </c>
      <c r="AD45" s="88">
        <f>IF(COUNTIF(CAPA3_EXPANSION!$D$56:AD$56,"&gt;="&amp;38)=0,0,SUP_CONTROL!$C$8*IF($B45="V",1,IF($B45="D",(1+SUP_VOLUMEN!$C$26),(1+SUP_VOLUMEN!$C$27)))*INDEX(SUP_C3_EXPANSION!$C$6:$F$6,MIN(4,COUNTIF(CAPA3_EXPANSION!$D$56:AD$56,"&gt;="&amp;38)))*CAPA3_EXPANSION!AD$36)</f>
        <v>0</v>
      </c>
      <c r="AE45" s="88">
        <f>IF(COUNTIF(CAPA3_EXPANSION!$D$56:AE$56,"&gt;="&amp;38)=0,0,SUP_CONTROL!$C$8*IF($B45="V",1,IF($B45="D",(1+SUP_VOLUMEN!$C$26),(1+SUP_VOLUMEN!$C$27)))*INDEX(SUP_C3_EXPANSION!$C$6:$F$6,MIN(4,COUNTIF(CAPA3_EXPANSION!$D$56:AE$56,"&gt;="&amp;38)))*CAPA3_EXPANSION!AE$36)</f>
        <v>0</v>
      </c>
      <c r="AF45" s="88">
        <f>IF(COUNTIF(CAPA3_EXPANSION!$D$56:AF$56,"&gt;="&amp;38)=0,0,SUP_CONTROL!$C$8*IF($B45="V",1,IF($B45="D",(1+SUP_VOLUMEN!$C$26),(1+SUP_VOLUMEN!$C$27)))*INDEX(SUP_C3_EXPANSION!$C$6:$F$6,MIN(4,COUNTIF(CAPA3_EXPANSION!$D$56:AF$56,"&gt;="&amp;38)))*CAPA3_EXPANSION!AF$36)</f>
        <v>0</v>
      </c>
      <c r="AG45" s="88">
        <f>IF(COUNTIF(CAPA3_EXPANSION!$D$56:AG$56,"&gt;="&amp;38)=0,0,SUP_CONTROL!$C$8*IF($B45="V",1,IF($B45="D",(1+SUP_VOLUMEN!$C$26),(1+SUP_VOLUMEN!$C$27)))*INDEX(SUP_C3_EXPANSION!$C$6:$F$6,MIN(4,COUNTIF(CAPA3_EXPANSION!$D$56:AG$56,"&gt;="&amp;38)))*CAPA3_EXPANSION!AG$36)</f>
        <v>0</v>
      </c>
      <c r="AH45" s="88">
        <f>IF(COUNTIF(CAPA3_EXPANSION!$D$56:AH$56,"&gt;="&amp;38)=0,0,SUP_CONTROL!$C$8*IF($B45="V",1,IF($B45="D",(1+SUP_VOLUMEN!$C$26),(1+SUP_VOLUMEN!$C$27)))*INDEX(SUP_C3_EXPANSION!$C$6:$F$6,MIN(4,COUNTIF(CAPA3_EXPANSION!$D$56:AH$56,"&gt;="&amp;38)))*CAPA3_EXPANSION!AH$36)</f>
        <v>0</v>
      </c>
      <c r="AI45" s="88">
        <f>IF(COUNTIF(CAPA3_EXPANSION!$D$56:AI$56,"&gt;="&amp;38)=0,0,SUP_CONTROL!$C$8*IF($B45="V",1,IF($B45="D",(1+SUP_VOLUMEN!$C$26),(1+SUP_VOLUMEN!$C$27)))*INDEX(SUP_C3_EXPANSION!$C$6:$F$6,MIN(4,COUNTIF(CAPA3_EXPANSION!$D$56:AI$56,"&gt;="&amp;38)))*CAPA3_EXPANSION!AI$36)</f>
        <v>0</v>
      </c>
      <c r="AJ45" s="88">
        <f>IF(COUNTIF(CAPA3_EXPANSION!$D$56:AJ$56,"&gt;="&amp;38)=0,0,SUP_CONTROL!$C$8*IF($B45="V",1,IF($B45="D",(1+SUP_VOLUMEN!$C$26),(1+SUP_VOLUMEN!$C$27)))*INDEX(SUP_C3_EXPANSION!$C$6:$F$6,MIN(4,COUNTIF(CAPA3_EXPANSION!$D$56:AJ$56,"&gt;="&amp;38)))*CAPA3_EXPANSION!AJ$36)</f>
        <v>0</v>
      </c>
      <c r="AK45" s="88">
        <f>IF(COUNTIF(CAPA3_EXPANSION!$D$56:AK$56,"&gt;="&amp;38)=0,0,SUP_CONTROL!$C$8*IF($B45="V",1,IF($B45="D",(1+SUP_VOLUMEN!$C$26),(1+SUP_VOLUMEN!$C$27)))*INDEX(SUP_C3_EXPANSION!$C$6:$F$6,MIN(4,COUNTIF(CAPA3_EXPANSION!$D$56:AK$56,"&gt;="&amp;38)))*CAPA3_EXPANSION!AK$36)</f>
        <v>0</v>
      </c>
      <c r="AL45" s="88">
        <f>IF(COUNTIF(CAPA3_EXPANSION!$D$56:AL$56,"&gt;="&amp;38)=0,0,SUP_CONTROL!$C$8*IF($B45="V",1,IF($B45="D",(1+SUP_VOLUMEN!$C$26),(1+SUP_VOLUMEN!$C$27)))*INDEX(SUP_C3_EXPANSION!$C$6:$F$6,MIN(4,COUNTIF(CAPA3_EXPANSION!$D$56:AL$56,"&gt;="&amp;38)))*CAPA3_EXPANSION!AL$36)</f>
        <v>0</v>
      </c>
      <c r="AM45" s="88">
        <f>IF(COUNTIF(CAPA3_EXPANSION!$D$56:AM$56,"&gt;="&amp;38)=0,0,SUP_CONTROL!$C$8*IF($B45="V",1,IF($B45="D",(1+SUP_VOLUMEN!$C$26),(1+SUP_VOLUMEN!$C$27)))*INDEX(SUP_C3_EXPANSION!$C$6:$F$6,MIN(4,COUNTIF(CAPA3_EXPANSION!$D$56:AM$56,"&gt;="&amp;38)))*CAPA3_EXPANSION!AM$36)</f>
        <v>0</v>
      </c>
      <c r="AN45" s="88">
        <f>IF(COUNTIF(CAPA3_EXPANSION!$D$56:AN$56,"&gt;="&amp;38)=0,0,SUP_CONTROL!$C$8*IF($B45="V",1,IF($B45="D",(1+SUP_VOLUMEN!$C$26),(1+SUP_VOLUMEN!$C$27)))*INDEX(SUP_C3_EXPANSION!$C$6:$F$6,MIN(4,COUNTIF(CAPA3_EXPANSION!$D$56:AN$56,"&gt;="&amp;38)))*CAPA3_EXPANSION!AN$36)</f>
        <v>0</v>
      </c>
      <c r="AO45" s="88">
        <f>IF(COUNTIF(CAPA3_EXPANSION!$D$56:AO$56,"&gt;="&amp;38)=0,0,SUP_CONTROL!$C$8*IF($B45="V",1,IF($B45="D",(1+SUP_VOLUMEN!$C$26),(1+SUP_VOLUMEN!$C$27)))*INDEX(SUP_C3_EXPANSION!$C$6:$F$6,MIN(4,COUNTIF(CAPA3_EXPANSION!$D$56:AO$56,"&gt;="&amp;38)))*CAPA3_EXPANSION!AO$36)</f>
        <v>0</v>
      </c>
      <c r="AP45" s="88">
        <f>IF(COUNTIF(CAPA3_EXPANSION!$D$56:AP$56,"&gt;="&amp;38)=0,0,SUP_CONTROL!$C$8*IF($B45="V",1,IF($B45="D",(1+SUP_VOLUMEN!$C$26),(1+SUP_VOLUMEN!$C$27)))*INDEX(SUP_C3_EXPANSION!$C$6:$F$6,MIN(4,COUNTIF(CAPA3_EXPANSION!$D$56:AP$56,"&gt;="&amp;38)))*CAPA3_EXPANSION!AP$36)</f>
        <v>0</v>
      </c>
      <c r="AQ45" s="88">
        <f>IF(COUNTIF(CAPA3_EXPANSION!$D$56:AQ$56,"&gt;="&amp;38)=0,0,SUP_CONTROL!$C$8*IF($B45="V",1,IF($B45="D",(1+SUP_VOLUMEN!$C$26),(1+SUP_VOLUMEN!$C$27)))*INDEX(SUP_C3_EXPANSION!$C$6:$F$6,MIN(4,COUNTIF(CAPA3_EXPANSION!$D$56:AQ$56,"&gt;="&amp;38)))*CAPA3_EXPANSION!AQ$36)</f>
        <v>0</v>
      </c>
      <c r="AR45" s="88">
        <f>IF(COUNTIF(CAPA3_EXPANSION!$D$56:AR$56,"&gt;="&amp;38)=0,0,SUP_CONTROL!$C$8*IF($B45="V",1,IF($B45="D",(1+SUP_VOLUMEN!$C$26),(1+SUP_VOLUMEN!$C$27)))*INDEX(SUP_C3_EXPANSION!$C$6:$F$6,MIN(4,COUNTIF(CAPA3_EXPANSION!$D$56:AR$56,"&gt;="&amp;38)))*CAPA3_EXPANSION!AR$36)</f>
        <v>0</v>
      </c>
      <c r="AS45" s="88">
        <f>IF(COUNTIF(CAPA3_EXPANSION!$D$56:AS$56,"&gt;="&amp;38)=0,0,SUP_CONTROL!$C$8*IF($B45="V",1,IF($B45="D",(1+SUP_VOLUMEN!$C$26),(1+SUP_VOLUMEN!$C$27)))*INDEX(SUP_C3_EXPANSION!$C$6:$F$6,MIN(4,COUNTIF(CAPA3_EXPANSION!$D$56:AS$56,"&gt;="&amp;38)))*CAPA3_EXPANSION!AS$36)</f>
        <v>0</v>
      </c>
      <c r="AT45" s="88">
        <f>IF(COUNTIF(CAPA3_EXPANSION!$D$56:AT$56,"&gt;="&amp;38)=0,0,SUP_CONTROL!$C$8*IF($B45="V",1,IF($B45="D",(1+SUP_VOLUMEN!$C$26),(1+SUP_VOLUMEN!$C$27)))*INDEX(SUP_C3_EXPANSION!$C$6:$F$6,MIN(4,COUNTIF(CAPA3_EXPANSION!$D$56:AT$56,"&gt;="&amp;38)))*CAPA3_EXPANSION!AT$36)</f>
        <v>0</v>
      </c>
      <c r="AU45" s="88">
        <f>IF(COUNTIF(CAPA3_EXPANSION!$D$56:AU$56,"&gt;="&amp;38)=0,0,SUP_CONTROL!$C$8*IF($B45="V",1,IF($B45="D",(1+SUP_VOLUMEN!$C$26),(1+SUP_VOLUMEN!$C$27)))*INDEX(SUP_C3_EXPANSION!$C$6:$F$6,MIN(4,COUNTIF(CAPA3_EXPANSION!$D$56:AU$56,"&gt;="&amp;38)))*CAPA3_EXPANSION!AU$36)</f>
        <v>0</v>
      </c>
      <c r="AV45" s="88">
        <f>IF(COUNTIF(CAPA3_EXPANSION!$D$56:AV$56,"&gt;="&amp;38)=0,0,SUP_CONTROL!$C$8*IF($B45="V",1,IF($B45="D",(1+SUP_VOLUMEN!$C$26),(1+SUP_VOLUMEN!$C$27)))*INDEX(SUP_C3_EXPANSION!$C$6:$F$6,MIN(4,COUNTIF(CAPA3_EXPANSION!$D$56:AV$56,"&gt;="&amp;38)))*CAPA3_EXPANSION!AV$36)</f>
        <v>0</v>
      </c>
      <c r="AW45" s="88">
        <f>IF(COUNTIF(CAPA3_EXPANSION!$D$56:AW$56,"&gt;="&amp;38)=0,0,SUP_CONTROL!$C$8*IF($B45="V",1,IF($B45="D",(1+SUP_VOLUMEN!$C$26),(1+SUP_VOLUMEN!$C$27)))*INDEX(SUP_C3_EXPANSION!$C$6:$F$6,MIN(4,COUNTIF(CAPA3_EXPANSION!$D$56:AW$56,"&gt;="&amp;38)))*CAPA3_EXPANSION!AW$36)</f>
        <v>0</v>
      </c>
      <c r="AX45" s="88">
        <f>IF(COUNTIF(CAPA3_EXPANSION!$D$56:AX$56,"&gt;="&amp;38)=0,0,SUP_CONTROL!$C$8*IF($B45="V",1,IF($B45="D",(1+SUP_VOLUMEN!$C$26),(1+SUP_VOLUMEN!$C$27)))*INDEX(SUP_C3_EXPANSION!$C$6:$F$6,MIN(4,COUNTIF(CAPA3_EXPANSION!$D$56:AX$56,"&gt;="&amp;38)))*CAPA3_EXPANSION!AX$36)</f>
        <v>0</v>
      </c>
      <c r="AY45" s="88">
        <f>IF(COUNTIF(CAPA3_EXPANSION!$D$56:AY$56,"&gt;="&amp;38)=0,0,SUP_CONTROL!$C$8*IF($B45="V",1,IF($B45="D",(1+SUP_VOLUMEN!$C$26),(1+SUP_VOLUMEN!$C$27)))*INDEX(SUP_C3_EXPANSION!$C$6:$F$6,MIN(4,COUNTIF(CAPA3_EXPANSION!$D$56:AY$56,"&gt;="&amp;38)))*CAPA3_EXPANSION!AY$36)</f>
        <v>0</v>
      </c>
      <c r="AZ45" s="88">
        <f>IF(COUNTIF(CAPA3_EXPANSION!$D$56:AZ$56,"&gt;="&amp;38)=0,0,SUP_CONTROL!$C$8*IF($B45="V",1,IF($B45="D",(1+SUP_VOLUMEN!$C$26),(1+SUP_VOLUMEN!$C$27)))*INDEX(SUP_C3_EXPANSION!$C$6:$F$6,MIN(4,COUNTIF(CAPA3_EXPANSION!$D$56:AZ$56,"&gt;="&amp;38)))*CAPA3_EXPANSION!AZ$36)</f>
        <v>0</v>
      </c>
      <c r="BA45" s="88">
        <f>IF(COUNTIF(CAPA3_EXPANSION!$D$56:BA$56,"&gt;="&amp;38)=0,0,SUP_CONTROL!$C$8*IF($B45="V",1,IF($B45="D",(1+SUP_VOLUMEN!$C$26),(1+SUP_VOLUMEN!$C$27)))*INDEX(SUP_C3_EXPANSION!$C$6:$F$6,MIN(4,COUNTIF(CAPA3_EXPANSION!$D$56:BA$56,"&gt;="&amp;38)))*CAPA3_EXPANSION!BA$36)</f>
        <v>0</v>
      </c>
      <c r="BB45" s="88">
        <f>IF(COUNTIF(CAPA3_EXPANSION!$D$56:BB$56,"&gt;="&amp;38)=0,0,SUP_CONTROL!$C$8*IF($B45="V",1,IF($B45="D",(1+SUP_VOLUMEN!$C$26),(1+SUP_VOLUMEN!$C$27)))*INDEX(SUP_C3_EXPANSION!$C$6:$F$6,MIN(4,COUNTIF(CAPA3_EXPANSION!$D$56:BB$56,"&gt;="&amp;38)))*CAPA3_EXPANSION!BB$36)</f>
        <v>0</v>
      </c>
      <c r="BC45" s="88">
        <f>IF(COUNTIF(CAPA3_EXPANSION!$D$56:BC$56,"&gt;="&amp;38)=0,0,SUP_CONTROL!$C$8*IF($B45="V",1,IF($B45="D",(1+SUP_VOLUMEN!$C$26),(1+SUP_VOLUMEN!$C$27)))*INDEX(SUP_C3_EXPANSION!$C$6:$F$6,MIN(4,COUNTIF(CAPA3_EXPANSION!$D$56:BC$56,"&gt;="&amp;38)))*CAPA3_EXPANSION!BC$36)</f>
        <v>0</v>
      </c>
      <c r="BD45" s="88">
        <f>IF(COUNTIF(CAPA3_EXPANSION!$D$56:BD$56,"&gt;="&amp;38)=0,0,SUP_CONTROL!$C$8*IF($B45="V",1,IF($B45="D",(1+SUP_VOLUMEN!$C$26),(1+SUP_VOLUMEN!$C$27)))*INDEX(SUP_C3_EXPANSION!$C$6:$F$6,MIN(4,COUNTIF(CAPA3_EXPANSION!$D$56:BD$56,"&gt;="&amp;38)))*CAPA3_EXPANSION!BD$36)</f>
        <v>0</v>
      </c>
      <c r="BE45" s="88">
        <f>IF(COUNTIF(CAPA3_EXPANSION!$D$56:BE$56,"&gt;="&amp;38)=0,0,SUP_CONTROL!$C$8*IF($B45="V",1,IF($B45="D",(1+SUP_VOLUMEN!$C$26),(1+SUP_VOLUMEN!$C$27)))*INDEX(SUP_C3_EXPANSION!$C$6:$F$6,MIN(4,COUNTIF(CAPA3_EXPANSION!$D$56:BE$56,"&gt;="&amp;38)))*CAPA3_EXPANSION!BE$36)</f>
        <v>0</v>
      </c>
      <c r="BF45" s="88">
        <f>IF(COUNTIF(CAPA3_EXPANSION!$D$56:BF$56,"&gt;="&amp;38)=0,0,SUP_CONTROL!$C$8*IF($B45="V",1,IF($B45="D",(1+SUP_VOLUMEN!$C$26),(1+SUP_VOLUMEN!$C$27)))*INDEX(SUP_C3_EXPANSION!$C$6:$F$6,MIN(4,COUNTIF(CAPA3_EXPANSION!$D$56:BF$56,"&gt;="&amp;38)))*CAPA3_EXPANSION!BF$36)</f>
        <v>0</v>
      </c>
      <c r="BG45" s="88">
        <f>IF(COUNTIF(CAPA3_EXPANSION!$D$56:BG$56,"&gt;="&amp;38)=0,0,SUP_CONTROL!$C$8*IF($B45="V",1,IF($B45="D",(1+SUP_VOLUMEN!$C$26),(1+SUP_VOLUMEN!$C$27)))*INDEX(SUP_C3_EXPANSION!$C$6:$F$6,MIN(4,COUNTIF(CAPA3_EXPANSION!$D$56:BG$56,"&gt;="&amp;38)))*CAPA3_EXPANSION!BG$36)</f>
        <v>0</v>
      </c>
      <c r="BH45" s="88">
        <f>IF(COUNTIF(CAPA3_EXPANSION!$D$56:BH$56,"&gt;="&amp;38)=0,0,SUP_CONTROL!$C$8*IF($B45="V",1,IF($B45="D",(1+SUP_VOLUMEN!$C$26),(1+SUP_VOLUMEN!$C$27)))*INDEX(SUP_C3_EXPANSION!$C$6:$F$6,MIN(4,COUNTIF(CAPA3_EXPANSION!$D$56:BH$56,"&gt;="&amp;38)))*CAPA3_EXPANSION!BH$36)</f>
        <v>0</v>
      </c>
      <c r="BI45" s="88">
        <f>IF(COUNTIF(CAPA3_EXPANSION!$D$56:BI$56,"&gt;="&amp;38)=0,0,SUP_CONTROL!$C$8*IF($B45="V",1,IF($B45="D",(1+SUP_VOLUMEN!$C$26),(1+SUP_VOLUMEN!$C$27)))*INDEX(SUP_C3_EXPANSION!$C$6:$F$6,MIN(4,COUNTIF(CAPA3_EXPANSION!$D$56:BI$56,"&gt;="&amp;38)))*CAPA3_EXPANSION!BI$36)</f>
        <v>0</v>
      </c>
      <c r="BJ45" s="88">
        <f>IF(COUNTIF(CAPA3_EXPANSION!$D$56:BJ$56,"&gt;="&amp;38)=0,0,SUP_CONTROL!$C$8*IF($B45="V",1,IF($B45="D",(1+SUP_VOLUMEN!$C$26),(1+SUP_VOLUMEN!$C$27)))*INDEX(SUP_C3_EXPANSION!$C$6:$F$6,MIN(4,COUNTIF(CAPA3_EXPANSION!$D$56:BJ$56,"&gt;="&amp;38)))*CAPA3_EXPANSION!BJ$36)</f>
        <v>0</v>
      </c>
      <c r="BK45" s="88">
        <f>IF(COUNTIF(CAPA3_EXPANSION!$D$56:BK$56,"&gt;="&amp;38)=0,0,SUP_CONTROL!$C$8*IF($B45="V",1,IF($B45="D",(1+SUP_VOLUMEN!$C$26),(1+SUP_VOLUMEN!$C$27)))*INDEX(SUP_C3_EXPANSION!$C$6:$F$6,MIN(4,COUNTIF(CAPA3_EXPANSION!$D$56:BK$56,"&gt;="&amp;38)))*CAPA3_EXPANSION!BK$36)</f>
        <v>0</v>
      </c>
      <c r="BL45" s="88">
        <f>IF(COUNTIF(CAPA3_EXPANSION!$D$56:BL$56,"&gt;="&amp;38)=0,0,SUP_CONTROL!$C$8*IF($B45="V",1,IF($B45="D",(1+SUP_VOLUMEN!$C$26),(1+SUP_VOLUMEN!$C$27)))*INDEX(SUP_C3_EXPANSION!$C$6:$F$6,MIN(4,COUNTIF(CAPA3_EXPANSION!$D$56:BL$56,"&gt;="&amp;38)))*CAPA3_EXPANSION!BL$36)</f>
        <v>0</v>
      </c>
      <c r="BM45" s="88">
        <f>IF(COUNTIF(CAPA3_EXPANSION!$D$56:BM$56,"&gt;="&amp;38)=0,0,SUP_CONTROL!$C$8*IF($B45="V",1,IF($B45="D",(1+SUP_VOLUMEN!$C$26),(1+SUP_VOLUMEN!$C$27)))*INDEX(SUP_C3_EXPANSION!$C$6:$F$6,MIN(4,COUNTIF(CAPA3_EXPANSION!$D$56:BM$56,"&gt;="&amp;38)))*CAPA3_EXPANSION!BM$36)</f>
        <v>0</v>
      </c>
      <c r="BN45" s="88">
        <f>IF(COUNTIF(CAPA3_EXPANSION!$D$56:BN$56,"&gt;="&amp;38)=0,0,SUP_CONTROL!$C$8*IF($B45="V",1,IF($B45="D",(1+SUP_VOLUMEN!$C$26),(1+SUP_VOLUMEN!$C$27)))*INDEX(SUP_C3_EXPANSION!$C$6:$F$6,MIN(4,COUNTIF(CAPA3_EXPANSION!$D$56:BN$56,"&gt;="&amp;38)))*CAPA3_EXPANSION!BN$36)</f>
        <v>0</v>
      </c>
      <c r="BO45" s="88">
        <f>IF(COUNTIF(CAPA3_EXPANSION!$D$56:BO$56,"&gt;="&amp;38)=0,0,SUP_CONTROL!$C$8*IF($B45="V",1,IF($B45="D",(1+SUP_VOLUMEN!$C$26),(1+SUP_VOLUMEN!$C$27)))*INDEX(SUP_C3_EXPANSION!$C$6:$F$6,MIN(4,COUNTIF(CAPA3_EXPANSION!$D$56:BO$56,"&gt;="&amp;38)))*CAPA3_EXPANSION!BO$36)</f>
        <v>0</v>
      </c>
      <c r="BP45" s="88">
        <f>IF(COUNTIF(CAPA3_EXPANSION!$D$56:BP$56,"&gt;="&amp;38)=0,0,SUP_CONTROL!$C$8*IF($B45="V",1,IF($B45="D",(1+SUP_VOLUMEN!$C$26),(1+SUP_VOLUMEN!$C$27)))*INDEX(SUP_C3_EXPANSION!$C$6:$F$6,MIN(4,COUNTIF(CAPA3_EXPANSION!$D$56:BP$56,"&gt;="&amp;38)))*CAPA3_EXPANSION!BP$36)</f>
        <v>0</v>
      </c>
      <c r="BQ45" s="88">
        <f>IF(COUNTIF(CAPA3_EXPANSION!$D$56:BQ$56,"&gt;="&amp;38)=0,0,SUP_CONTROL!$C$8*IF($B45="V",1,IF($B45="D",(1+SUP_VOLUMEN!$C$26),(1+SUP_VOLUMEN!$C$27)))*INDEX(SUP_C3_EXPANSION!$C$6:$F$6,MIN(4,COUNTIF(CAPA3_EXPANSION!$D$56:BQ$56,"&gt;="&amp;38)))*CAPA3_EXPANSION!BQ$36)</f>
        <v>0</v>
      </c>
      <c r="BR45" s="88">
        <f>IF(COUNTIF(CAPA3_EXPANSION!$D$56:BR$56,"&gt;="&amp;38)=0,0,SUP_CONTROL!$C$8*IF($B45="V",1,IF($B45="D",(1+SUP_VOLUMEN!$C$26),(1+SUP_VOLUMEN!$C$27)))*INDEX(SUP_C3_EXPANSION!$C$6:$F$6,MIN(4,COUNTIF(CAPA3_EXPANSION!$D$56:BR$56,"&gt;="&amp;38)))*CAPA3_EXPANSION!BR$36)</f>
        <v>0</v>
      </c>
      <c r="BS45" s="88">
        <f>IF(COUNTIF(CAPA3_EXPANSION!$D$56:BS$56,"&gt;="&amp;38)=0,0,SUP_CONTROL!$C$8*IF($B45="V",1,IF($B45="D",(1+SUP_VOLUMEN!$C$26),(1+SUP_VOLUMEN!$C$27)))*INDEX(SUP_C3_EXPANSION!$C$6:$F$6,MIN(4,COUNTIF(CAPA3_EXPANSION!$D$56:BS$56,"&gt;="&amp;38)))*CAPA3_EXPANSION!BS$36)</f>
        <v>0</v>
      </c>
      <c r="BT45" s="88">
        <f>IF(COUNTIF(CAPA3_EXPANSION!$D$56:BT$56,"&gt;="&amp;38)=0,0,SUP_CONTROL!$C$8*IF($B45="V",1,IF($B45="D",(1+SUP_VOLUMEN!$C$26),(1+SUP_VOLUMEN!$C$27)))*INDEX(SUP_C3_EXPANSION!$C$6:$F$6,MIN(4,COUNTIF(CAPA3_EXPANSION!$D$56:BT$56,"&gt;="&amp;38)))*CAPA3_EXPANSION!BT$36)</f>
        <v>0</v>
      </c>
      <c r="BU45" s="88">
        <f>IF(COUNTIF(CAPA3_EXPANSION!$D$56:BU$56,"&gt;="&amp;38)=0,0,SUP_CONTROL!$C$8*IF($B45="V",1,IF($B45="D",(1+SUP_VOLUMEN!$C$26),(1+SUP_VOLUMEN!$C$27)))*INDEX(SUP_C3_EXPANSION!$C$6:$F$6,MIN(4,COUNTIF(CAPA3_EXPANSION!$D$56:BU$56,"&gt;="&amp;38)))*CAPA3_EXPANSION!BU$36)</f>
        <v>0</v>
      </c>
      <c r="BV45" s="88">
        <f>IF(COUNTIF(CAPA3_EXPANSION!$D$56:BV$56,"&gt;="&amp;38)=0,0,SUP_CONTROL!$C$8*IF($B45="V",1,IF($B45="D",(1+SUP_VOLUMEN!$C$26),(1+SUP_VOLUMEN!$C$27)))*INDEX(SUP_C3_EXPANSION!$C$6:$F$6,MIN(4,COUNTIF(CAPA3_EXPANSION!$D$56:BV$56,"&gt;="&amp;38)))*CAPA3_EXPANSION!BV$36)</f>
        <v>0</v>
      </c>
      <c r="BW45" s="88">
        <f>IF(COUNTIF(CAPA3_EXPANSION!$D$56:BW$56,"&gt;="&amp;38)=0,0,SUP_CONTROL!$C$8*IF($B45="V",1,IF($B45="D",(1+SUP_VOLUMEN!$C$26),(1+SUP_VOLUMEN!$C$27)))*INDEX(SUP_C3_EXPANSION!$C$6:$F$6,MIN(4,COUNTIF(CAPA3_EXPANSION!$D$56:BW$56,"&gt;="&amp;38)))*CAPA3_EXPANSION!BW$36)</f>
        <v>0</v>
      </c>
      <c r="BX45" s="88">
        <f>IF(COUNTIF(CAPA3_EXPANSION!$D$56:BX$56,"&gt;="&amp;38)=0,0,SUP_CONTROL!$C$8*IF($B45="V",1,IF($B45="D",(1+SUP_VOLUMEN!$C$26),(1+SUP_VOLUMEN!$C$27)))*INDEX(SUP_C3_EXPANSION!$C$6:$F$6,MIN(4,COUNTIF(CAPA3_EXPANSION!$D$56:BX$56,"&gt;="&amp;38)))*CAPA3_EXPANSION!BX$36)</f>
        <v>0</v>
      </c>
      <c r="BY45" s="88">
        <f>IF(COUNTIF(CAPA3_EXPANSION!$D$56:BY$56,"&gt;="&amp;38)=0,0,SUP_CONTROL!$C$8*IF($B45="V",1,IF($B45="D",(1+SUP_VOLUMEN!$C$26),(1+SUP_VOLUMEN!$C$27)))*INDEX(SUP_C3_EXPANSION!$C$6:$F$6,MIN(4,COUNTIF(CAPA3_EXPANSION!$D$56:BY$56,"&gt;="&amp;38)))*CAPA3_EXPANSION!BY$36)</f>
        <v>0</v>
      </c>
      <c r="BZ45" s="88">
        <f>IF(COUNTIF(CAPA3_EXPANSION!$D$56:BZ$56,"&gt;="&amp;38)=0,0,SUP_CONTROL!$C$8*IF($B45="V",1,IF($B45="D",(1+SUP_VOLUMEN!$C$26),(1+SUP_VOLUMEN!$C$27)))*INDEX(SUP_C3_EXPANSION!$C$6:$F$6,MIN(4,COUNTIF(CAPA3_EXPANSION!$D$56:BZ$56,"&gt;="&amp;38)))*CAPA3_EXPANSION!BZ$36)</f>
        <v>0</v>
      </c>
      <c r="CA45" s="88">
        <f>IF(COUNTIF(CAPA3_EXPANSION!$D$56:CA$56,"&gt;="&amp;38)=0,0,SUP_CONTROL!$C$8*IF($B45="V",1,IF($B45="D",(1+SUP_VOLUMEN!$C$26),(1+SUP_VOLUMEN!$C$27)))*INDEX(SUP_C3_EXPANSION!$C$6:$F$6,MIN(4,COUNTIF(CAPA3_EXPANSION!$D$56:CA$56,"&gt;="&amp;38)))*CAPA3_EXPANSION!CA$36)</f>
        <v>2389.8966</v>
      </c>
      <c r="CB45" s="88">
        <f>IF(COUNTIF(CAPA3_EXPANSION!$D$56:CB$56,"&gt;="&amp;38)=0,0,SUP_CONTROL!$C$8*IF($B45="V",1,IF($B45="D",(1+SUP_VOLUMEN!$C$26),(1+SUP_VOLUMEN!$C$27)))*INDEX(SUP_C3_EXPANSION!$C$6:$F$6,MIN(4,COUNTIF(CAPA3_EXPANSION!$D$56:CB$56,"&gt;="&amp;38)))*CAPA3_EXPANSION!CB$36)</f>
        <v>2941.4112</v>
      </c>
      <c r="CC45" s="88">
        <f>IF(COUNTIF(CAPA3_EXPANSION!$D$56:CC$56,"&gt;="&amp;38)=0,0,SUP_CONTROL!$C$8*IF($B45="V",1,IF($B45="D",(1+SUP_VOLUMEN!$C$26),(1+SUP_VOLUMEN!$C$27)))*INDEX(SUP_C3_EXPANSION!$C$6:$F$6,MIN(4,COUNTIF(CAPA3_EXPANSION!$D$56:CC$56,"&gt;="&amp;38)))*CAPA3_EXPANSION!CC$36)</f>
        <v>3309.0876000000003</v>
      </c>
      <c r="CD45" s="88">
        <f>IF(COUNTIF(CAPA3_EXPANSION!$D$56:CD$56,"&gt;="&amp;38)=0,0,SUP_CONTROL!$C$8*IF($B45="V",1,IF($B45="D",(1+SUP_VOLUMEN!$C$26),(1+SUP_VOLUMEN!$C$27)))*INDEX(SUP_C3_EXPANSION!$C$6:$F$6,MIN(4,COUNTIF(CAPA3_EXPANSION!$D$56:CD$56,"&gt;="&amp;38)))*CAPA3_EXPANSION!CD$36)</f>
        <v>3676.7640000000001</v>
      </c>
      <c r="CE45" s="88">
        <f>IF(COUNTIF(CAPA3_EXPANSION!$D$56:CE$56,"&gt;="&amp;38)=0,0,SUP_CONTROL!$C$8*IF($B45="V",1,IF($B45="D",(1+SUP_VOLUMEN!$C$26),(1+SUP_VOLUMEN!$C$27)))*INDEX(SUP_C3_EXPANSION!$C$6:$F$6,MIN(4,COUNTIF(CAPA3_EXPANSION!$D$56:CE$56,"&gt;="&amp;38)))*CAPA3_EXPANSION!CE$36)</f>
        <v>3676.7640000000001</v>
      </c>
      <c r="CF45" s="88">
        <f>IF(COUNTIF(CAPA3_EXPANSION!$D$56:CF$56,"&gt;="&amp;38)=0,0,SUP_CONTROL!$C$8*IF($B45="V",1,IF($B45="D",(1+SUP_VOLUMEN!$C$26),(1+SUP_VOLUMEN!$C$27)))*INDEX(SUP_C3_EXPANSION!$C$6:$F$6,MIN(4,COUNTIF(CAPA3_EXPANSION!$D$56:CF$56,"&gt;="&amp;38)))*CAPA3_EXPANSION!CF$36)</f>
        <v>3676.7640000000001</v>
      </c>
      <c r="CG45" s="88">
        <f>IF(COUNTIF(CAPA3_EXPANSION!$D$56:CG$56,"&gt;="&amp;38)=0,0,SUP_CONTROL!$C$8*IF($B45="V",1,IF($B45="D",(1+SUP_VOLUMEN!$C$26),(1+SUP_VOLUMEN!$C$27)))*INDEX(SUP_C3_EXPANSION!$C$6:$F$6,MIN(4,COUNTIF(CAPA3_EXPANSION!$D$56:CG$56,"&gt;="&amp;38)))*CAPA3_EXPANSION!CG$36)</f>
        <v>3676.7640000000001</v>
      </c>
      <c r="CH45" s="88">
        <f>IF(COUNTIF(CAPA3_EXPANSION!$D$56:CH$56,"&gt;="&amp;38)=0,0,SUP_CONTROL!$C$8*IF($B45="V",1,IF($B45="D",(1+SUP_VOLUMEN!$C$26),(1+SUP_VOLUMEN!$C$27)))*INDEX(SUP_C3_EXPANSION!$C$6:$F$6,MIN(4,COUNTIF(CAPA3_EXPANSION!$D$56:CH$56,"&gt;="&amp;38)))*CAPA3_EXPANSION!CH$36)</f>
        <v>3676.7640000000001</v>
      </c>
      <c r="CI45" s="88">
        <f>IF(COUNTIF(CAPA3_EXPANSION!$D$56:CI$56,"&gt;="&amp;38)=0,0,SUP_CONTROL!$C$8*IF($B45="V",1,IF($B45="D",(1+SUP_VOLUMEN!$C$26),(1+SUP_VOLUMEN!$C$27)))*INDEX(SUP_C3_EXPANSION!$C$6:$F$6,MIN(4,COUNTIF(CAPA3_EXPANSION!$D$56:CI$56,"&gt;="&amp;38)))*CAPA3_EXPANSION!CI$36)</f>
        <v>3676.7640000000001</v>
      </c>
      <c r="CJ45" s="88">
        <f>IF(COUNTIF(CAPA3_EXPANSION!$D$56:CJ$56,"&gt;="&amp;38)=0,0,SUP_CONTROL!$C$8*IF($B45="V",1,IF($B45="D",(1+SUP_VOLUMEN!$C$26),(1+SUP_VOLUMEN!$C$27)))*INDEX(SUP_C3_EXPANSION!$C$6:$F$6,MIN(4,COUNTIF(CAPA3_EXPANSION!$D$56:CJ$56,"&gt;="&amp;38)))*CAPA3_EXPANSION!CJ$36)</f>
        <v>3676.7640000000001</v>
      </c>
      <c r="CK45" s="88">
        <f>IF(COUNTIF(CAPA3_EXPANSION!$D$56:CK$56,"&gt;="&amp;38)=0,0,SUP_CONTROL!$C$8*IF($B45="V",1,IF($B45="D",(1+SUP_VOLUMEN!$C$26),(1+SUP_VOLUMEN!$C$27)))*INDEX(SUP_C3_EXPANSION!$C$6:$F$6,MIN(4,COUNTIF(CAPA3_EXPANSION!$D$56:CK$56,"&gt;="&amp;38)))*CAPA3_EXPANSION!CK$36)</f>
        <v>3676.7640000000001</v>
      </c>
      <c r="CL45" s="88">
        <f>IF(COUNTIF(CAPA3_EXPANSION!$D$56:CL$56,"&gt;="&amp;38)=0,0,SUP_CONTROL!$C$8*IF($B45="V",1,IF($B45="D",(1+SUP_VOLUMEN!$C$26),(1+SUP_VOLUMEN!$C$27)))*INDEX(SUP_C3_EXPANSION!$C$6:$F$6,MIN(4,COUNTIF(CAPA3_EXPANSION!$D$56:CL$56,"&gt;="&amp;38)))*CAPA3_EXPANSION!CL$36)</f>
        <v>3676.7640000000001</v>
      </c>
      <c r="CM45" s="88">
        <f>IF(COUNTIF(CAPA3_EXPANSION!$D$56:CM$56,"&gt;="&amp;38)=0,0,SUP_CONTROL!$C$8*IF($B45="V",1,IF($B45="D",(1+SUP_VOLUMEN!$C$26),(1+SUP_VOLUMEN!$C$27)))*INDEX(SUP_C3_EXPANSION!$C$6:$F$6,MIN(4,COUNTIF(CAPA3_EXPANSION!$D$56:CM$56,"&gt;="&amp;38)))*CAPA3_EXPANSION!CM$36)</f>
        <v>3676.7640000000001</v>
      </c>
      <c r="CN45" s="88">
        <f>IF(COUNTIF(CAPA3_EXPANSION!$D$56:CN$56,"&gt;="&amp;38)=0,0,SUP_CONTROL!$C$8*IF($B45="V",1,IF($B45="D",(1+SUP_VOLUMEN!$C$26),(1+SUP_VOLUMEN!$C$27)))*INDEX(SUP_C3_EXPANSION!$C$6:$F$6,MIN(4,COUNTIF(CAPA3_EXPANSION!$D$56:CN$56,"&gt;="&amp;38)))*CAPA3_EXPANSION!CN$36)</f>
        <v>3676.7640000000001</v>
      </c>
      <c r="CO45" s="88">
        <f>IF(COUNTIF(CAPA3_EXPANSION!$D$56:CO$56,"&gt;="&amp;38)=0,0,SUP_CONTROL!$C$8*IF($B45="V",1,IF($B45="D",(1+SUP_VOLUMEN!$C$26),(1+SUP_VOLUMEN!$C$27)))*INDEX(SUP_C3_EXPANSION!$C$6:$F$6,MIN(4,COUNTIF(CAPA3_EXPANSION!$D$56:CO$56,"&gt;="&amp;38)))*CAPA3_EXPANSION!CO$36)</f>
        <v>3676.7640000000001</v>
      </c>
      <c r="CP45" s="88">
        <f>IF(COUNTIF(CAPA3_EXPANSION!$D$56:CP$56,"&gt;="&amp;38)=0,0,SUP_CONTROL!$C$8*IF($B45="V",1,IF($B45="D",(1+SUP_VOLUMEN!$C$26),(1+SUP_VOLUMEN!$C$27)))*INDEX(SUP_C3_EXPANSION!$C$6:$F$6,MIN(4,COUNTIF(CAPA3_EXPANSION!$D$56:CP$56,"&gt;="&amp;38)))*CAPA3_EXPANSION!CP$36)</f>
        <v>3676.7640000000001</v>
      </c>
      <c r="CQ45" s="88">
        <f>IF(COUNTIF(CAPA3_EXPANSION!$D$56:CQ$56,"&gt;="&amp;38)=0,0,SUP_CONTROL!$C$8*IF($B45="V",1,IF($B45="D",(1+SUP_VOLUMEN!$C$26),(1+SUP_VOLUMEN!$C$27)))*INDEX(SUP_C3_EXPANSION!$C$6:$F$6,MIN(4,COUNTIF(CAPA3_EXPANSION!$D$56:CQ$56,"&gt;="&amp;38)))*CAPA3_EXPANSION!CQ$36)</f>
        <v>3676.7640000000001</v>
      </c>
      <c r="CR45" s="88">
        <f>IF(COUNTIF(CAPA3_EXPANSION!$D$56:CR$56,"&gt;="&amp;38)=0,0,SUP_CONTROL!$C$8*IF($B45="V",1,IF($B45="D",(1+SUP_VOLUMEN!$C$26),(1+SUP_VOLUMEN!$C$27)))*INDEX(SUP_C3_EXPANSION!$C$6:$F$6,MIN(4,COUNTIF(CAPA3_EXPANSION!$D$56:CR$56,"&gt;="&amp;38)))*CAPA3_EXPANSION!CR$36)</f>
        <v>3676.7640000000001</v>
      </c>
      <c r="CS45" s="88">
        <f>IF(COUNTIF(CAPA3_EXPANSION!$D$56:CS$56,"&gt;="&amp;38)=0,0,SUP_CONTROL!$C$8*IF($B45="V",1,IF($B45="D",(1+SUP_VOLUMEN!$C$26),(1+SUP_VOLUMEN!$C$27)))*INDEX(SUP_C3_EXPANSION!$C$6:$F$6,MIN(4,COUNTIF(CAPA3_EXPANSION!$D$56:CS$56,"&gt;="&amp;38)))*CAPA3_EXPANSION!CS$36)</f>
        <v>3676.7640000000001</v>
      </c>
      <c r="CT45" s="88">
        <f>IF(COUNTIF(CAPA3_EXPANSION!$D$56:CT$56,"&gt;="&amp;38)=0,0,SUP_CONTROL!$C$8*IF($B45="V",1,IF($B45="D",(1+SUP_VOLUMEN!$C$26),(1+SUP_VOLUMEN!$C$27)))*INDEX(SUP_C3_EXPANSION!$C$6:$F$6,MIN(4,COUNTIF(CAPA3_EXPANSION!$D$56:CT$56,"&gt;="&amp;38)))*CAPA3_EXPANSION!CT$36)</f>
        <v>3676.7640000000001</v>
      </c>
      <c r="CU45" s="88">
        <f>IF(COUNTIF(CAPA3_EXPANSION!$D$56:CU$56,"&gt;="&amp;38)=0,0,SUP_CONTROL!$C$8*IF($B45="V",1,IF($B45="D",(1+SUP_VOLUMEN!$C$26),(1+SUP_VOLUMEN!$C$27)))*INDEX(SUP_C3_EXPANSION!$C$6:$F$6,MIN(4,COUNTIF(CAPA3_EXPANSION!$D$56:CU$56,"&gt;="&amp;38)))*CAPA3_EXPANSION!CU$36)</f>
        <v>3676.7640000000001</v>
      </c>
      <c r="CV45" s="88">
        <f>IF(COUNTIF(CAPA3_EXPANSION!$D$56:CV$56,"&gt;="&amp;38)=0,0,SUP_CONTROL!$C$8*IF($B45="V",1,IF($B45="D",(1+SUP_VOLUMEN!$C$26),(1+SUP_VOLUMEN!$C$27)))*INDEX(SUP_C3_EXPANSION!$C$6:$F$6,MIN(4,COUNTIF(CAPA3_EXPANSION!$D$56:CV$56,"&gt;="&amp;38)))*CAPA3_EXPANSION!CV$36)</f>
        <v>3676.7640000000001</v>
      </c>
      <c r="CW45" s="88">
        <f>IF(COUNTIF(CAPA3_EXPANSION!$D$56:CW$56,"&gt;="&amp;38)=0,0,SUP_CONTROL!$C$8*IF($B45="V",1,IF($B45="D",(1+SUP_VOLUMEN!$C$26),(1+SUP_VOLUMEN!$C$27)))*INDEX(SUP_C3_EXPANSION!$C$6:$F$6,MIN(4,COUNTIF(CAPA3_EXPANSION!$D$56:CW$56,"&gt;="&amp;38)))*CAPA3_EXPANSION!CW$36)</f>
        <v>3676.7640000000001</v>
      </c>
      <c r="CX45" s="88">
        <f>IF(COUNTIF(CAPA3_EXPANSION!$D$56:CX$56,"&gt;="&amp;38)=0,0,SUP_CONTROL!$C$8*IF($B45="V",1,IF($B45="D",(1+SUP_VOLUMEN!$C$26),(1+SUP_VOLUMEN!$C$27)))*INDEX(SUP_C3_EXPANSION!$C$6:$F$6,MIN(4,COUNTIF(CAPA3_EXPANSION!$D$56:CX$56,"&gt;="&amp;38)))*CAPA3_EXPANSION!CX$36)</f>
        <v>3676.7640000000001</v>
      </c>
      <c r="CY45" s="88">
        <f>IF(COUNTIF(CAPA3_EXPANSION!$D$56:CY$56,"&gt;="&amp;38)=0,0,SUP_CONTROL!$C$8*IF($B45="V",1,IF($B45="D",(1+SUP_VOLUMEN!$C$26),(1+SUP_VOLUMEN!$C$27)))*INDEX(SUP_C3_EXPANSION!$C$6:$F$6,MIN(4,COUNTIF(CAPA3_EXPANSION!$D$56:CY$56,"&gt;="&amp;38)))*CAPA3_EXPANSION!CY$36)</f>
        <v>3676.7640000000001</v>
      </c>
      <c r="CZ45" s="88">
        <f>IF(COUNTIF(CAPA3_EXPANSION!$D$56:CZ$56,"&gt;="&amp;38)=0,0,SUP_CONTROL!$C$8*IF($B45="V",1,IF($B45="D",(1+SUP_VOLUMEN!$C$26),(1+SUP_VOLUMEN!$C$27)))*INDEX(SUP_C3_EXPANSION!$C$6:$F$6,MIN(4,COUNTIF(CAPA3_EXPANSION!$D$56:CZ$56,"&gt;="&amp;38)))*CAPA3_EXPANSION!CZ$36)</f>
        <v>3676.7640000000001</v>
      </c>
      <c r="DA45" s="88">
        <f>IF(COUNTIF(CAPA3_EXPANSION!$D$56:DA$56,"&gt;="&amp;38)=0,0,SUP_CONTROL!$C$8*IF($B45="V",1,IF($B45="D",(1+SUP_VOLUMEN!$C$26),(1+SUP_VOLUMEN!$C$27)))*INDEX(SUP_C3_EXPANSION!$C$6:$F$6,MIN(4,COUNTIF(CAPA3_EXPANSION!$D$56:DA$56,"&gt;="&amp;38)))*CAPA3_EXPANSION!DA$36)</f>
        <v>3676.7640000000001</v>
      </c>
      <c r="DB45" s="88">
        <f>IF(COUNTIF(CAPA3_EXPANSION!$D$56:DB$56,"&gt;="&amp;38)=0,0,SUP_CONTROL!$C$8*IF($B45="V",1,IF($B45="D",(1+SUP_VOLUMEN!$C$26),(1+SUP_VOLUMEN!$C$27)))*INDEX(SUP_C3_EXPANSION!$C$6:$F$6,MIN(4,COUNTIF(CAPA3_EXPANSION!$D$56:DB$56,"&gt;="&amp;38)))*CAPA3_EXPANSION!DB$36)</f>
        <v>3676.7640000000001</v>
      </c>
      <c r="DC45" s="88">
        <f>IF(COUNTIF(CAPA3_EXPANSION!$D$56:DC$56,"&gt;="&amp;38)=0,0,SUP_CONTROL!$C$8*IF($B45="V",1,IF($B45="D",(1+SUP_VOLUMEN!$C$26),(1+SUP_VOLUMEN!$C$27)))*INDEX(SUP_C3_EXPANSION!$C$6:$F$6,MIN(4,COUNTIF(CAPA3_EXPANSION!$D$56:DC$56,"&gt;="&amp;38)))*CAPA3_EXPANSION!DC$36)</f>
        <v>3676.7640000000001</v>
      </c>
      <c r="DD45" s="88">
        <f>IF(COUNTIF(CAPA3_EXPANSION!$D$56:DD$56,"&gt;="&amp;38)=0,0,SUP_CONTROL!$C$8*IF($B45="V",1,IF($B45="D",(1+SUP_VOLUMEN!$C$26),(1+SUP_VOLUMEN!$C$27)))*INDEX(SUP_C3_EXPANSION!$C$6:$F$6,MIN(4,COUNTIF(CAPA3_EXPANSION!$D$56:DD$56,"&gt;="&amp;38)))*CAPA3_EXPANSION!DD$36)</f>
        <v>3676.7640000000001</v>
      </c>
      <c r="DE45" s="88">
        <f>IF(COUNTIF(CAPA3_EXPANSION!$D$56:DE$56,"&gt;="&amp;38)=0,0,SUP_CONTROL!$C$8*IF($B45="V",1,IF($B45="D",(1+SUP_VOLUMEN!$C$26),(1+SUP_VOLUMEN!$C$27)))*INDEX(SUP_C3_EXPANSION!$C$6:$F$6,MIN(4,COUNTIF(CAPA3_EXPANSION!$D$56:DE$56,"&gt;="&amp;38)))*CAPA3_EXPANSION!DE$36)</f>
        <v>3676.7640000000001</v>
      </c>
      <c r="DF45" s="88">
        <f>IF(COUNTIF(CAPA3_EXPANSION!$D$56:DF$56,"&gt;="&amp;38)=0,0,SUP_CONTROL!$C$8*IF($B45="V",1,IF($B45="D",(1+SUP_VOLUMEN!$C$26),(1+SUP_VOLUMEN!$C$27)))*INDEX(SUP_C3_EXPANSION!$C$6:$F$6,MIN(4,COUNTIF(CAPA3_EXPANSION!$D$56:DF$56,"&gt;="&amp;38)))*CAPA3_EXPANSION!DF$36)</f>
        <v>3676.7640000000001</v>
      </c>
      <c r="DG45" s="88">
        <f>IF(COUNTIF(CAPA3_EXPANSION!$D$56:DG$56,"&gt;="&amp;38)=0,0,SUP_CONTROL!$C$8*IF($B45="V",1,IF($B45="D",(1+SUP_VOLUMEN!$C$26),(1+SUP_VOLUMEN!$C$27)))*INDEX(SUP_C3_EXPANSION!$C$6:$F$6,MIN(4,COUNTIF(CAPA3_EXPANSION!$D$56:DG$56,"&gt;="&amp;38)))*CAPA3_EXPANSION!DG$36)</f>
        <v>3676.7640000000001</v>
      </c>
      <c r="DH45" s="88">
        <f>IF(COUNTIF(CAPA3_EXPANSION!$D$56:DH$56,"&gt;="&amp;38)=0,0,SUP_CONTROL!$C$8*IF($B45="V",1,IF($B45="D",(1+SUP_VOLUMEN!$C$26),(1+SUP_VOLUMEN!$C$27)))*INDEX(SUP_C3_EXPANSION!$C$6:$F$6,MIN(4,COUNTIF(CAPA3_EXPANSION!$D$56:DH$56,"&gt;="&amp;38)))*CAPA3_EXPANSION!DH$36)</f>
        <v>3676.7640000000001</v>
      </c>
      <c r="DI45" s="88">
        <f>IF(COUNTIF(CAPA3_EXPANSION!$D$56:DI$56,"&gt;="&amp;38)=0,0,SUP_CONTROL!$C$8*IF($B45="V",1,IF($B45="D",(1+SUP_VOLUMEN!$C$26),(1+SUP_VOLUMEN!$C$27)))*INDEX(SUP_C3_EXPANSION!$C$6:$F$6,MIN(4,COUNTIF(CAPA3_EXPANSION!$D$56:DI$56,"&gt;="&amp;38)))*CAPA3_EXPANSION!DI$36)</f>
        <v>3676.7640000000001</v>
      </c>
      <c r="DJ45" s="88">
        <f>IF(COUNTIF(CAPA3_EXPANSION!$D$56:DJ$56,"&gt;="&amp;38)=0,0,SUP_CONTROL!$C$8*IF($B45="V",1,IF($B45="D",(1+SUP_VOLUMEN!$C$26),(1+SUP_VOLUMEN!$C$27)))*INDEX(SUP_C3_EXPANSION!$C$6:$F$6,MIN(4,COUNTIF(CAPA3_EXPANSION!$D$56:DJ$56,"&gt;="&amp;38)))*CAPA3_EXPANSION!DJ$36)</f>
        <v>3676.7640000000001</v>
      </c>
      <c r="DK45" s="88">
        <f>IF(COUNTIF(CAPA3_EXPANSION!$D$56:DK$56,"&gt;="&amp;38)=0,0,SUP_CONTROL!$C$8*IF($B45="V",1,IF($B45="D",(1+SUP_VOLUMEN!$C$26),(1+SUP_VOLUMEN!$C$27)))*INDEX(SUP_C3_EXPANSION!$C$6:$F$6,MIN(4,COUNTIF(CAPA3_EXPANSION!$D$56:DK$56,"&gt;="&amp;38)))*CAPA3_EXPANSION!DK$36)</f>
        <v>3676.7640000000001</v>
      </c>
      <c r="DL45" s="88">
        <f>IF(COUNTIF(CAPA3_EXPANSION!$D$56:DL$56,"&gt;="&amp;38)=0,0,SUP_CONTROL!$C$8*IF($B45="V",1,IF($B45="D",(1+SUP_VOLUMEN!$C$26),(1+SUP_VOLUMEN!$C$27)))*INDEX(SUP_C3_EXPANSION!$C$6:$F$6,MIN(4,COUNTIF(CAPA3_EXPANSION!$D$56:DL$56,"&gt;="&amp;38)))*CAPA3_EXPANSION!DL$36)</f>
        <v>3676.7640000000001</v>
      </c>
      <c r="DM45" s="88">
        <f>IF(COUNTIF(CAPA3_EXPANSION!$D$56:DM$56,"&gt;="&amp;38)=0,0,SUP_CONTROL!$C$8*IF($B45="V",1,IF($B45="D",(1+SUP_VOLUMEN!$C$26),(1+SUP_VOLUMEN!$C$27)))*INDEX(SUP_C3_EXPANSION!$C$6:$F$6,MIN(4,COUNTIF(CAPA3_EXPANSION!$D$56:DM$56,"&gt;="&amp;38)))*CAPA3_EXPANSION!DM$36)</f>
        <v>3676.7640000000001</v>
      </c>
      <c r="DN45" s="88">
        <f>IF(COUNTIF(CAPA3_EXPANSION!$D$56:DN$56,"&gt;="&amp;38)=0,0,SUP_CONTROL!$C$8*IF($B45="V",1,IF($B45="D",(1+SUP_VOLUMEN!$C$26),(1+SUP_VOLUMEN!$C$27)))*INDEX(SUP_C3_EXPANSION!$C$6:$F$6,MIN(4,COUNTIF(CAPA3_EXPANSION!$D$56:DN$56,"&gt;="&amp;38)))*CAPA3_EXPANSION!DN$36)</f>
        <v>3676.7640000000001</v>
      </c>
      <c r="DO45" s="88">
        <f>IF(COUNTIF(CAPA3_EXPANSION!$D$56:DO$56,"&gt;="&amp;38)=0,0,SUP_CONTROL!$C$8*IF($B45="V",1,IF($B45="D",(1+SUP_VOLUMEN!$C$26),(1+SUP_VOLUMEN!$C$27)))*INDEX(SUP_C3_EXPANSION!$C$6:$F$6,MIN(4,COUNTIF(CAPA3_EXPANSION!$D$56:DO$56,"&gt;="&amp;38)))*CAPA3_EXPANSION!DO$36)</f>
        <v>3676.7640000000001</v>
      </c>
      <c r="DP45" s="88">
        <f>IF(COUNTIF(CAPA3_EXPANSION!$D$56:DP$56,"&gt;="&amp;38)=0,0,SUP_CONTROL!$C$8*IF($B45="V",1,IF($B45="D",(1+SUP_VOLUMEN!$C$26),(1+SUP_VOLUMEN!$C$27)))*INDEX(SUP_C3_EXPANSION!$C$6:$F$6,MIN(4,COUNTIF(CAPA3_EXPANSION!$D$56:DP$56,"&gt;="&amp;38)))*CAPA3_EXPANSION!DP$36)</f>
        <v>3676.7640000000001</v>
      </c>
      <c r="DQ45" s="88">
        <f>IF(COUNTIF(CAPA3_EXPANSION!$D$56:DQ$56,"&gt;="&amp;38)=0,0,SUP_CONTROL!$C$8*IF($B45="V",1,IF($B45="D",(1+SUP_VOLUMEN!$C$26),(1+SUP_VOLUMEN!$C$27)))*INDEX(SUP_C3_EXPANSION!$C$6:$F$6,MIN(4,COUNTIF(CAPA3_EXPANSION!$D$56:DQ$56,"&gt;="&amp;38)))*CAPA3_EXPANSION!DQ$36)</f>
        <v>3676.7640000000001</v>
      </c>
      <c r="DR45" s="88">
        <f>IF(COUNTIF(CAPA3_EXPANSION!$D$56:DR$56,"&gt;="&amp;38)=0,0,SUP_CONTROL!$C$8*IF($B45="V",1,IF($B45="D",(1+SUP_VOLUMEN!$C$26),(1+SUP_VOLUMEN!$C$27)))*INDEX(SUP_C3_EXPANSION!$C$6:$F$6,MIN(4,COUNTIF(CAPA3_EXPANSION!$D$56:DR$56,"&gt;="&amp;38)))*CAPA3_EXPANSION!DR$36)</f>
        <v>3676.7640000000001</v>
      </c>
      <c r="DS45" s="88">
        <f>IF(COUNTIF(CAPA3_EXPANSION!$D$56:DS$56,"&gt;="&amp;38)=0,0,SUP_CONTROL!$C$8*IF($B45="V",1,IF($B45="D",(1+SUP_VOLUMEN!$C$26),(1+SUP_VOLUMEN!$C$27)))*INDEX(SUP_C3_EXPANSION!$C$6:$F$6,MIN(4,COUNTIF(CAPA3_EXPANSION!$D$56:DS$56,"&gt;="&amp;38)))*CAPA3_EXPANSION!DS$36)</f>
        <v>3676.7640000000001</v>
      </c>
    </row>
    <row r="46" spans="1:123" ht="15" customHeight="1" x14ac:dyDescent="0.2">
      <c r="A46" s="88">
        <v>49</v>
      </c>
      <c r="B46" s="104" t="str">
        <f>SUP_C3_EXPANSION!B58</f>
        <v>V</v>
      </c>
      <c r="C46" s="73">
        <f>SUP_C3_EXPANSION!G58</f>
        <v>74</v>
      </c>
      <c r="D46" s="88">
        <f>IF(COUNTIF(CAPA3_EXPANSION!$D$56:D$56,"&gt;="&amp;39)=0,0,SUP_CONTROL!$C$8*IF($B46="V",1,IF($B46="D",(1+SUP_VOLUMEN!$C$26),(1+SUP_VOLUMEN!$C$27)))*INDEX(SUP_C3_EXPANSION!$C$6:$F$6,MIN(4,COUNTIF(CAPA3_EXPANSION!$D$56:D$56,"&gt;="&amp;39)))*CAPA3_EXPANSION!D$36)</f>
        <v>0</v>
      </c>
      <c r="E46" s="88">
        <f>IF(COUNTIF(CAPA3_EXPANSION!$D$56:E$56,"&gt;="&amp;39)=0,0,SUP_CONTROL!$C$8*IF($B46="V",1,IF($B46="D",(1+SUP_VOLUMEN!$C$26),(1+SUP_VOLUMEN!$C$27)))*INDEX(SUP_C3_EXPANSION!$C$6:$F$6,MIN(4,COUNTIF(CAPA3_EXPANSION!$D$56:E$56,"&gt;="&amp;39)))*CAPA3_EXPANSION!E$36)</f>
        <v>0</v>
      </c>
      <c r="F46" s="88">
        <f>IF(COUNTIF(CAPA3_EXPANSION!$D$56:F$56,"&gt;="&amp;39)=0,0,SUP_CONTROL!$C$8*IF($B46="V",1,IF($B46="D",(1+SUP_VOLUMEN!$C$26),(1+SUP_VOLUMEN!$C$27)))*INDEX(SUP_C3_EXPANSION!$C$6:$F$6,MIN(4,COUNTIF(CAPA3_EXPANSION!$D$56:F$56,"&gt;="&amp;39)))*CAPA3_EXPANSION!F$36)</f>
        <v>0</v>
      </c>
      <c r="G46" s="88">
        <f>IF(COUNTIF(CAPA3_EXPANSION!$D$56:G$56,"&gt;="&amp;39)=0,0,SUP_CONTROL!$C$8*IF($B46="V",1,IF($B46="D",(1+SUP_VOLUMEN!$C$26),(1+SUP_VOLUMEN!$C$27)))*INDEX(SUP_C3_EXPANSION!$C$6:$F$6,MIN(4,COUNTIF(CAPA3_EXPANSION!$D$56:G$56,"&gt;="&amp;39)))*CAPA3_EXPANSION!G$36)</f>
        <v>0</v>
      </c>
      <c r="H46" s="88">
        <f>IF(COUNTIF(CAPA3_EXPANSION!$D$56:H$56,"&gt;="&amp;39)=0,0,SUP_CONTROL!$C$8*IF($B46="V",1,IF($B46="D",(1+SUP_VOLUMEN!$C$26),(1+SUP_VOLUMEN!$C$27)))*INDEX(SUP_C3_EXPANSION!$C$6:$F$6,MIN(4,COUNTIF(CAPA3_EXPANSION!$D$56:H$56,"&gt;="&amp;39)))*CAPA3_EXPANSION!H$36)</f>
        <v>0</v>
      </c>
      <c r="I46" s="88">
        <f>IF(COUNTIF(CAPA3_EXPANSION!$D$56:I$56,"&gt;="&amp;39)=0,0,SUP_CONTROL!$C$8*IF($B46="V",1,IF($B46="D",(1+SUP_VOLUMEN!$C$26),(1+SUP_VOLUMEN!$C$27)))*INDEX(SUP_C3_EXPANSION!$C$6:$F$6,MIN(4,COUNTIF(CAPA3_EXPANSION!$D$56:I$56,"&gt;="&amp;39)))*CAPA3_EXPANSION!I$36)</f>
        <v>0</v>
      </c>
      <c r="J46" s="88">
        <f>IF(COUNTIF(CAPA3_EXPANSION!$D$56:J$56,"&gt;="&amp;39)=0,0,SUP_CONTROL!$C$8*IF($B46="V",1,IF($B46="D",(1+SUP_VOLUMEN!$C$26),(1+SUP_VOLUMEN!$C$27)))*INDEX(SUP_C3_EXPANSION!$C$6:$F$6,MIN(4,COUNTIF(CAPA3_EXPANSION!$D$56:J$56,"&gt;="&amp;39)))*CAPA3_EXPANSION!J$36)</f>
        <v>0</v>
      </c>
      <c r="K46" s="88">
        <f>IF(COUNTIF(CAPA3_EXPANSION!$D$56:K$56,"&gt;="&amp;39)=0,0,SUP_CONTROL!$C$8*IF($B46="V",1,IF($B46="D",(1+SUP_VOLUMEN!$C$26),(1+SUP_VOLUMEN!$C$27)))*INDEX(SUP_C3_EXPANSION!$C$6:$F$6,MIN(4,COUNTIF(CAPA3_EXPANSION!$D$56:K$56,"&gt;="&amp;39)))*CAPA3_EXPANSION!K$36)</f>
        <v>0</v>
      </c>
      <c r="L46" s="88">
        <f>IF(COUNTIF(CAPA3_EXPANSION!$D$56:L$56,"&gt;="&amp;39)=0,0,SUP_CONTROL!$C$8*IF($B46="V",1,IF($B46="D",(1+SUP_VOLUMEN!$C$26),(1+SUP_VOLUMEN!$C$27)))*INDEX(SUP_C3_EXPANSION!$C$6:$F$6,MIN(4,COUNTIF(CAPA3_EXPANSION!$D$56:L$56,"&gt;="&amp;39)))*CAPA3_EXPANSION!L$36)</f>
        <v>0</v>
      </c>
      <c r="M46" s="88">
        <f>IF(COUNTIF(CAPA3_EXPANSION!$D$56:M$56,"&gt;="&amp;39)=0,0,SUP_CONTROL!$C$8*IF($B46="V",1,IF($B46="D",(1+SUP_VOLUMEN!$C$26),(1+SUP_VOLUMEN!$C$27)))*INDEX(SUP_C3_EXPANSION!$C$6:$F$6,MIN(4,COUNTIF(CAPA3_EXPANSION!$D$56:M$56,"&gt;="&amp;39)))*CAPA3_EXPANSION!M$36)</f>
        <v>0</v>
      </c>
      <c r="N46" s="88">
        <f>IF(COUNTIF(CAPA3_EXPANSION!$D$56:N$56,"&gt;="&amp;39)=0,0,SUP_CONTROL!$C$8*IF($B46="V",1,IF($B46="D",(1+SUP_VOLUMEN!$C$26),(1+SUP_VOLUMEN!$C$27)))*INDEX(SUP_C3_EXPANSION!$C$6:$F$6,MIN(4,COUNTIF(CAPA3_EXPANSION!$D$56:N$56,"&gt;="&amp;39)))*CAPA3_EXPANSION!N$36)</f>
        <v>0</v>
      </c>
      <c r="O46" s="88">
        <f>IF(COUNTIF(CAPA3_EXPANSION!$D$56:O$56,"&gt;="&amp;39)=0,0,SUP_CONTROL!$C$8*IF($B46="V",1,IF($B46="D",(1+SUP_VOLUMEN!$C$26),(1+SUP_VOLUMEN!$C$27)))*INDEX(SUP_C3_EXPANSION!$C$6:$F$6,MIN(4,COUNTIF(CAPA3_EXPANSION!$D$56:O$56,"&gt;="&amp;39)))*CAPA3_EXPANSION!O$36)</f>
        <v>0</v>
      </c>
      <c r="P46" s="88">
        <f>IF(COUNTIF(CAPA3_EXPANSION!$D$56:P$56,"&gt;="&amp;39)=0,0,SUP_CONTROL!$C$8*IF($B46="V",1,IF($B46="D",(1+SUP_VOLUMEN!$C$26),(1+SUP_VOLUMEN!$C$27)))*INDEX(SUP_C3_EXPANSION!$C$6:$F$6,MIN(4,COUNTIF(CAPA3_EXPANSION!$D$56:P$56,"&gt;="&amp;39)))*CAPA3_EXPANSION!P$36)</f>
        <v>0</v>
      </c>
      <c r="Q46" s="88">
        <f>IF(COUNTIF(CAPA3_EXPANSION!$D$56:Q$56,"&gt;="&amp;39)=0,0,SUP_CONTROL!$C$8*IF($B46="V",1,IF($B46="D",(1+SUP_VOLUMEN!$C$26),(1+SUP_VOLUMEN!$C$27)))*INDEX(SUP_C3_EXPANSION!$C$6:$F$6,MIN(4,COUNTIF(CAPA3_EXPANSION!$D$56:Q$56,"&gt;="&amp;39)))*CAPA3_EXPANSION!Q$36)</f>
        <v>0</v>
      </c>
      <c r="R46" s="88">
        <f>IF(COUNTIF(CAPA3_EXPANSION!$D$56:R$56,"&gt;="&amp;39)=0,0,SUP_CONTROL!$C$8*IF($B46="V",1,IF($B46="D",(1+SUP_VOLUMEN!$C$26),(1+SUP_VOLUMEN!$C$27)))*INDEX(SUP_C3_EXPANSION!$C$6:$F$6,MIN(4,COUNTIF(CAPA3_EXPANSION!$D$56:R$56,"&gt;="&amp;39)))*CAPA3_EXPANSION!R$36)</f>
        <v>0</v>
      </c>
      <c r="S46" s="88">
        <f>IF(COUNTIF(CAPA3_EXPANSION!$D$56:S$56,"&gt;="&amp;39)=0,0,SUP_CONTROL!$C$8*IF($B46="V",1,IF($B46="D",(1+SUP_VOLUMEN!$C$26),(1+SUP_VOLUMEN!$C$27)))*INDEX(SUP_C3_EXPANSION!$C$6:$F$6,MIN(4,COUNTIF(CAPA3_EXPANSION!$D$56:S$56,"&gt;="&amp;39)))*CAPA3_EXPANSION!S$36)</f>
        <v>0</v>
      </c>
      <c r="T46" s="88">
        <f>IF(COUNTIF(CAPA3_EXPANSION!$D$56:T$56,"&gt;="&amp;39)=0,0,SUP_CONTROL!$C$8*IF($B46="V",1,IF($B46="D",(1+SUP_VOLUMEN!$C$26),(1+SUP_VOLUMEN!$C$27)))*INDEX(SUP_C3_EXPANSION!$C$6:$F$6,MIN(4,COUNTIF(CAPA3_EXPANSION!$D$56:T$56,"&gt;="&amp;39)))*CAPA3_EXPANSION!T$36)</f>
        <v>0</v>
      </c>
      <c r="U46" s="88">
        <f>IF(COUNTIF(CAPA3_EXPANSION!$D$56:U$56,"&gt;="&amp;39)=0,0,SUP_CONTROL!$C$8*IF($B46="V",1,IF($B46="D",(1+SUP_VOLUMEN!$C$26),(1+SUP_VOLUMEN!$C$27)))*INDEX(SUP_C3_EXPANSION!$C$6:$F$6,MIN(4,COUNTIF(CAPA3_EXPANSION!$D$56:U$56,"&gt;="&amp;39)))*CAPA3_EXPANSION!U$36)</f>
        <v>0</v>
      </c>
      <c r="V46" s="88">
        <f>IF(COUNTIF(CAPA3_EXPANSION!$D$56:V$56,"&gt;="&amp;39)=0,0,SUP_CONTROL!$C$8*IF($B46="V",1,IF($B46="D",(1+SUP_VOLUMEN!$C$26),(1+SUP_VOLUMEN!$C$27)))*INDEX(SUP_C3_EXPANSION!$C$6:$F$6,MIN(4,COUNTIF(CAPA3_EXPANSION!$D$56:V$56,"&gt;="&amp;39)))*CAPA3_EXPANSION!V$36)</f>
        <v>0</v>
      </c>
      <c r="W46" s="88">
        <f>IF(COUNTIF(CAPA3_EXPANSION!$D$56:W$56,"&gt;="&amp;39)=0,0,SUP_CONTROL!$C$8*IF($B46="V",1,IF($B46="D",(1+SUP_VOLUMEN!$C$26),(1+SUP_VOLUMEN!$C$27)))*INDEX(SUP_C3_EXPANSION!$C$6:$F$6,MIN(4,COUNTIF(CAPA3_EXPANSION!$D$56:W$56,"&gt;="&amp;39)))*CAPA3_EXPANSION!W$36)</f>
        <v>0</v>
      </c>
      <c r="X46" s="88">
        <f>IF(COUNTIF(CAPA3_EXPANSION!$D$56:X$56,"&gt;="&amp;39)=0,0,SUP_CONTROL!$C$8*IF($B46="V",1,IF($B46="D",(1+SUP_VOLUMEN!$C$26),(1+SUP_VOLUMEN!$C$27)))*INDEX(SUP_C3_EXPANSION!$C$6:$F$6,MIN(4,COUNTIF(CAPA3_EXPANSION!$D$56:X$56,"&gt;="&amp;39)))*CAPA3_EXPANSION!X$36)</f>
        <v>0</v>
      </c>
      <c r="Y46" s="88">
        <f>IF(COUNTIF(CAPA3_EXPANSION!$D$56:Y$56,"&gt;="&amp;39)=0,0,SUP_CONTROL!$C$8*IF($B46="V",1,IF($B46="D",(1+SUP_VOLUMEN!$C$26),(1+SUP_VOLUMEN!$C$27)))*INDEX(SUP_C3_EXPANSION!$C$6:$F$6,MIN(4,COUNTIF(CAPA3_EXPANSION!$D$56:Y$56,"&gt;="&amp;39)))*CAPA3_EXPANSION!Y$36)</f>
        <v>0</v>
      </c>
      <c r="Z46" s="88">
        <f>IF(COUNTIF(CAPA3_EXPANSION!$D$56:Z$56,"&gt;="&amp;39)=0,0,SUP_CONTROL!$C$8*IF($B46="V",1,IF($B46="D",(1+SUP_VOLUMEN!$C$26),(1+SUP_VOLUMEN!$C$27)))*INDEX(SUP_C3_EXPANSION!$C$6:$F$6,MIN(4,COUNTIF(CAPA3_EXPANSION!$D$56:Z$56,"&gt;="&amp;39)))*CAPA3_EXPANSION!Z$36)</f>
        <v>0</v>
      </c>
      <c r="AA46" s="88">
        <f>IF(COUNTIF(CAPA3_EXPANSION!$D$56:AA$56,"&gt;="&amp;39)=0,0,SUP_CONTROL!$C$8*IF($B46="V",1,IF($B46="D",(1+SUP_VOLUMEN!$C$26),(1+SUP_VOLUMEN!$C$27)))*INDEX(SUP_C3_EXPANSION!$C$6:$F$6,MIN(4,COUNTIF(CAPA3_EXPANSION!$D$56:AA$56,"&gt;="&amp;39)))*CAPA3_EXPANSION!AA$36)</f>
        <v>0</v>
      </c>
      <c r="AB46" s="88">
        <f>IF(COUNTIF(CAPA3_EXPANSION!$D$56:AB$56,"&gt;="&amp;39)=0,0,SUP_CONTROL!$C$8*IF($B46="V",1,IF($B46="D",(1+SUP_VOLUMEN!$C$26),(1+SUP_VOLUMEN!$C$27)))*INDEX(SUP_C3_EXPANSION!$C$6:$F$6,MIN(4,COUNTIF(CAPA3_EXPANSION!$D$56:AB$56,"&gt;="&amp;39)))*CAPA3_EXPANSION!AB$36)</f>
        <v>0</v>
      </c>
      <c r="AC46" s="88">
        <f>IF(COUNTIF(CAPA3_EXPANSION!$D$56:AC$56,"&gt;="&amp;39)=0,0,SUP_CONTROL!$C$8*IF($B46="V",1,IF($B46="D",(1+SUP_VOLUMEN!$C$26),(1+SUP_VOLUMEN!$C$27)))*INDEX(SUP_C3_EXPANSION!$C$6:$F$6,MIN(4,COUNTIF(CAPA3_EXPANSION!$D$56:AC$56,"&gt;="&amp;39)))*CAPA3_EXPANSION!AC$36)</f>
        <v>0</v>
      </c>
      <c r="AD46" s="88">
        <f>IF(COUNTIF(CAPA3_EXPANSION!$D$56:AD$56,"&gt;="&amp;39)=0,0,SUP_CONTROL!$C$8*IF($B46="V",1,IF($B46="D",(1+SUP_VOLUMEN!$C$26),(1+SUP_VOLUMEN!$C$27)))*INDEX(SUP_C3_EXPANSION!$C$6:$F$6,MIN(4,COUNTIF(CAPA3_EXPANSION!$D$56:AD$56,"&gt;="&amp;39)))*CAPA3_EXPANSION!AD$36)</f>
        <v>0</v>
      </c>
      <c r="AE46" s="88">
        <f>IF(COUNTIF(CAPA3_EXPANSION!$D$56:AE$56,"&gt;="&amp;39)=0,0,SUP_CONTROL!$C$8*IF($B46="V",1,IF($B46="D",(1+SUP_VOLUMEN!$C$26),(1+SUP_VOLUMEN!$C$27)))*INDEX(SUP_C3_EXPANSION!$C$6:$F$6,MIN(4,COUNTIF(CAPA3_EXPANSION!$D$56:AE$56,"&gt;="&amp;39)))*CAPA3_EXPANSION!AE$36)</f>
        <v>0</v>
      </c>
      <c r="AF46" s="88">
        <f>IF(COUNTIF(CAPA3_EXPANSION!$D$56:AF$56,"&gt;="&amp;39)=0,0,SUP_CONTROL!$C$8*IF($B46="V",1,IF($B46="D",(1+SUP_VOLUMEN!$C$26),(1+SUP_VOLUMEN!$C$27)))*INDEX(SUP_C3_EXPANSION!$C$6:$F$6,MIN(4,COUNTIF(CAPA3_EXPANSION!$D$56:AF$56,"&gt;="&amp;39)))*CAPA3_EXPANSION!AF$36)</f>
        <v>0</v>
      </c>
      <c r="AG46" s="88">
        <f>IF(COUNTIF(CAPA3_EXPANSION!$D$56:AG$56,"&gt;="&amp;39)=0,0,SUP_CONTROL!$C$8*IF($B46="V",1,IF($B46="D",(1+SUP_VOLUMEN!$C$26),(1+SUP_VOLUMEN!$C$27)))*INDEX(SUP_C3_EXPANSION!$C$6:$F$6,MIN(4,COUNTIF(CAPA3_EXPANSION!$D$56:AG$56,"&gt;="&amp;39)))*CAPA3_EXPANSION!AG$36)</f>
        <v>0</v>
      </c>
      <c r="AH46" s="88">
        <f>IF(COUNTIF(CAPA3_EXPANSION!$D$56:AH$56,"&gt;="&amp;39)=0,0,SUP_CONTROL!$C$8*IF($B46="V",1,IF($B46="D",(1+SUP_VOLUMEN!$C$26),(1+SUP_VOLUMEN!$C$27)))*INDEX(SUP_C3_EXPANSION!$C$6:$F$6,MIN(4,COUNTIF(CAPA3_EXPANSION!$D$56:AH$56,"&gt;="&amp;39)))*CAPA3_EXPANSION!AH$36)</f>
        <v>0</v>
      </c>
      <c r="AI46" s="88">
        <f>IF(COUNTIF(CAPA3_EXPANSION!$D$56:AI$56,"&gt;="&amp;39)=0,0,SUP_CONTROL!$C$8*IF($B46="V",1,IF($B46="D",(1+SUP_VOLUMEN!$C$26),(1+SUP_VOLUMEN!$C$27)))*INDEX(SUP_C3_EXPANSION!$C$6:$F$6,MIN(4,COUNTIF(CAPA3_EXPANSION!$D$56:AI$56,"&gt;="&amp;39)))*CAPA3_EXPANSION!AI$36)</f>
        <v>0</v>
      </c>
      <c r="AJ46" s="88">
        <f>IF(COUNTIF(CAPA3_EXPANSION!$D$56:AJ$56,"&gt;="&amp;39)=0,0,SUP_CONTROL!$C$8*IF($B46="V",1,IF($B46="D",(1+SUP_VOLUMEN!$C$26),(1+SUP_VOLUMEN!$C$27)))*INDEX(SUP_C3_EXPANSION!$C$6:$F$6,MIN(4,COUNTIF(CAPA3_EXPANSION!$D$56:AJ$56,"&gt;="&amp;39)))*CAPA3_EXPANSION!AJ$36)</f>
        <v>0</v>
      </c>
      <c r="AK46" s="88">
        <f>IF(COUNTIF(CAPA3_EXPANSION!$D$56:AK$56,"&gt;="&amp;39)=0,0,SUP_CONTROL!$C$8*IF($B46="V",1,IF($B46="D",(1+SUP_VOLUMEN!$C$26),(1+SUP_VOLUMEN!$C$27)))*INDEX(SUP_C3_EXPANSION!$C$6:$F$6,MIN(4,COUNTIF(CAPA3_EXPANSION!$D$56:AK$56,"&gt;="&amp;39)))*CAPA3_EXPANSION!AK$36)</f>
        <v>0</v>
      </c>
      <c r="AL46" s="88">
        <f>IF(COUNTIF(CAPA3_EXPANSION!$D$56:AL$56,"&gt;="&amp;39)=0,0,SUP_CONTROL!$C$8*IF($B46="V",1,IF($B46="D",(1+SUP_VOLUMEN!$C$26),(1+SUP_VOLUMEN!$C$27)))*INDEX(SUP_C3_EXPANSION!$C$6:$F$6,MIN(4,COUNTIF(CAPA3_EXPANSION!$D$56:AL$56,"&gt;="&amp;39)))*CAPA3_EXPANSION!AL$36)</f>
        <v>0</v>
      </c>
      <c r="AM46" s="88">
        <f>IF(COUNTIF(CAPA3_EXPANSION!$D$56:AM$56,"&gt;="&amp;39)=0,0,SUP_CONTROL!$C$8*IF($B46="V",1,IF($B46="D",(1+SUP_VOLUMEN!$C$26),(1+SUP_VOLUMEN!$C$27)))*INDEX(SUP_C3_EXPANSION!$C$6:$F$6,MIN(4,COUNTIF(CAPA3_EXPANSION!$D$56:AM$56,"&gt;="&amp;39)))*CAPA3_EXPANSION!AM$36)</f>
        <v>0</v>
      </c>
      <c r="AN46" s="88">
        <f>IF(COUNTIF(CAPA3_EXPANSION!$D$56:AN$56,"&gt;="&amp;39)=0,0,SUP_CONTROL!$C$8*IF($B46="V",1,IF($B46="D",(1+SUP_VOLUMEN!$C$26),(1+SUP_VOLUMEN!$C$27)))*INDEX(SUP_C3_EXPANSION!$C$6:$F$6,MIN(4,COUNTIF(CAPA3_EXPANSION!$D$56:AN$56,"&gt;="&amp;39)))*CAPA3_EXPANSION!AN$36)</f>
        <v>0</v>
      </c>
      <c r="AO46" s="88">
        <f>IF(COUNTIF(CAPA3_EXPANSION!$D$56:AO$56,"&gt;="&amp;39)=0,0,SUP_CONTROL!$C$8*IF($B46="V",1,IF($B46="D",(1+SUP_VOLUMEN!$C$26),(1+SUP_VOLUMEN!$C$27)))*INDEX(SUP_C3_EXPANSION!$C$6:$F$6,MIN(4,COUNTIF(CAPA3_EXPANSION!$D$56:AO$56,"&gt;="&amp;39)))*CAPA3_EXPANSION!AO$36)</f>
        <v>0</v>
      </c>
      <c r="AP46" s="88">
        <f>IF(COUNTIF(CAPA3_EXPANSION!$D$56:AP$56,"&gt;="&amp;39)=0,0,SUP_CONTROL!$C$8*IF($B46="V",1,IF($B46="D",(1+SUP_VOLUMEN!$C$26),(1+SUP_VOLUMEN!$C$27)))*INDEX(SUP_C3_EXPANSION!$C$6:$F$6,MIN(4,COUNTIF(CAPA3_EXPANSION!$D$56:AP$56,"&gt;="&amp;39)))*CAPA3_EXPANSION!AP$36)</f>
        <v>0</v>
      </c>
      <c r="AQ46" s="88">
        <f>IF(COUNTIF(CAPA3_EXPANSION!$D$56:AQ$56,"&gt;="&amp;39)=0,0,SUP_CONTROL!$C$8*IF($B46="V",1,IF($B46="D",(1+SUP_VOLUMEN!$C$26),(1+SUP_VOLUMEN!$C$27)))*INDEX(SUP_C3_EXPANSION!$C$6:$F$6,MIN(4,COUNTIF(CAPA3_EXPANSION!$D$56:AQ$56,"&gt;="&amp;39)))*CAPA3_EXPANSION!AQ$36)</f>
        <v>0</v>
      </c>
      <c r="AR46" s="88">
        <f>IF(COUNTIF(CAPA3_EXPANSION!$D$56:AR$56,"&gt;="&amp;39)=0,0,SUP_CONTROL!$C$8*IF($B46="V",1,IF($B46="D",(1+SUP_VOLUMEN!$C$26),(1+SUP_VOLUMEN!$C$27)))*INDEX(SUP_C3_EXPANSION!$C$6:$F$6,MIN(4,COUNTIF(CAPA3_EXPANSION!$D$56:AR$56,"&gt;="&amp;39)))*CAPA3_EXPANSION!AR$36)</f>
        <v>0</v>
      </c>
      <c r="AS46" s="88">
        <f>IF(COUNTIF(CAPA3_EXPANSION!$D$56:AS$56,"&gt;="&amp;39)=0,0,SUP_CONTROL!$C$8*IF($B46="V",1,IF($B46="D",(1+SUP_VOLUMEN!$C$26),(1+SUP_VOLUMEN!$C$27)))*INDEX(SUP_C3_EXPANSION!$C$6:$F$6,MIN(4,COUNTIF(CAPA3_EXPANSION!$D$56:AS$56,"&gt;="&amp;39)))*CAPA3_EXPANSION!AS$36)</f>
        <v>0</v>
      </c>
      <c r="AT46" s="88">
        <f>IF(COUNTIF(CAPA3_EXPANSION!$D$56:AT$56,"&gt;="&amp;39)=0,0,SUP_CONTROL!$C$8*IF($B46="V",1,IF($B46="D",(1+SUP_VOLUMEN!$C$26),(1+SUP_VOLUMEN!$C$27)))*INDEX(SUP_C3_EXPANSION!$C$6:$F$6,MIN(4,COUNTIF(CAPA3_EXPANSION!$D$56:AT$56,"&gt;="&amp;39)))*CAPA3_EXPANSION!AT$36)</f>
        <v>0</v>
      </c>
      <c r="AU46" s="88">
        <f>IF(COUNTIF(CAPA3_EXPANSION!$D$56:AU$56,"&gt;="&amp;39)=0,0,SUP_CONTROL!$C$8*IF($B46="V",1,IF($B46="D",(1+SUP_VOLUMEN!$C$26),(1+SUP_VOLUMEN!$C$27)))*INDEX(SUP_C3_EXPANSION!$C$6:$F$6,MIN(4,COUNTIF(CAPA3_EXPANSION!$D$56:AU$56,"&gt;="&amp;39)))*CAPA3_EXPANSION!AU$36)</f>
        <v>0</v>
      </c>
      <c r="AV46" s="88">
        <f>IF(COUNTIF(CAPA3_EXPANSION!$D$56:AV$56,"&gt;="&amp;39)=0,0,SUP_CONTROL!$C$8*IF($B46="V",1,IF($B46="D",(1+SUP_VOLUMEN!$C$26),(1+SUP_VOLUMEN!$C$27)))*INDEX(SUP_C3_EXPANSION!$C$6:$F$6,MIN(4,COUNTIF(CAPA3_EXPANSION!$D$56:AV$56,"&gt;="&amp;39)))*CAPA3_EXPANSION!AV$36)</f>
        <v>0</v>
      </c>
      <c r="AW46" s="88">
        <f>IF(COUNTIF(CAPA3_EXPANSION!$D$56:AW$56,"&gt;="&amp;39)=0,0,SUP_CONTROL!$C$8*IF($B46="V",1,IF($B46="D",(1+SUP_VOLUMEN!$C$26),(1+SUP_VOLUMEN!$C$27)))*INDEX(SUP_C3_EXPANSION!$C$6:$F$6,MIN(4,COUNTIF(CAPA3_EXPANSION!$D$56:AW$56,"&gt;="&amp;39)))*CAPA3_EXPANSION!AW$36)</f>
        <v>0</v>
      </c>
      <c r="AX46" s="88">
        <f>IF(COUNTIF(CAPA3_EXPANSION!$D$56:AX$56,"&gt;="&amp;39)=0,0,SUP_CONTROL!$C$8*IF($B46="V",1,IF($B46="D",(1+SUP_VOLUMEN!$C$26),(1+SUP_VOLUMEN!$C$27)))*INDEX(SUP_C3_EXPANSION!$C$6:$F$6,MIN(4,COUNTIF(CAPA3_EXPANSION!$D$56:AX$56,"&gt;="&amp;39)))*CAPA3_EXPANSION!AX$36)</f>
        <v>0</v>
      </c>
      <c r="AY46" s="88">
        <f>IF(COUNTIF(CAPA3_EXPANSION!$D$56:AY$56,"&gt;="&amp;39)=0,0,SUP_CONTROL!$C$8*IF($B46="V",1,IF($B46="D",(1+SUP_VOLUMEN!$C$26),(1+SUP_VOLUMEN!$C$27)))*INDEX(SUP_C3_EXPANSION!$C$6:$F$6,MIN(4,COUNTIF(CAPA3_EXPANSION!$D$56:AY$56,"&gt;="&amp;39)))*CAPA3_EXPANSION!AY$36)</f>
        <v>0</v>
      </c>
      <c r="AZ46" s="88">
        <f>IF(COUNTIF(CAPA3_EXPANSION!$D$56:AZ$56,"&gt;="&amp;39)=0,0,SUP_CONTROL!$C$8*IF($B46="V",1,IF($B46="D",(1+SUP_VOLUMEN!$C$26),(1+SUP_VOLUMEN!$C$27)))*INDEX(SUP_C3_EXPANSION!$C$6:$F$6,MIN(4,COUNTIF(CAPA3_EXPANSION!$D$56:AZ$56,"&gt;="&amp;39)))*CAPA3_EXPANSION!AZ$36)</f>
        <v>0</v>
      </c>
      <c r="BA46" s="88">
        <f>IF(COUNTIF(CAPA3_EXPANSION!$D$56:BA$56,"&gt;="&amp;39)=0,0,SUP_CONTROL!$C$8*IF($B46="V",1,IF($B46="D",(1+SUP_VOLUMEN!$C$26),(1+SUP_VOLUMEN!$C$27)))*INDEX(SUP_C3_EXPANSION!$C$6:$F$6,MIN(4,COUNTIF(CAPA3_EXPANSION!$D$56:BA$56,"&gt;="&amp;39)))*CAPA3_EXPANSION!BA$36)</f>
        <v>0</v>
      </c>
      <c r="BB46" s="88">
        <f>IF(COUNTIF(CAPA3_EXPANSION!$D$56:BB$56,"&gt;="&amp;39)=0,0,SUP_CONTROL!$C$8*IF($B46="V",1,IF($B46="D",(1+SUP_VOLUMEN!$C$26),(1+SUP_VOLUMEN!$C$27)))*INDEX(SUP_C3_EXPANSION!$C$6:$F$6,MIN(4,COUNTIF(CAPA3_EXPANSION!$D$56:BB$56,"&gt;="&amp;39)))*CAPA3_EXPANSION!BB$36)</f>
        <v>0</v>
      </c>
      <c r="BC46" s="88">
        <f>IF(COUNTIF(CAPA3_EXPANSION!$D$56:BC$56,"&gt;="&amp;39)=0,0,SUP_CONTROL!$C$8*IF($B46="V",1,IF($B46="D",(1+SUP_VOLUMEN!$C$26),(1+SUP_VOLUMEN!$C$27)))*INDEX(SUP_C3_EXPANSION!$C$6:$F$6,MIN(4,COUNTIF(CAPA3_EXPANSION!$D$56:BC$56,"&gt;="&amp;39)))*CAPA3_EXPANSION!BC$36)</f>
        <v>0</v>
      </c>
      <c r="BD46" s="88">
        <f>IF(COUNTIF(CAPA3_EXPANSION!$D$56:BD$56,"&gt;="&amp;39)=0,0,SUP_CONTROL!$C$8*IF($B46="V",1,IF($B46="D",(1+SUP_VOLUMEN!$C$26),(1+SUP_VOLUMEN!$C$27)))*INDEX(SUP_C3_EXPANSION!$C$6:$F$6,MIN(4,COUNTIF(CAPA3_EXPANSION!$D$56:BD$56,"&gt;="&amp;39)))*CAPA3_EXPANSION!BD$36)</f>
        <v>0</v>
      </c>
      <c r="BE46" s="88">
        <f>IF(COUNTIF(CAPA3_EXPANSION!$D$56:BE$56,"&gt;="&amp;39)=0,0,SUP_CONTROL!$C$8*IF($B46="V",1,IF($B46="D",(1+SUP_VOLUMEN!$C$26),(1+SUP_VOLUMEN!$C$27)))*INDEX(SUP_C3_EXPANSION!$C$6:$F$6,MIN(4,COUNTIF(CAPA3_EXPANSION!$D$56:BE$56,"&gt;="&amp;39)))*CAPA3_EXPANSION!BE$36)</f>
        <v>0</v>
      </c>
      <c r="BF46" s="88">
        <f>IF(COUNTIF(CAPA3_EXPANSION!$D$56:BF$56,"&gt;="&amp;39)=0,0,SUP_CONTROL!$C$8*IF($B46="V",1,IF($B46="D",(1+SUP_VOLUMEN!$C$26),(1+SUP_VOLUMEN!$C$27)))*INDEX(SUP_C3_EXPANSION!$C$6:$F$6,MIN(4,COUNTIF(CAPA3_EXPANSION!$D$56:BF$56,"&gt;="&amp;39)))*CAPA3_EXPANSION!BF$36)</f>
        <v>0</v>
      </c>
      <c r="BG46" s="88">
        <f>IF(COUNTIF(CAPA3_EXPANSION!$D$56:BG$56,"&gt;="&amp;39)=0,0,SUP_CONTROL!$C$8*IF($B46="V",1,IF($B46="D",(1+SUP_VOLUMEN!$C$26),(1+SUP_VOLUMEN!$C$27)))*INDEX(SUP_C3_EXPANSION!$C$6:$F$6,MIN(4,COUNTIF(CAPA3_EXPANSION!$D$56:BG$56,"&gt;="&amp;39)))*CAPA3_EXPANSION!BG$36)</f>
        <v>0</v>
      </c>
      <c r="BH46" s="88">
        <f>IF(COUNTIF(CAPA3_EXPANSION!$D$56:BH$56,"&gt;="&amp;39)=0,0,SUP_CONTROL!$C$8*IF($B46="V",1,IF($B46="D",(1+SUP_VOLUMEN!$C$26),(1+SUP_VOLUMEN!$C$27)))*INDEX(SUP_C3_EXPANSION!$C$6:$F$6,MIN(4,COUNTIF(CAPA3_EXPANSION!$D$56:BH$56,"&gt;="&amp;39)))*CAPA3_EXPANSION!BH$36)</f>
        <v>0</v>
      </c>
      <c r="BI46" s="88">
        <f>IF(COUNTIF(CAPA3_EXPANSION!$D$56:BI$56,"&gt;="&amp;39)=0,0,SUP_CONTROL!$C$8*IF($B46="V",1,IF($B46="D",(1+SUP_VOLUMEN!$C$26),(1+SUP_VOLUMEN!$C$27)))*INDEX(SUP_C3_EXPANSION!$C$6:$F$6,MIN(4,COUNTIF(CAPA3_EXPANSION!$D$56:BI$56,"&gt;="&amp;39)))*CAPA3_EXPANSION!BI$36)</f>
        <v>0</v>
      </c>
      <c r="BJ46" s="88">
        <f>IF(COUNTIF(CAPA3_EXPANSION!$D$56:BJ$56,"&gt;="&amp;39)=0,0,SUP_CONTROL!$C$8*IF($B46="V",1,IF($B46="D",(1+SUP_VOLUMEN!$C$26),(1+SUP_VOLUMEN!$C$27)))*INDEX(SUP_C3_EXPANSION!$C$6:$F$6,MIN(4,COUNTIF(CAPA3_EXPANSION!$D$56:BJ$56,"&gt;="&amp;39)))*CAPA3_EXPANSION!BJ$36)</f>
        <v>0</v>
      </c>
      <c r="BK46" s="88">
        <f>IF(COUNTIF(CAPA3_EXPANSION!$D$56:BK$56,"&gt;="&amp;39)=0,0,SUP_CONTROL!$C$8*IF($B46="V",1,IF($B46="D",(1+SUP_VOLUMEN!$C$26),(1+SUP_VOLUMEN!$C$27)))*INDEX(SUP_C3_EXPANSION!$C$6:$F$6,MIN(4,COUNTIF(CAPA3_EXPANSION!$D$56:BK$56,"&gt;="&amp;39)))*CAPA3_EXPANSION!BK$36)</f>
        <v>0</v>
      </c>
      <c r="BL46" s="88">
        <f>IF(COUNTIF(CAPA3_EXPANSION!$D$56:BL$56,"&gt;="&amp;39)=0,0,SUP_CONTROL!$C$8*IF($B46="V",1,IF($B46="D",(1+SUP_VOLUMEN!$C$26),(1+SUP_VOLUMEN!$C$27)))*INDEX(SUP_C3_EXPANSION!$C$6:$F$6,MIN(4,COUNTIF(CAPA3_EXPANSION!$D$56:BL$56,"&gt;="&amp;39)))*CAPA3_EXPANSION!BL$36)</f>
        <v>0</v>
      </c>
      <c r="BM46" s="88">
        <f>IF(COUNTIF(CAPA3_EXPANSION!$D$56:BM$56,"&gt;="&amp;39)=0,0,SUP_CONTROL!$C$8*IF($B46="V",1,IF($B46="D",(1+SUP_VOLUMEN!$C$26),(1+SUP_VOLUMEN!$C$27)))*INDEX(SUP_C3_EXPANSION!$C$6:$F$6,MIN(4,COUNTIF(CAPA3_EXPANSION!$D$56:BM$56,"&gt;="&amp;39)))*CAPA3_EXPANSION!BM$36)</f>
        <v>0</v>
      </c>
      <c r="BN46" s="88">
        <f>IF(COUNTIF(CAPA3_EXPANSION!$D$56:BN$56,"&gt;="&amp;39)=0,0,SUP_CONTROL!$C$8*IF($B46="V",1,IF($B46="D",(1+SUP_VOLUMEN!$C$26),(1+SUP_VOLUMEN!$C$27)))*INDEX(SUP_C3_EXPANSION!$C$6:$F$6,MIN(4,COUNTIF(CAPA3_EXPANSION!$D$56:BN$56,"&gt;="&amp;39)))*CAPA3_EXPANSION!BN$36)</f>
        <v>0</v>
      </c>
      <c r="BO46" s="88">
        <f>IF(COUNTIF(CAPA3_EXPANSION!$D$56:BO$56,"&gt;="&amp;39)=0,0,SUP_CONTROL!$C$8*IF($B46="V",1,IF($B46="D",(1+SUP_VOLUMEN!$C$26),(1+SUP_VOLUMEN!$C$27)))*INDEX(SUP_C3_EXPANSION!$C$6:$F$6,MIN(4,COUNTIF(CAPA3_EXPANSION!$D$56:BO$56,"&gt;="&amp;39)))*CAPA3_EXPANSION!BO$36)</f>
        <v>0</v>
      </c>
      <c r="BP46" s="88">
        <f>IF(COUNTIF(CAPA3_EXPANSION!$D$56:BP$56,"&gt;="&amp;39)=0,0,SUP_CONTROL!$C$8*IF($B46="V",1,IF($B46="D",(1+SUP_VOLUMEN!$C$26),(1+SUP_VOLUMEN!$C$27)))*INDEX(SUP_C3_EXPANSION!$C$6:$F$6,MIN(4,COUNTIF(CAPA3_EXPANSION!$D$56:BP$56,"&gt;="&amp;39)))*CAPA3_EXPANSION!BP$36)</f>
        <v>0</v>
      </c>
      <c r="BQ46" s="88">
        <f>IF(COUNTIF(CAPA3_EXPANSION!$D$56:BQ$56,"&gt;="&amp;39)=0,0,SUP_CONTROL!$C$8*IF($B46="V",1,IF($B46="D",(1+SUP_VOLUMEN!$C$26),(1+SUP_VOLUMEN!$C$27)))*INDEX(SUP_C3_EXPANSION!$C$6:$F$6,MIN(4,COUNTIF(CAPA3_EXPANSION!$D$56:BQ$56,"&gt;="&amp;39)))*CAPA3_EXPANSION!BQ$36)</f>
        <v>0</v>
      </c>
      <c r="BR46" s="88">
        <f>IF(COUNTIF(CAPA3_EXPANSION!$D$56:BR$56,"&gt;="&amp;39)=0,0,SUP_CONTROL!$C$8*IF($B46="V",1,IF($B46="D",(1+SUP_VOLUMEN!$C$26),(1+SUP_VOLUMEN!$C$27)))*INDEX(SUP_C3_EXPANSION!$C$6:$F$6,MIN(4,COUNTIF(CAPA3_EXPANSION!$D$56:BR$56,"&gt;="&amp;39)))*CAPA3_EXPANSION!BR$36)</f>
        <v>0</v>
      </c>
      <c r="BS46" s="88">
        <f>IF(COUNTIF(CAPA3_EXPANSION!$D$56:BS$56,"&gt;="&amp;39)=0,0,SUP_CONTROL!$C$8*IF($B46="V",1,IF($B46="D",(1+SUP_VOLUMEN!$C$26),(1+SUP_VOLUMEN!$C$27)))*INDEX(SUP_C3_EXPANSION!$C$6:$F$6,MIN(4,COUNTIF(CAPA3_EXPANSION!$D$56:BS$56,"&gt;="&amp;39)))*CAPA3_EXPANSION!BS$36)</f>
        <v>0</v>
      </c>
      <c r="BT46" s="88">
        <f>IF(COUNTIF(CAPA3_EXPANSION!$D$56:BT$56,"&gt;="&amp;39)=0,0,SUP_CONTROL!$C$8*IF($B46="V",1,IF($B46="D",(1+SUP_VOLUMEN!$C$26),(1+SUP_VOLUMEN!$C$27)))*INDEX(SUP_C3_EXPANSION!$C$6:$F$6,MIN(4,COUNTIF(CAPA3_EXPANSION!$D$56:BT$56,"&gt;="&amp;39)))*CAPA3_EXPANSION!BT$36)</f>
        <v>0</v>
      </c>
      <c r="BU46" s="88">
        <f>IF(COUNTIF(CAPA3_EXPANSION!$D$56:BU$56,"&gt;="&amp;39)=0,0,SUP_CONTROL!$C$8*IF($B46="V",1,IF($B46="D",(1+SUP_VOLUMEN!$C$26),(1+SUP_VOLUMEN!$C$27)))*INDEX(SUP_C3_EXPANSION!$C$6:$F$6,MIN(4,COUNTIF(CAPA3_EXPANSION!$D$56:BU$56,"&gt;="&amp;39)))*CAPA3_EXPANSION!BU$36)</f>
        <v>0</v>
      </c>
      <c r="BV46" s="88">
        <f>IF(COUNTIF(CAPA3_EXPANSION!$D$56:BV$56,"&gt;="&amp;39)=0,0,SUP_CONTROL!$C$8*IF($B46="V",1,IF($B46="D",(1+SUP_VOLUMEN!$C$26),(1+SUP_VOLUMEN!$C$27)))*INDEX(SUP_C3_EXPANSION!$C$6:$F$6,MIN(4,COUNTIF(CAPA3_EXPANSION!$D$56:BV$56,"&gt;="&amp;39)))*CAPA3_EXPANSION!BV$36)</f>
        <v>0</v>
      </c>
      <c r="BW46" s="88">
        <f>IF(COUNTIF(CAPA3_EXPANSION!$D$56:BW$56,"&gt;="&amp;39)=0,0,SUP_CONTROL!$C$8*IF($B46="V",1,IF($B46="D",(1+SUP_VOLUMEN!$C$26),(1+SUP_VOLUMEN!$C$27)))*INDEX(SUP_C3_EXPANSION!$C$6:$F$6,MIN(4,COUNTIF(CAPA3_EXPANSION!$D$56:BW$56,"&gt;="&amp;39)))*CAPA3_EXPANSION!BW$36)</f>
        <v>0</v>
      </c>
      <c r="BX46" s="88">
        <f>IF(COUNTIF(CAPA3_EXPANSION!$D$56:BX$56,"&gt;="&amp;39)=0,0,SUP_CONTROL!$C$8*IF($B46="V",1,IF($B46="D",(1+SUP_VOLUMEN!$C$26),(1+SUP_VOLUMEN!$C$27)))*INDEX(SUP_C3_EXPANSION!$C$6:$F$6,MIN(4,COUNTIF(CAPA3_EXPANSION!$D$56:BX$56,"&gt;="&amp;39)))*CAPA3_EXPANSION!BX$36)</f>
        <v>0</v>
      </c>
      <c r="BY46" s="88">
        <f>IF(COUNTIF(CAPA3_EXPANSION!$D$56:BY$56,"&gt;="&amp;39)=0,0,SUP_CONTROL!$C$8*IF($B46="V",1,IF($B46="D",(1+SUP_VOLUMEN!$C$26),(1+SUP_VOLUMEN!$C$27)))*INDEX(SUP_C3_EXPANSION!$C$6:$F$6,MIN(4,COUNTIF(CAPA3_EXPANSION!$D$56:BY$56,"&gt;="&amp;39)))*CAPA3_EXPANSION!BY$36)</f>
        <v>0</v>
      </c>
      <c r="BZ46" s="88">
        <f>IF(COUNTIF(CAPA3_EXPANSION!$D$56:BZ$56,"&gt;="&amp;39)=0,0,SUP_CONTROL!$C$8*IF($B46="V",1,IF($B46="D",(1+SUP_VOLUMEN!$C$26),(1+SUP_VOLUMEN!$C$27)))*INDEX(SUP_C3_EXPANSION!$C$6:$F$6,MIN(4,COUNTIF(CAPA3_EXPANSION!$D$56:BZ$56,"&gt;="&amp;39)))*CAPA3_EXPANSION!BZ$36)</f>
        <v>0</v>
      </c>
      <c r="CA46" s="88">
        <f>IF(COUNTIF(CAPA3_EXPANSION!$D$56:CA$56,"&gt;="&amp;39)=0,0,SUP_CONTROL!$C$8*IF($B46="V",1,IF($B46="D",(1+SUP_VOLUMEN!$C$26),(1+SUP_VOLUMEN!$C$27)))*INDEX(SUP_C3_EXPANSION!$C$6:$F$6,MIN(4,COUNTIF(CAPA3_EXPANSION!$D$56:CA$56,"&gt;="&amp;39)))*CAPA3_EXPANSION!CA$36)</f>
        <v>0</v>
      </c>
      <c r="CB46" s="88">
        <f>IF(COUNTIF(CAPA3_EXPANSION!$D$56:CB$56,"&gt;="&amp;39)=0,0,SUP_CONTROL!$C$8*IF($B46="V",1,IF($B46="D",(1+SUP_VOLUMEN!$C$26),(1+SUP_VOLUMEN!$C$27)))*INDEX(SUP_C3_EXPANSION!$C$6:$F$6,MIN(4,COUNTIF(CAPA3_EXPANSION!$D$56:CB$56,"&gt;="&amp;39)))*CAPA3_EXPANSION!CB$36)</f>
        <v>1838.3820000000001</v>
      </c>
      <c r="CC46" s="88">
        <f>IF(COUNTIF(CAPA3_EXPANSION!$D$56:CC$56,"&gt;="&amp;39)=0,0,SUP_CONTROL!$C$8*IF($B46="V",1,IF($B46="D",(1+SUP_VOLUMEN!$C$26),(1+SUP_VOLUMEN!$C$27)))*INDEX(SUP_C3_EXPANSION!$C$6:$F$6,MIN(4,COUNTIF(CAPA3_EXPANSION!$D$56:CC$56,"&gt;="&amp;39)))*CAPA3_EXPANSION!CC$36)</f>
        <v>2262.6240000000003</v>
      </c>
      <c r="CD46" s="88">
        <f>IF(COUNTIF(CAPA3_EXPANSION!$D$56:CD$56,"&gt;="&amp;39)=0,0,SUP_CONTROL!$C$8*IF($B46="V",1,IF($B46="D",(1+SUP_VOLUMEN!$C$26),(1+SUP_VOLUMEN!$C$27)))*INDEX(SUP_C3_EXPANSION!$C$6:$F$6,MIN(4,COUNTIF(CAPA3_EXPANSION!$D$56:CD$56,"&gt;="&amp;39)))*CAPA3_EXPANSION!CD$36)</f>
        <v>2545.4520000000002</v>
      </c>
      <c r="CE46" s="88">
        <f>IF(COUNTIF(CAPA3_EXPANSION!$D$56:CE$56,"&gt;="&amp;39)=0,0,SUP_CONTROL!$C$8*IF($B46="V",1,IF($B46="D",(1+SUP_VOLUMEN!$C$26),(1+SUP_VOLUMEN!$C$27)))*INDEX(SUP_C3_EXPANSION!$C$6:$F$6,MIN(4,COUNTIF(CAPA3_EXPANSION!$D$56:CE$56,"&gt;="&amp;39)))*CAPA3_EXPANSION!CE$36)</f>
        <v>2828.2799999999997</v>
      </c>
      <c r="CF46" s="88">
        <f>IF(COUNTIF(CAPA3_EXPANSION!$D$56:CF$56,"&gt;="&amp;39)=0,0,SUP_CONTROL!$C$8*IF($B46="V",1,IF($B46="D",(1+SUP_VOLUMEN!$C$26),(1+SUP_VOLUMEN!$C$27)))*INDEX(SUP_C3_EXPANSION!$C$6:$F$6,MIN(4,COUNTIF(CAPA3_EXPANSION!$D$56:CF$56,"&gt;="&amp;39)))*CAPA3_EXPANSION!CF$36)</f>
        <v>2828.2799999999997</v>
      </c>
      <c r="CG46" s="88">
        <f>IF(COUNTIF(CAPA3_EXPANSION!$D$56:CG$56,"&gt;="&amp;39)=0,0,SUP_CONTROL!$C$8*IF($B46="V",1,IF($B46="D",(1+SUP_VOLUMEN!$C$26),(1+SUP_VOLUMEN!$C$27)))*INDEX(SUP_C3_EXPANSION!$C$6:$F$6,MIN(4,COUNTIF(CAPA3_EXPANSION!$D$56:CG$56,"&gt;="&amp;39)))*CAPA3_EXPANSION!CG$36)</f>
        <v>2828.2799999999997</v>
      </c>
      <c r="CH46" s="88">
        <f>IF(COUNTIF(CAPA3_EXPANSION!$D$56:CH$56,"&gt;="&amp;39)=0,0,SUP_CONTROL!$C$8*IF($B46="V",1,IF($B46="D",(1+SUP_VOLUMEN!$C$26),(1+SUP_VOLUMEN!$C$27)))*INDEX(SUP_C3_EXPANSION!$C$6:$F$6,MIN(4,COUNTIF(CAPA3_EXPANSION!$D$56:CH$56,"&gt;="&amp;39)))*CAPA3_EXPANSION!CH$36)</f>
        <v>2828.2799999999997</v>
      </c>
      <c r="CI46" s="88">
        <f>IF(COUNTIF(CAPA3_EXPANSION!$D$56:CI$56,"&gt;="&amp;39)=0,0,SUP_CONTROL!$C$8*IF($B46="V",1,IF($B46="D",(1+SUP_VOLUMEN!$C$26),(1+SUP_VOLUMEN!$C$27)))*INDEX(SUP_C3_EXPANSION!$C$6:$F$6,MIN(4,COUNTIF(CAPA3_EXPANSION!$D$56:CI$56,"&gt;="&amp;39)))*CAPA3_EXPANSION!CI$36)</f>
        <v>2828.2799999999997</v>
      </c>
      <c r="CJ46" s="88">
        <f>IF(COUNTIF(CAPA3_EXPANSION!$D$56:CJ$56,"&gt;="&amp;39)=0,0,SUP_CONTROL!$C$8*IF($B46="V",1,IF($B46="D",(1+SUP_VOLUMEN!$C$26),(1+SUP_VOLUMEN!$C$27)))*INDEX(SUP_C3_EXPANSION!$C$6:$F$6,MIN(4,COUNTIF(CAPA3_EXPANSION!$D$56:CJ$56,"&gt;="&amp;39)))*CAPA3_EXPANSION!CJ$36)</f>
        <v>2828.2799999999997</v>
      </c>
      <c r="CK46" s="88">
        <f>IF(COUNTIF(CAPA3_EXPANSION!$D$56:CK$56,"&gt;="&amp;39)=0,0,SUP_CONTROL!$C$8*IF($B46="V",1,IF($B46="D",(1+SUP_VOLUMEN!$C$26),(1+SUP_VOLUMEN!$C$27)))*INDEX(SUP_C3_EXPANSION!$C$6:$F$6,MIN(4,COUNTIF(CAPA3_EXPANSION!$D$56:CK$56,"&gt;="&amp;39)))*CAPA3_EXPANSION!CK$36)</f>
        <v>2828.2799999999997</v>
      </c>
      <c r="CL46" s="88">
        <f>IF(COUNTIF(CAPA3_EXPANSION!$D$56:CL$56,"&gt;="&amp;39)=0,0,SUP_CONTROL!$C$8*IF($B46="V",1,IF($B46="D",(1+SUP_VOLUMEN!$C$26),(1+SUP_VOLUMEN!$C$27)))*INDEX(SUP_C3_EXPANSION!$C$6:$F$6,MIN(4,COUNTIF(CAPA3_EXPANSION!$D$56:CL$56,"&gt;="&amp;39)))*CAPA3_EXPANSION!CL$36)</f>
        <v>2828.2799999999997</v>
      </c>
      <c r="CM46" s="88">
        <f>IF(COUNTIF(CAPA3_EXPANSION!$D$56:CM$56,"&gt;="&amp;39)=0,0,SUP_CONTROL!$C$8*IF($B46="V",1,IF($B46="D",(1+SUP_VOLUMEN!$C$26),(1+SUP_VOLUMEN!$C$27)))*INDEX(SUP_C3_EXPANSION!$C$6:$F$6,MIN(4,COUNTIF(CAPA3_EXPANSION!$D$56:CM$56,"&gt;="&amp;39)))*CAPA3_EXPANSION!CM$36)</f>
        <v>2828.2799999999997</v>
      </c>
      <c r="CN46" s="88">
        <f>IF(COUNTIF(CAPA3_EXPANSION!$D$56:CN$56,"&gt;="&amp;39)=0,0,SUP_CONTROL!$C$8*IF($B46="V",1,IF($B46="D",(1+SUP_VOLUMEN!$C$26),(1+SUP_VOLUMEN!$C$27)))*INDEX(SUP_C3_EXPANSION!$C$6:$F$6,MIN(4,COUNTIF(CAPA3_EXPANSION!$D$56:CN$56,"&gt;="&amp;39)))*CAPA3_EXPANSION!CN$36)</f>
        <v>2828.2799999999997</v>
      </c>
      <c r="CO46" s="88">
        <f>IF(COUNTIF(CAPA3_EXPANSION!$D$56:CO$56,"&gt;="&amp;39)=0,0,SUP_CONTROL!$C$8*IF($B46="V",1,IF($B46="D",(1+SUP_VOLUMEN!$C$26),(1+SUP_VOLUMEN!$C$27)))*INDEX(SUP_C3_EXPANSION!$C$6:$F$6,MIN(4,COUNTIF(CAPA3_EXPANSION!$D$56:CO$56,"&gt;="&amp;39)))*CAPA3_EXPANSION!CO$36)</f>
        <v>2828.2799999999997</v>
      </c>
      <c r="CP46" s="88">
        <f>IF(COUNTIF(CAPA3_EXPANSION!$D$56:CP$56,"&gt;="&amp;39)=0,0,SUP_CONTROL!$C$8*IF($B46="V",1,IF($B46="D",(1+SUP_VOLUMEN!$C$26),(1+SUP_VOLUMEN!$C$27)))*INDEX(SUP_C3_EXPANSION!$C$6:$F$6,MIN(4,COUNTIF(CAPA3_EXPANSION!$D$56:CP$56,"&gt;="&amp;39)))*CAPA3_EXPANSION!CP$36)</f>
        <v>2828.2799999999997</v>
      </c>
      <c r="CQ46" s="88">
        <f>IF(COUNTIF(CAPA3_EXPANSION!$D$56:CQ$56,"&gt;="&amp;39)=0,0,SUP_CONTROL!$C$8*IF($B46="V",1,IF($B46="D",(1+SUP_VOLUMEN!$C$26),(1+SUP_VOLUMEN!$C$27)))*INDEX(SUP_C3_EXPANSION!$C$6:$F$6,MIN(4,COUNTIF(CAPA3_EXPANSION!$D$56:CQ$56,"&gt;="&amp;39)))*CAPA3_EXPANSION!CQ$36)</f>
        <v>2828.2799999999997</v>
      </c>
      <c r="CR46" s="88">
        <f>IF(COUNTIF(CAPA3_EXPANSION!$D$56:CR$56,"&gt;="&amp;39)=0,0,SUP_CONTROL!$C$8*IF($B46="V",1,IF($B46="D",(1+SUP_VOLUMEN!$C$26),(1+SUP_VOLUMEN!$C$27)))*INDEX(SUP_C3_EXPANSION!$C$6:$F$6,MIN(4,COUNTIF(CAPA3_EXPANSION!$D$56:CR$56,"&gt;="&amp;39)))*CAPA3_EXPANSION!CR$36)</f>
        <v>2828.2799999999997</v>
      </c>
      <c r="CS46" s="88">
        <f>IF(COUNTIF(CAPA3_EXPANSION!$D$56:CS$56,"&gt;="&amp;39)=0,0,SUP_CONTROL!$C$8*IF($B46="V",1,IF($B46="D",(1+SUP_VOLUMEN!$C$26),(1+SUP_VOLUMEN!$C$27)))*INDEX(SUP_C3_EXPANSION!$C$6:$F$6,MIN(4,COUNTIF(CAPA3_EXPANSION!$D$56:CS$56,"&gt;="&amp;39)))*CAPA3_EXPANSION!CS$36)</f>
        <v>2828.2799999999997</v>
      </c>
      <c r="CT46" s="88">
        <f>IF(COUNTIF(CAPA3_EXPANSION!$D$56:CT$56,"&gt;="&amp;39)=0,0,SUP_CONTROL!$C$8*IF($B46="V",1,IF($B46="D",(1+SUP_VOLUMEN!$C$26),(1+SUP_VOLUMEN!$C$27)))*INDEX(SUP_C3_EXPANSION!$C$6:$F$6,MIN(4,COUNTIF(CAPA3_EXPANSION!$D$56:CT$56,"&gt;="&amp;39)))*CAPA3_EXPANSION!CT$36)</f>
        <v>2828.2799999999997</v>
      </c>
      <c r="CU46" s="88">
        <f>IF(COUNTIF(CAPA3_EXPANSION!$D$56:CU$56,"&gt;="&amp;39)=0,0,SUP_CONTROL!$C$8*IF($B46="V",1,IF($B46="D",(1+SUP_VOLUMEN!$C$26),(1+SUP_VOLUMEN!$C$27)))*INDEX(SUP_C3_EXPANSION!$C$6:$F$6,MIN(4,COUNTIF(CAPA3_EXPANSION!$D$56:CU$56,"&gt;="&amp;39)))*CAPA3_EXPANSION!CU$36)</f>
        <v>2828.2799999999997</v>
      </c>
      <c r="CV46" s="88">
        <f>IF(COUNTIF(CAPA3_EXPANSION!$D$56:CV$56,"&gt;="&amp;39)=0,0,SUP_CONTROL!$C$8*IF($B46="V",1,IF($B46="D",(1+SUP_VOLUMEN!$C$26),(1+SUP_VOLUMEN!$C$27)))*INDEX(SUP_C3_EXPANSION!$C$6:$F$6,MIN(4,COUNTIF(CAPA3_EXPANSION!$D$56:CV$56,"&gt;="&amp;39)))*CAPA3_EXPANSION!CV$36)</f>
        <v>2828.2799999999997</v>
      </c>
      <c r="CW46" s="88">
        <f>IF(COUNTIF(CAPA3_EXPANSION!$D$56:CW$56,"&gt;="&amp;39)=0,0,SUP_CONTROL!$C$8*IF($B46="V",1,IF($B46="D",(1+SUP_VOLUMEN!$C$26),(1+SUP_VOLUMEN!$C$27)))*INDEX(SUP_C3_EXPANSION!$C$6:$F$6,MIN(4,COUNTIF(CAPA3_EXPANSION!$D$56:CW$56,"&gt;="&amp;39)))*CAPA3_EXPANSION!CW$36)</f>
        <v>2828.2799999999997</v>
      </c>
      <c r="CX46" s="88">
        <f>IF(COUNTIF(CAPA3_EXPANSION!$D$56:CX$56,"&gt;="&amp;39)=0,0,SUP_CONTROL!$C$8*IF($B46="V",1,IF($B46="D",(1+SUP_VOLUMEN!$C$26),(1+SUP_VOLUMEN!$C$27)))*INDEX(SUP_C3_EXPANSION!$C$6:$F$6,MIN(4,COUNTIF(CAPA3_EXPANSION!$D$56:CX$56,"&gt;="&amp;39)))*CAPA3_EXPANSION!CX$36)</f>
        <v>2828.2799999999997</v>
      </c>
      <c r="CY46" s="88">
        <f>IF(COUNTIF(CAPA3_EXPANSION!$D$56:CY$56,"&gt;="&amp;39)=0,0,SUP_CONTROL!$C$8*IF($B46="V",1,IF($B46="D",(1+SUP_VOLUMEN!$C$26),(1+SUP_VOLUMEN!$C$27)))*INDEX(SUP_C3_EXPANSION!$C$6:$F$6,MIN(4,COUNTIF(CAPA3_EXPANSION!$D$56:CY$56,"&gt;="&amp;39)))*CAPA3_EXPANSION!CY$36)</f>
        <v>2828.2799999999997</v>
      </c>
      <c r="CZ46" s="88">
        <f>IF(COUNTIF(CAPA3_EXPANSION!$D$56:CZ$56,"&gt;="&amp;39)=0,0,SUP_CONTROL!$C$8*IF($B46="V",1,IF($B46="D",(1+SUP_VOLUMEN!$C$26),(1+SUP_VOLUMEN!$C$27)))*INDEX(SUP_C3_EXPANSION!$C$6:$F$6,MIN(4,COUNTIF(CAPA3_EXPANSION!$D$56:CZ$56,"&gt;="&amp;39)))*CAPA3_EXPANSION!CZ$36)</f>
        <v>2828.2799999999997</v>
      </c>
      <c r="DA46" s="88">
        <f>IF(COUNTIF(CAPA3_EXPANSION!$D$56:DA$56,"&gt;="&amp;39)=0,0,SUP_CONTROL!$C$8*IF($B46="V",1,IF($B46="D",(1+SUP_VOLUMEN!$C$26),(1+SUP_VOLUMEN!$C$27)))*INDEX(SUP_C3_EXPANSION!$C$6:$F$6,MIN(4,COUNTIF(CAPA3_EXPANSION!$D$56:DA$56,"&gt;="&amp;39)))*CAPA3_EXPANSION!DA$36)</f>
        <v>2828.2799999999997</v>
      </c>
      <c r="DB46" s="88">
        <f>IF(COUNTIF(CAPA3_EXPANSION!$D$56:DB$56,"&gt;="&amp;39)=0,0,SUP_CONTROL!$C$8*IF($B46="V",1,IF($B46="D",(1+SUP_VOLUMEN!$C$26),(1+SUP_VOLUMEN!$C$27)))*INDEX(SUP_C3_EXPANSION!$C$6:$F$6,MIN(4,COUNTIF(CAPA3_EXPANSION!$D$56:DB$56,"&gt;="&amp;39)))*CAPA3_EXPANSION!DB$36)</f>
        <v>2828.2799999999997</v>
      </c>
      <c r="DC46" s="88">
        <f>IF(COUNTIF(CAPA3_EXPANSION!$D$56:DC$56,"&gt;="&amp;39)=0,0,SUP_CONTROL!$C$8*IF($B46="V",1,IF($B46="D",(1+SUP_VOLUMEN!$C$26),(1+SUP_VOLUMEN!$C$27)))*INDEX(SUP_C3_EXPANSION!$C$6:$F$6,MIN(4,COUNTIF(CAPA3_EXPANSION!$D$56:DC$56,"&gt;="&amp;39)))*CAPA3_EXPANSION!DC$36)</f>
        <v>2828.2799999999997</v>
      </c>
      <c r="DD46" s="88">
        <f>IF(COUNTIF(CAPA3_EXPANSION!$D$56:DD$56,"&gt;="&amp;39)=0,0,SUP_CONTROL!$C$8*IF($B46="V",1,IF($B46="D",(1+SUP_VOLUMEN!$C$26),(1+SUP_VOLUMEN!$C$27)))*INDEX(SUP_C3_EXPANSION!$C$6:$F$6,MIN(4,COUNTIF(CAPA3_EXPANSION!$D$56:DD$56,"&gt;="&amp;39)))*CAPA3_EXPANSION!DD$36)</f>
        <v>2828.2799999999997</v>
      </c>
      <c r="DE46" s="88">
        <f>IF(COUNTIF(CAPA3_EXPANSION!$D$56:DE$56,"&gt;="&amp;39)=0,0,SUP_CONTROL!$C$8*IF($B46="V",1,IF($B46="D",(1+SUP_VOLUMEN!$C$26),(1+SUP_VOLUMEN!$C$27)))*INDEX(SUP_C3_EXPANSION!$C$6:$F$6,MIN(4,COUNTIF(CAPA3_EXPANSION!$D$56:DE$56,"&gt;="&amp;39)))*CAPA3_EXPANSION!DE$36)</f>
        <v>2828.2799999999997</v>
      </c>
      <c r="DF46" s="88">
        <f>IF(COUNTIF(CAPA3_EXPANSION!$D$56:DF$56,"&gt;="&amp;39)=0,0,SUP_CONTROL!$C$8*IF($B46="V",1,IF($B46="D",(1+SUP_VOLUMEN!$C$26),(1+SUP_VOLUMEN!$C$27)))*INDEX(SUP_C3_EXPANSION!$C$6:$F$6,MIN(4,COUNTIF(CAPA3_EXPANSION!$D$56:DF$56,"&gt;="&amp;39)))*CAPA3_EXPANSION!DF$36)</f>
        <v>2828.2799999999997</v>
      </c>
      <c r="DG46" s="88">
        <f>IF(COUNTIF(CAPA3_EXPANSION!$D$56:DG$56,"&gt;="&amp;39)=0,0,SUP_CONTROL!$C$8*IF($B46="V",1,IF($B46="D",(1+SUP_VOLUMEN!$C$26),(1+SUP_VOLUMEN!$C$27)))*INDEX(SUP_C3_EXPANSION!$C$6:$F$6,MIN(4,COUNTIF(CAPA3_EXPANSION!$D$56:DG$56,"&gt;="&amp;39)))*CAPA3_EXPANSION!DG$36)</f>
        <v>2828.2799999999997</v>
      </c>
      <c r="DH46" s="88">
        <f>IF(COUNTIF(CAPA3_EXPANSION!$D$56:DH$56,"&gt;="&amp;39)=0,0,SUP_CONTROL!$C$8*IF($B46="V",1,IF($B46="D",(1+SUP_VOLUMEN!$C$26),(1+SUP_VOLUMEN!$C$27)))*INDEX(SUP_C3_EXPANSION!$C$6:$F$6,MIN(4,COUNTIF(CAPA3_EXPANSION!$D$56:DH$56,"&gt;="&amp;39)))*CAPA3_EXPANSION!DH$36)</f>
        <v>2828.2799999999997</v>
      </c>
      <c r="DI46" s="88">
        <f>IF(COUNTIF(CAPA3_EXPANSION!$D$56:DI$56,"&gt;="&amp;39)=0,0,SUP_CONTROL!$C$8*IF($B46="V",1,IF($B46="D",(1+SUP_VOLUMEN!$C$26),(1+SUP_VOLUMEN!$C$27)))*INDEX(SUP_C3_EXPANSION!$C$6:$F$6,MIN(4,COUNTIF(CAPA3_EXPANSION!$D$56:DI$56,"&gt;="&amp;39)))*CAPA3_EXPANSION!DI$36)</f>
        <v>2828.2799999999997</v>
      </c>
      <c r="DJ46" s="88">
        <f>IF(COUNTIF(CAPA3_EXPANSION!$D$56:DJ$56,"&gt;="&amp;39)=0,0,SUP_CONTROL!$C$8*IF($B46="V",1,IF($B46="D",(1+SUP_VOLUMEN!$C$26),(1+SUP_VOLUMEN!$C$27)))*INDEX(SUP_C3_EXPANSION!$C$6:$F$6,MIN(4,COUNTIF(CAPA3_EXPANSION!$D$56:DJ$56,"&gt;="&amp;39)))*CAPA3_EXPANSION!DJ$36)</f>
        <v>2828.2799999999997</v>
      </c>
      <c r="DK46" s="88">
        <f>IF(COUNTIF(CAPA3_EXPANSION!$D$56:DK$56,"&gt;="&amp;39)=0,0,SUP_CONTROL!$C$8*IF($B46="V",1,IF($B46="D",(1+SUP_VOLUMEN!$C$26),(1+SUP_VOLUMEN!$C$27)))*INDEX(SUP_C3_EXPANSION!$C$6:$F$6,MIN(4,COUNTIF(CAPA3_EXPANSION!$D$56:DK$56,"&gt;="&amp;39)))*CAPA3_EXPANSION!DK$36)</f>
        <v>2828.2799999999997</v>
      </c>
      <c r="DL46" s="88">
        <f>IF(COUNTIF(CAPA3_EXPANSION!$D$56:DL$56,"&gt;="&amp;39)=0,0,SUP_CONTROL!$C$8*IF($B46="V",1,IF($B46="D",(1+SUP_VOLUMEN!$C$26),(1+SUP_VOLUMEN!$C$27)))*INDEX(SUP_C3_EXPANSION!$C$6:$F$6,MIN(4,COUNTIF(CAPA3_EXPANSION!$D$56:DL$56,"&gt;="&amp;39)))*CAPA3_EXPANSION!DL$36)</f>
        <v>2828.2799999999997</v>
      </c>
      <c r="DM46" s="88">
        <f>IF(COUNTIF(CAPA3_EXPANSION!$D$56:DM$56,"&gt;="&amp;39)=0,0,SUP_CONTROL!$C$8*IF($B46="V",1,IF($B46="D",(1+SUP_VOLUMEN!$C$26),(1+SUP_VOLUMEN!$C$27)))*INDEX(SUP_C3_EXPANSION!$C$6:$F$6,MIN(4,COUNTIF(CAPA3_EXPANSION!$D$56:DM$56,"&gt;="&amp;39)))*CAPA3_EXPANSION!DM$36)</f>
        <v>2828.2799999999997</v>
      </c>
      <c r="DN46" s="88">
        <f>IF(COUNTIF(CAPA3_EXPANSION!$D$56:DN$56,"&gt;="&amp;39)=0,0,SUP_CONTROL!$C$8*IF($B46="V",1,IF($B46="D",(1+SUP_VOLUMEN!$C$26),(1+SUP_VOLUMEN!$C$27)))*INDEX(SUP_C3_EXPANSION!$C$6:$F$6,MIN(4,COUNTIF(CAPA3_EXPANSION!$D$56:DN$56,"&gt;="&amp;39)))*CAPA3_EXPANSION!DN$36)</f>
        <v>2828.2799999999997</v>
      </c>
      <c r="DO46" s="88">
        <f>IF(COUNTIF(CAPA3_EXPANSION!$D$56:DO$56,"&gt;="&amp;39)=0,0,SUP_CONTROL!$C$8*IF($B46="V",1,IF($B46="D",(1+SUP_VOLUMEN!$C$26),(1+SUP_VOLUMEN!$C$27)))*INDEX(SUP_C3_EXPANSION!$C$6:$F$6,MIN(4,COUNTIF(CAPA3_EXPANSION!$D$56:DO$56,"&gt;="&amp;39)))*CAPA3_EXPANSION!DO$36)</f>
        <v>2828.2799999999997</v>
      </c>
      <c r="DP46" s="88">
        <f>IF(COUNTIF(CAPA3_EXPANSION!$D$56:DP$56,"&gt;="&amp;39)=0,0,SUP_CONTROL!$C$8*IF($B46="V",1,IF($B46="D",(1+SUP_VOLUMEN!$C$26),(1+SUP_VOLUMEN!$C$27)))*INDEX(SUP_C3_EXPANSION!$C$6:$F$6,MIN(4,COUNTIF(CAPA3_EXPANSION!$D$56:DP$56,"&gt;="&amp;39)))*CAPA3_EXPANSION!DP$36)</f>
        <v>2828.2799999999997</v>
      </c>
      <c r="DQ46" s="88">
        <f>IF(COUNTIF(CAPA3_EXPANSION!$D$56:DQ$56,"&gt;="&amp;39)=0,0,SUP_CONTROL!$C$8*IF($B46="V",1,IF($B46="D",(1+SUP_VOLUMEN!$C$26),(1+SUP_VOLUMEN!$C$27)))*INDEX(SUP_C3_EXPANSION!$C$6:$F$6,MIN(4,COUNTIF(CAPA3_EXPANSION!$D$56:DQ$56,"&gt;="&amp;39)))*CAPA3_EXPANSION!DQ$36)</f>
        <v>2828.2799999999997</v>
      </c>
      <c r="DR46" s="88">
        <f>IF(COUNTIF(CAPA3_EXPANSION!$D$56:DR$56,"&gt;="&amp;39)=0,0,SUP_CONTROL!$C$8*IF($B46="V",1,IF($B46="D",(1+SUP_VOLUMEN!$C$26),(1+SUP_VOLUMEN!$C$27)))*INDEX(SUP_C3_EXPANSION!$C$6:$F$6,MIN(4,COUNTIF(CAPA3_EXPANSION!$D$56:DR$56,"&gt;="&amp;39)))*CAPA3_EXPANSION!DR$36)</f>
        <v>2828.2799999999997</v>
      </c>
      <c r="DS46" s="88">
        <f>IF(COUNTIF(CAPA3_EXPANSION!$D$56:DS$56,"&gt;="&amp;39)=0,0,SUP_CONTROL!$C$8*IF($B46="V",1,IF($B46="D",(1+SUP_VOLUMEN!$C$26),(1+SUP_VOLUMEN!$C$27)))*INDEX(SUP_C3_EXPANSION!$C$6:$F$6,MIN(4,COUNTIF(CAPA3_EXPANSION!$D$56:DS$56,"&gt;="&amp;39)))*CAPA3_EXPANSION!DS$36)</f>
        <v>2828.2799999999997</v>
      </c>
    </row>
    <row r="47" spans="1:123" ht="15" customHeight="1" x14ac:dyDescent="0.2">
      <c r="A47" s="88">
        <v>50</v>
      </c>
      <c r="B47" s="104" t="str">
        <f>SUP_C3_EXPANSION!B59</f>
        <v>V</v>
      </c>
      <c r="C47" s="73">
        <f>SUP_C3_EXPANSION!G59</f>
        <v>75</v>
      </c>
      <c r="D47" s="88">
        <f>IF(COUNTIF(CAPA3_EXPANSION!$D$25:D$25,"&gt;="&amp;40)=0,0,SUP_CONTROL!$C$8*IF($B47="V",1,IF($B47="D",(1+SUP_VOLUMEN!$C$26),(1+SUP_VOLUMEN!$C$27)))*INDEX(SUP_C3_EXPANSION!$C$6:$F$6,MIN(4,COUNTIF(CAPA3_EXPANSION!$D$25:D$25,"&gt;="&amp;40)))*CAPA3_EXPANSION!D$36)</f>
        <v>0</v>
      </c>
      <c r="E47" s="88">
        <f>IF(COUNTIF(CAPA3_EXPANSION!$D$25:E$25,"&gt;="&amp;40)=0,0,SUP_CONTROL!$C$8*IF($B47="V",1,IF($B47="D",(1+SUP_VOLUMEN!$C$26),(1+SUP_VOLUMEN!$C$27)))*INDEX(SUP_C3_EXPANSION!$C$6:$F$6,MIN(4,COUNTIF(CAPA3_EXPANSION!$D$25:E$25,"&gt;="&amp;40)))*CAPA3_EXPANSION!E$36)</f>
        <v>0</v>
      </c>
      <c r="F47" s="88">
        <f>IF(COUNTIF(CAPA3_EXPANSION!$D$25:F$25,"&gt;="&amp;40)=0,0,SUP_CONTROL!$C$8*IF($B47="V",1,IF($B47="D",(1+SUP_VOLUMEN!$C$26),(1+SUP_VOLUMEN!$C$27)))*INDEX(SUP_C3_EXPANSION!$C$6:$F$6,MIN(4,COUNTIF(CAPA3_EXPANSION!$D$25:F$25,"&gt;="&amp;40)))*CAPA3_EXPANSION!F$36)</f>
        <v>0</v>
      </c>
      <c r="G47" s="88">
        <f>IF(COUNTIF(CAPA3_EXPANSION!$D$25:G$25,"&gt;="&amp;40)=0,0,SUP_CONTROL!$C$8*IF($B47="V",1,IF($B47="D",(1+SUP_VOLUMEN!$C$26),(1+SUP_VOLUMEN!$C$27)))*INDEX(SUP_C3_EXPANSION!$C$6:$F$6,MIN(4,COUNTIF(CAPA3_EXPANSION!$D$25:G$25,"&gt;="&amp;40)))*CAPA3_EXPANSION!G$36)</f>
        <v>0</v>
      </c>
      <c r="H47" s="88">
        <f>IF(COUNTIF(CAPA3_EXPANSION!$D$25:H$25,"&gt;="&amp;40)=0,0,SUP_CONTROL!$C$8*IF($B47="V",1,IF($B47="D",(1+SUP_VOLUMEN!$C$26),(1+SUP_VOLUMEN!$C$27)))*INDEX(SUP_C3_EXPANSION!$C$6:$F$6,MIN(4,COUNTIF(CAPA3_EXPANSION!$D$25:H$25,"&gt;="&amp;40)))*CAPA3_EXPANSION!H$36)</f>
        <v>0</v>
      </c>
      <c r="I47" s="88">
        <f>IF(COUNTIF(CAPA3_EXPANSION!$D$25:I$25,"&gt;="&amp;40)=0,0,SUP_CONTROL!$C$8*IF($B47="V",1,IF($B47="D",(1+SUP_VOLUMEN!$C$26),(1+SUP_VOLUMEN!$C$27)))*INDEX(SUP_C3_EXPANSION!$C$6:$F$6,MIN(4,COUNTIF(CAPA3_EXPANSION!$D$25:I$25,"&gt;="&amp;40)))*CAPA3_EXPANSION!I$36)</f>
        <v>0</v>
      </c>
      <c r="J47" s="88">
        <f>IF(COUNTIF(CAPA3_EXPANSION!$D$25:J$25,"&gt;="&amp;40)=0,0,SUP_CONTROL!$C$8*IF($B47="V",1,IF($B47="D",(1+SUP_VOLUMEN!$C$26),(1+SUP_VOLUMEN!$C$27)))*INDEX(SUP_C3_EXPANSION!$C$6:$F$6,MIN(4,COUNTIF(CAPA3_EXPANSION!$D$25:J$25,"&gt;="&amp;40)))*CAPA3_EXPANSION!J$36)</f>
        <v>0</v>
      </c>
      <c r="K47" s="88">
        <f>IF(COUNTIF(CAPA3_EXPANSION!$D$25:K$25,"&gt;="&amp;40)=0,0,SUP_CONTROL!$C$8*IF($B47="V",1,IF($B47="D",(1+SUP_VOLUMEN!$C$26),(1+SUP_VOLUMEN!$C$27)))*INDEX(SUP_C3_EXPANSION!$C$6:$F$6,MIN(4,COUNTIF(CAPA3_EXPANSION!$D$25:K$25,"&gt;="&amp;40)))*CAPA3_EXPANSION!K$36)</f>
        <v>0</v>
      </c>
      <c r="L47" s="88">
        <f>IF(COUNTIF(CAPA3_EXPANSION!$D$25:L$25,"&gt;="&amp;40)=0,0,SUP_CONTROL!$C$8*IF($B47="V",1,IF($B47="D",(1+SUP_VOLUMEN!$C$26),(1+SUP_VOLUMEN!$C$27)))*INDEX(SUP_C3_EXPANSION!$C$6:$F$6,MIN(4,COUNTIF(CAPA3_EXPANSION!$D$25:L$25,"&gt;="&amp;40)))*CAPA3_EXPANSION!L$36)</f>
        <v>0</v>
      </c>
      <c r="M47" s="88">
        <f>IF(COUNTIF(CAPA3_EXPANSION!$D$25:M$25,"&gt;="&amp;40)=0,0,SUP_CONTROL!$C$8*IF($B47="V",1,IF($B47="D",(1+SUP_VOLUMEN!$C$26),(1+SUP_VOLUMEN!$C$27)))*INDEX(SUP_C3_EXPANSION!$C$6:$F$6,MIN(4,COUNTIF(CAPA3_EXPANSION!$D$25:M$25,"&gt;="&amp;40)))*CAPA3_EXPANSION!M$36)</f>
        <v>0</v>
      </c>
      <c r="N47" s="88">
        <f>IF(COUNTIF(CAPA3_EXPANSION!$D$25:N$25,"&gt;="&amp;40)=0,0,SUP_CONTROL!$C$8*IF($B47="V",1,IF($B47="D",(1+SUP_VOLUMEN!$C$26),(1+SUP_VOLUMEN!$C$27)))*INDEX(SUP_C3_EXPANSION!$C$6:$F$6,MIN(4,COUNTIF(CAPA3_EXPANSION!$D$25:N$25,"&gt;="&amp;40)))*CAPA3_EXPANSION!N$36)</f>
        <v>0</v>
      </c>
      <c r="O47" s="88">
        <f>IF(COUNTIF(CAPA3_EXPANSION!$D$25:O$25,"&gt;="&amp;40)=0,0,SUP_CONTROL!$C$8*IF($B47="V",1,IF($B47="D",(1+SUP_VOLUMEN!$C$26),(1+SUP_VOLUMEN!$C$27)))*INDEX(SUP_C3_EXPANSION!$C$6:$F$6,MIN(4,COUNTIF(CAPA3_EXPANSION!$D$25:O$25,"&gt;="&amp;40)))*CAPA3_EXPANSION!O$36)</f>
        <v>0</v>
      </c>
      <c r="P47" s="88">
        <f>IF(COUNTIF(CAPA3_EXPANSION!$D$25:P$25,"&gt;="&amp;40)=0,0,SUP_CONTROL!$C$8*IF($B47="V",1,IF($B47="D",(1+SUP_VOLUMEN!$C$26),(1+SUP_VOLUMEN!$C$27)))*INDEX(SUP_C3_EXPANSION!$C$6:$F$6,MIN(4,COUNTIF(CAPA3_EXPANSION!$D$25:P$25,"&gt;="&amp;40)))*CAPA3_EXPANSION!P$36)</f>
        <v>0</v>
      </c>
      <c r="Q47" s="88">
        <f>IF(COUNTIF(CAPA3_EXPANSION!$D$25:Q$25,"&gt;="&amp;40)=0,0,SUP_CONTROL!$C$8*IF($B47="V",1,IF($B47="D",(1+SUP_VOLUMEN!$C$26),(1+SUP_VOLUMEN!$C$27)))*INDEX(SUP_C3_EXPANSION!$C$6:$F$6,MIN(4,COUNTIF(CAPA3_EXPANSION!$D$25:Q$25,"&gt;="&amp;40)))*CAPA3_EXPANSION!Q$36)</f>
        <v>0</v>
      </c>
      <c r="R47" s="88">
        <f>IF(COUNTIF(CAPA3_EXPANSION!$D$25:R$25,"&gt;="&amp;40)=0,0,SUP_CONTROL!$C$8*IF($B47="V",1,IF($B47="D",(1+SUP_VOLUMEN!$C$26),(1+SUP_VOLUMEN!$C$27)))*INDEX(SUP_C3_EXPANSION!$C$6:$F$6,MIN(4,COUNTIF(CAPA3_EXPANSION!$D$25:R$25,"&gt;="&amp;40)))*CAPA3_EXPANSION!R$36)</f>
        <v>0</v>
      </c>
      <c r="S47" s="88">
        <f>IF(COUNTIF(CAPA3_EXPANSION!$D$25:S$25,"&gt;="&amp;40)=0,0,SUP_CONTROL!$C$8*IF($B47="V",1,IF($B47="D",(1+SUP_VOLUMEN!$C$26),(1+SUP_VOLUMEN!$C$27)))*INDEX(SUP_C3_EXPANSION!$C$6:$F$6,MIN(4,COUNTIF(CAPA3_EXPANSION!$D$25:S$25,"&gt;="&amp;40)))*CAPA3_EXPANSION!S$36)</f>
        <v>0</v>
      </c>
      <c r="T47" s="88">
        <f>IF(COUNTIF(CAPA3_EXPANSION!$D$25:T$25,"&gt;="&amp;40)=0,0,SUP_CONTROL!$C$8*IF($B47="V",1,IF($B47="D",(1+SUP_VOLUMEN!$C$26),(1+SUP_VOLUMEN!$C$27)))*INDEX(SUP_C3_EXPANSION!$C$6:$F$6,MIN(4,COUNTIF(CAPA3_EXPANSION!$D$25:T$25,"&gt;="&amp;40)))*CAPA3_EXPANSION!T$36)</f>
        <v>0</v>
      </c>
      <c r="U47" s="88">
        <f>IF(COUNTIF(CAPA3_EXPANSION!$D$25:U$25,"&gt;="&amp;40)=0,0,SUP_CONTROL!$C$8*IF($B47="V",1,IF($B47="D",(1+SUP_VOLUMEN!$C$26),(1+SUP_VOLUMEN!$C$27)))*INDEX(SUP_C3_EXPANSION!$C$6:$F$6,MIN(4,COUNTIF(CAPA3_EXPANSION!$D$25:U$25,"&gt;="&amp;40)))*CAPA3_EXPANSION!U$36)</f>
        <v>0</v>
      </c>
      <c r="V47" s="88">
        <f>IF(COUNTIF(CAPA3_EXPANSION!$D$25:V$25,"&gt;="&amp;40)=0,0,SUP_CONTROL!$C$8*IF($B47="V",1,IF($B47="D",(1+SUP_VOLUMEN!$C$26),(1+SUP_VOLUMEN!$C$27)))*INDEX(SUP_C3_EXPANSION!$C$6:$F$6,MIN(4,COUNTIF(CAPA3_EXPANSION!$D$25:V$25,"&gt;="&amp;40)))*CAPA3_EXPANSION!V$36)</f>
        <v>0</v>
      </c>
      <c r="W47" s="88">
        <f>IF(COUNTIF(CAPA3_EXPANSION!$D$25:W$25,"&gt;="&amp;40)=0,0,SUP_CONTROL!$C$8*IF($B47="V",1,IF($B47="D",(1+SUP_VOLUMEN!$C$26),(1+SUP_VOLUMEN!$C$27)))*INDEX(SUP_C3_EXPANSION!$C$6:$F$6,MIN(4,COUNTIF(CAPA3_EXPANSION!$D$25:W$25,"&gt;="&amp;40)))*CAPA3_EXPANSION!W$36)</f>
        <v>0</v>
      </c>
      <c r="X47" s="88">
        <f>IF(COUNTIF(CAPA3_EXPANSION!$D$25:X$25,"&gt;="&amp;40)=0,0,SUP_CONTROL!$C$8*IF($B47="V",1,IF($B47="D",(1+SUP_VOLUMEN!$C$26),(1+SUP_VOLUMEN!$C$27)))*INDEX(SUP_C3_EXPANSION!$C$6:$F$6,MIN(4,COUNTIF(CAPA3_EXPANSION!$D$25:X$25,"&gt;="&amp;40)))*CAPA3_EXPANSION!X$36)</f>
        <v>0</v>
      </c>
      <c r="Y47" s="88">
        <f>IF(COUNTIF(CAPA3_EXPANSION!$D$25:Y$25,"&gt;="&amp;40)=0,0,SUP_CONTROL!$C$8*IF($B47="V",1,IF($B47="D",(1+SUP_VOLUMEN!$C$26),(1+SUP_VOLUMEN!$C$27)))*INDEX(SUP_C3_EXPANSION!$C$6:$F$6,MIN(4,COUNTIF(CAPA3_EXPANSION!$D$25:Y$25,"&gt;="&amp;40)))*CAPA3_EXPANSION!Y$36)</f>
        <v>0</v>
      </c>
      <c r="Z47" s="88">
        <f>IF(COUNTIF(CAPA3_EXPANSION!$D$25:Z$25,"&gt;="&amp;40)=0,0,SUP_CONTROL!$C$8*IF($B47="V",1,IF($B47="D",(1+SUP_VOLUMEN!$C$26),(1+SUP_VOLUMEN!$C$27)))*INDEX(SUP_C3_EXPANSION!$C$6:$F$6,MIN(4,COUNTIF(CAPA3_EXPANSION!$D$25:Z$25,"&gt;="&amp;40)))*CAPA3_EXPANSION!Z$36)</f>
        <v>0</v>
      </c>
      <c r="AA47" s="88">
        <f>IF(COUNTIF(CAPA3_EXPANSION!$D$25:AA$25,"&gt;="&amp;40)=0,0,SUP_CONTROL!$C$8*IF($B47="V",1,IF($B47="D",(1+SUP_VOLUMEN!$C$26),(1+SUP_VOLUMEN!$C$27)))*INDEX(SUP_C3_EXPANSION!$C$6:$F$6,MIN(4,COUNTIF(CAPA3_EXPANSION!$D$25:AA$25,"&gt;="&amp;40)))*CAPA3_EXPANSION!AA$36)</f>
        <v>0</v>
      </c>
      <c r="AB47" s="88">
        <f>IF(COUNTIF(CAPA3_EXPANSION!$D$25:AB$25,"&gt;="&amp;40)=0,0,SUP_CONTROL!$C$8*IF($B47="V",1,IF($B47="D",(1+SUP_VOLUMEN!$C$26),(1+SUP_VOLUMEN!$C$27)))*INDEX(SUP_C3_EXPANSION!$C$6:$F$6,MIN(4,COUNTIF(CAPA3_EXPANSION!$D$25:AB$25,"&gt;="&amp;40)))*CAPA3_EXPANSION!AB$36)</f>
        <v>0</v>
      </c>
      <c r="AC47" s="88">
        <f>IF(COUNTIF(CAPA3_EXPANSION!$D$25:AC$25,"&gt;="&amp;40)=0,0,SUP_CONTROL!$C$8*IF($B47="V",1,IF($B47="D",(1+SUP_VOLUMEN!$C$26),(1+SUP_VOLUMEN!$C$27)))*INDEX(SUP_C3_EXPANSION!$C$6:$F$6,MIN(4,COUNTIF(CAPA3_EXPANSION!$D$25:AC$25,"&gt;="&amp;40)))*CAPA3_EXPANSION!AC$36)</f>
        <v>0</v>
      </c>
      <c r="AD47" s="88">
        <f>IF(COUNTIF(CAPA3_EXPANSION!$D$25:AD$25,"&gt;="&amp;40)=0,0,SUP_CONTROL!$C$8*IF($B47="V",1,IF($B47="D",(1+SUP_VOLUMEN!$C$26),(1+SUP_VOLUMEN!$C$27)))*INDEX(SUP_C3_EXPANSION!$C$6:$F$6,MIN(4,COUNTIF(CAPA3_EXPANSION!$D$25:AD$25,"&gt;="&amp;40)))*CAPA3_EXPANSION!AD$36)</f>
        <v>0</v>
      </c>
      <c r="AE47" s="88">
        <f>IF(COUNTIF(CAPA3_EXPANSION!$D$25:AE$25,"&gt;="&amp;40)=0,0,SUP_CONTROL!$C$8*IF($B47="V",1,IF($B47="D",(1+SUP_VOLUMEN!$C$26),(1+SUP_VOLUMEN!$C$27)))*INDEX(SUP_C3_EXPANSION!$C$6:$F$6,MIN(4,COUNTIF(CAPA3_EXPANSION!$D$25:AE$25,"&gt;="&amp;40)))*CAPA3_EXPANSION!AE$36)</f>
        <v>0</v>
      </c>
      <c r="AF47" s="88">
        <f>IF(COUNTIF(CAPA3_EXPANSION!$D$25:AF$25,"&gt;="&amp;40)=0,0,SUP_CONTROL!$C$8*IF($B47="V",1,IF($B47="D",(1+SUP_VOLUMEN!$C$26),(1+SUP_VOLUMEN!$C$27)))*INDEX(SUP_C3_EXPANSION!$C$6:$F$6,MIN(4,COUNTIF(CAPA3_EXPANSION!$D$25:AF$25,"&gt;="&amp;40)))*CAPA3_EXPANSION!AF$36)</f>
        <v>0</v>
      </c>
      <c r="AG47" s="88">
        <f>IF(COUNTIF(CAPA3_EXPANSION!$D$25:AG$25,"&gt;="&amp;40)=0,0,SUP_CONTROL!$C$8*IF($B47="V",1,IF($B47="D",(1+SUP_VOLUMEN!$C$26),(1+SUP_VOLUMEN!$C$27)))*INDEX(SUP_C3_EXPANSION!$C$6:$F$6,MIN(4,COUNTIF(CAPA3_EXPANSION!$D$25:AG$25,"&gt;="&amp;40)))*CAPA3_EXPANSION!AG$36)</f>
        <v>0</v>
      </c>
      <c r="AH47" s="88">
        <f>IF(COUNTIF(CAPA3_EXPANSION!$D$25:AH$25,"&gt;="&amp;40)=0,0,SUP_CONTROL!$C$8*IF($B47="V",1,IF($B47="D",(1+SUP_VOLUMEN!$C$26),(1+SUP_VOLUMEN!$C$27)))*INDEX(SUP_C3_EXPANSION!$C$6:$F$6,MIN(4,COUNTIF(CAPA3_EXPANSION!$D$25:AH$25,"&gt;="&amp;40)))*CAPA3_EXPANSION!AH$36)</f>
        <v>0</v>
      </c>
      <c r="AI47" s="88">
        <f>IF(COUNTIF(CAPA3_EXPANSION!$D$25:AI$25,"&gt;="&amp;40)=0,0,SUP_CONTROL!$C$8*IF($B47="V",1,IF($B47="D",(1+SUP_VOLUMEN!$C$26),(1+SUP_VOLUMEN!$C$27)))*INDEX(SUP_C3_EXPANSION!$C$6:$F$6,MIN(4,COUNTIF(CAPA3_EXPANSION!$D$25:AI$25,"&gt;="&amp;40)))*CAPA3_EXPANSION!AI$36)</f>
        <v>0</v>
      </c>
      <c r="AJ47" s="88">
        <f>IF(COUNTIF(CAPA3_EXPANSION!$D$25:AJ$25,"&gt;="&amp;40)=0,0,SUP_CONTROL!$C$8*IF($B47="V",1,IF($B47="D",(1+SUP_VOLUMEN!$C$26),(1+SUP_VOLUMEN!$C$27)))*INDEX(SUP_C3_EXPANSION!$C$6:$F$6,MIN(4,COUNTIF(CAPA3_EXPANSION!$D$25:AJ$25,"&gt;="&amp;40)))*CAPA3_EXPANSION!AJ$36)</f>
        <v>0</v>
      </c>
      <c r="AK47" s="88">
        <f>IF(COUNTIF(CAPA3_EXPANSION!$D$25:AK$25,"&gt;="&amp;40)=0,0,SUP_CONTROL!$C$8*IF($B47="V",1,IF($B47="D",(1+SUP_VOLUMEN!$C$26),(1+SUP_VOLUMEN!$C$27)))*INDEX(SUP_C3_EXPANSION!$C$6:$F$6,MIN(4,COUNTIF(CAPA3_EXPANSION!$D$25:AK$25,"&gt;="&amp;40)))*CAPA3_EXPANSION!AK$36)</f>
        <v>0</v>
      </c>
      <c r="AL47" s="88">
        <f>IF(COUNTIF(CAPA3_EXPANSION!$D$25:AL$25,"&gt;="&amp;40)=0,0,SUP_CONTROL!$C$8*IF($B47="V",1,IF($B47="D",(1+SUP_VOLUMEN!$C$26),(1+SUP_VOLUMEN!$C$27)))*INDEX(SUP_C3_EXPANSION!$C$6:$F$6,MIN(4,COUNTIF(CAPA3_EXPANSION!$D$25:AL$25,"&gt;="&amp;40)))*CAPA3_EXPANSION!AL$36)</f>
        <v>0</v>
      </c>
      <c r="AM47" s="88">
        <f>IF(COUNTIF(CAPA3_EXPANSION!$D$25:AM$25,"&gt;="&amp;40)=0,0,SUP_CONTROL!$C$8*IF($B47="V",1,IF($B47="D",(1+SUP_VOLUMEN!$C$26),(1+SUP_VOLUMEN!$C$27)))*INDEX(SUP_C3_EXPANSION!$C$6:$F$6,MIN(4,COUNTIF(CAPA3_EXPANSION!$D$25:AM$25,"&gt;="&amp;40)))*CAPA3_EXPANSION!AM$36)</f>
        <v>0</v>
      </c>
      <c r="AN47" s="88">
        <f>IF(COUNTIF(CAPA3_EXPANSION!$D$25:AN$25,"&gt;="&amp;40)=0,0,SUP_CONTROL!$C$8*IF($B47="V",1,IF($B47="D",(1+SUP_VOLUMEN!$C$26),(1+SUP_VOLUMEN!$C$27)))*INDEX(SUP_C3_EXPANSION!$C$6:$F$6,MIN(4,COUNTIF(CAPA3_EXPANSION!$D$25:AN$25,"&gt;="&amp;40)))*CAPA3_EXPANSION!AN$36)</f>
        <v>0</v>
      </c>
      <c r="AO47" s="88">
        <f>IF(COUNTIF(CAPA3_EXPANSION!$D$25:AO$25,"&gt;="&amp;40)=0,0,SUP_CONTROL!$C$8*IF($B47="V",1,IF($B47="D",(1+SUP_VOLUMEN!$C$26),(1+SUP_VOLUMEN!$C$27)))*INDEX(SUP_C3_EXPANSION!$C$6:$F$6,MIN(4,COUNTIF(CAPA3_EXPANSION!$D$25:AO$25,"&gt;="&amp;40)))*CAPA3_EXPANSION!AO$36)</f>
        <v>0</v>
      </c>
      <c r="AP47" s="88">
        <f>IF(COUNTIF(CAPA3_EXPANSION!$D$25:AP$25,"&gt;="&amp;40)=0,0,SUP_CONTROL!$C$8*IF($B47="V",1,IF($B47="D",(1+SUP_VOLUMEN!$C$26),(1+SUP_VOLUMEN!$C$27)))*INDEX(SUP_C3_EXPANSION!$C$6:$F$6,MIN(4,COUNTIF(CAPA3_EXPANSION!$D$25:AP$25,"&gt;="&amp;40)))*CAPA3_EXPANSION!AP$36)</f>
        <v>0</v>
      </c>
      <c r="AQ47" s="88">
        <f>IF(COUNTIF(CAPA3_EXPANSION!$D$25:AQ$25,"&gt;="&amp;40)=0,0,SUP_CONTROL!$C$8*IF($B47="V",1,IF($B47="D",(1+SUP_VOLUMEN!$C$26),(1+SUP_VOLUMEN!$C$27)))*INDEX(SUP_C3_EXPANSION!$C$6:$F$6,MIN(4,COUNTIF(CAPA3_EXPANSION!$D$25:AQ$25,"&gt;="&amp;40)))*CAPA3_EXPANSION!AQ$36)</f>
        <v>0</v>
      </c>
      <c r="AR47" s="88">
        <f>IF(COUNTIF(CAPA3_EXPANSION!$D$25:AR$25,"&gt;="&amp;40)=0,0,SUP_CONTROL!$C$8*IF($B47="V",1,IF($B47="D",(1+SUP_VOLUMEN!$C$26),(1+SUP_VOLUMEN!$C$27)))*INDEX(SUP_C3_EXPANSION!$C$6:$F$6,MIN(4,COUNTIF(CAPA3_EXPANSION!$D$25:AR$25,"&gt;="&amp;40)))*CAPA3_EXPANSION!AR$36)</f>
        <v>0</v>
      </c>
      <c r="AS47" s="88">
        <f>IF(COUNTIF(CAPA3_EXPANSION!$D$25:AS$25,"&gt;="&amp;40)=0,0,SUP_CONTROL!$C$8*IF($B47="V",1,IF($B47="D",(1+SUP_VOLUMEN!$C$26),(1+SUP_VOLUMEN!$C$27)))*INDEX(SUP_C3_EXPANSION!$C$6:$F$6,MIN(4,COUNTIF(CAPA3_EXPANSION!$D$25:AS$25,"&gt;="&amp;40)))*CAPA3_EXPANSION!AS$36)</f>
        <v>0</v>
      </c>
      <c r="AT47" s="88">
        <f>IF(COUNTIF(CAPA3_EXPANSION!$D$25:AT$25,"&gt;="&amp;40)=0,0,SUP_CONTROL!$C$8*IF($B47="V",1,IF($B47="D",(1+SUP_VOLUMEN!$C$26),(1+SUP_VOLUMEN!$C$27)))*INDEX(SUP_C3_EXPANSION!$C$6:$F$6,MIN(4,COUNTIF(CAPA3_EXPANSION!$D$25:AT$25,"&gt;="&amp;40)))*CAPA3_EXPANSION!AT$36)</f>
        <v>0</v>
      </c>
      <c r="AU47" s="88">
        <f>IF(COUNTIF(CAPA3_EXPANSION!$D$25:AU$25,"&gt;="&amp;40)=0,0,SUP_CONTROL!$C$8*IF($B47="V",1,IF($B47="D",(1+SUP_VOLUMEN!$C$26),(1+SUP_VOLUMEN!$C$27)))*INDEX(SUP_C3_EXPANSION!$C$6:$F$6,MIN(4,COUNTIF(CAPA3_EXPANSION!$D$25:AU$25,"&gt;="&amp;40)))*CAPA3_EXPANSION!AU$36)</f>
        <v>0</v>
      </c>
      <c r="AV47" s="88">
        <f>IF(COUNTIF(CAPA3_EXPANSION!$D$25:AV$25,"&gt;="&amp;40)=0,0,SUP_CONTROL!$C$8*IF($B47="V",1,IF($B47="D",(1+SUP_VOLUMEN!$C$26),(1+SUP_VOLUMEN!$C$27)))*INDEX(SUP_C3_EXPANSION!$C$6:$F$6,MIN(4,COUNTIF(CAPA3_EXPANSION!$D$25:AV$25,"&gt;="&amp;40)))*CAPA3_EXPANSION!AV$36)</f>
        <v>0</v>
      </c>
      <c r="AW47" s="88">
        <f>IF(COUNTIF(CAPA3_EXPANSION!$D$25:AW$25,"&gt;="&amp;40)=0,0,SUP_CONTROL!$C$8*IF($B47="V",1,IF($B47="D",(1+SUP_VOLUMEN!$C$26),(1+SUP_VOLUMEN!$C$27)))*INDEX(SUP_C3_EXPANSION!$C$6:$F$6,MIN(4,COUNTIF(CAPA3_EXPANSION!$D$25:AW$25,"&gt;="&amp;40)))*CAPA3_EXPANSION!AW$36)</f>
        <v>0</v>
      </c>
      <c r="AX47" s="88">
        <f>IF(COUNTIF(CAPA3_EXPANSION!$D$25:AX$25,"&gt;="&amp;40)=0,0,SUP_CONTROL!$C$8*IF($B47="V",1,IF($B47="D",(1+SUP_VOLUMEN!$C$26),(1+SUP_VOLUMEN!$C$27)))*INDEX(SUP_C3_EXPANSION!$C$6:$F$6,MIN(4,COUNTIF(CAPA3_EXPANSION!$D$25:AX$25,"&gt;="&amp;40)))*CAPA3_EXPANSION!AX$36)</f>
        <v>0</v>
      </c>
      <c r="AY47" s="88">
        <f>IF(COUNTIF(CAPA3_EXPANSION!$D$25:AY$25,"&gt;="&amp;40)=0,0,SUP_CONTROL!$C$8*IF($B47="V",1,IF($B47="D",(1+SUP_VOLUMEN!$C$26),(1+SUP_VOLUMEN!$C$27)))*INDEX(SUP_C3_EXPANSION!$C$6:$F$6,MIN(4,COUNTIF(CAPA3_EXPANSION!$D$25:AY$25,"&gt;="&amp;40)))*CAPA3_EXPANSION!AY$36)</f>
        <v>0</v>
      </c>
      <c r="AZ47" s="88">
        <f>IF(COUNTIF(CAPA3_EXPANSION!$D$25:AZ$25,"&gt;="&amp;40)=0,0,SUP_CONTROL!$C$8*IF($B47="V",1,IF($B47="D",(1+SUP_VOLUMEN!$C$26),(1+SUP_VOLUMEN!$C$27)))*INDEX(SUP_C3_EXPANSION!$C$6:$F$6,MIN(4,COUNTIF(CAPA3_EXPANSION!$D$25:AZ$25,"&gt;="&amp;40)))*CAPA3_EXPANSION!AZ$36)</f>
        <v>0</v>
      </c>
      <c r="BA47" s="88">
        <f>IF(COUNTIF(CAPA3_EXPANSION!$D$25:BA$25,"&gt;="&amp;40)=0,0,SUP_CONTROL!$C$8*IF($B47="V",1,IF($B47="D",(1+SUP_VOLUMEN!$C$26),(1+SUP_VOLUMEN!$C$27)))*INDEX(SUP_C3_EXPANSION!$C$6:$F$6,MIN(4,COUNTIF(CAPA3_EXPANSION!$D$25:BA$25,"&gt;="&amp;40)))*CAPA3_EXPANSION!BA$36)</f>
        <v>0</v>
      </c>
      <c r="BB47" s="88">
        <f>IF(COUNTIF(CAPA3_EXPANSION!$D$25:BB$25,"&gt;="&amp;40)=0,0,SUP_CONTROL!$C$8*IF($B47="V",1,IF($B47="D",(1+SUP_VOLUMEN!$C$26),(1+SUP_VOLUMEN!$C$27)))*INDEX(SUP_C3_EXPANSION!$C$6:$F$6,MIN(4,COUNTIF(CAPA3_EXPANSION!$D$25:BB$25,"&gt;="&amp;40)))*CAPA3_EXPANSION!BB$36)</f>
        <v>0</v>
      </c>
      <c r="BC47" s="88">
        <f>IF(COUNTIF(CAPA3_EXPANSION!$D$25:BC$25,"&gt;="&amp;40)=0,0,SUP_CONTROL!$C$8*IF($B47="V",1,IF($B47="D",(1+SUP_VOLUMEN!$C$26),(1+SUP_VOLUMEN!$C$27)))*INDEX(SUP_C3_EXPANSION!$C$6:$F$6,MIN(4,COUNTIF(CAPA3_EXPANSION!$D$25:BC$25,"&gt;="&amp;40)))*CAPA3_EXPANSION!BC$36)</f>
        <v>0</v>
      </c>
      <c r="BD47" s="88">
        <f>IF(COUNTIF(CAPA3_EXPANSION!$D$25:BD$25,"&gt;="&amp;40)=0,0,SUP_CONTROL!$C$8*IF($B47="V",1,IF($B47="D",(1+SUP_VOLUMEN!$C$26),(1+SUP_VOLUMEN!$C$27)))*INDEX(SUP_C3_EXPANSION!$C$6:$F$6,MIN(4,COUNTIF(CAPA3_EXPANSION!$D$25:BD$25,"&gt;="&amp;40)))*CAPA3_EXPANSION!BD$36)</f>
        <v>0</v>
      </c>
      <c r="BE47" s="88">
        <f>IF(COUNTIF(CAPA3_EXPANSION!$D$25:BE$25,"&gt;="&amp;40)=0,0,SUP_CONTROL!$C$8*IF($B47="V",1,IF($B47="D",(1+SUP_VOLUMEN!$C$26),(1+SUP_VOLUMEN!$C$27)))*INDEX(SUP_C3_EXPANSION!$C$6:$F$6,MIN(4,COUNTIF(CAPA3_EXPANSION!$D$25:BE$25,"&gt;="&amp;40)))*CAPA3_EXPANSION!BE$36)</f>
        <v>0</v>
      </c>
      <c r="BF47" s="88">
        <f>IF(COUNTIF(CAPA3_EXPANSION!$D$25:BF$25,"&gt;="&amp;40)=0,0,SUP_CONTROL!$C$8*IF($B47="V",1,IF($B47="D",(1+SUP_VOLUMEN!$C$26),(1+SUP_VOLUMEN!$C$27)))*INDEX(SUP_C3_EXPANSION!$C$6:$F$6,MIN(4,COUNTIF(CAPA3_EXPANSION!$D$25:BF$25,"&gt;="&amp;40)))*CAPA3_EXPANSION!BF$36)</f>
        <v>0</v>
      </c>
      <c r="BG47" s="88">
        <f>IF(COUNTIF(CAPA3_EXPANSION!$D$25:BG$25,"&gt;="&amp;40)=0,0,SUP_CONTROL!$C$8*IF($B47="V",1,IF($B47="D",(1+SUP_VOLUMEN!$C$26),(1+SUP_VOLUMEN!$C$27)))*INDEX(SUP_C3_EXPANSION!$C$6:$F$6,MIN(4,COUNTIF(CAPA3_EXPANSION!$D$25:BG$25,"&gt;="&amp;40)))*CAPA3_EXPANSION!BG$36)</f>
        <v>0</v>
      </c>
      <c r="BH47" s="88">
        <f>IF(COUNTIF(CAPA3_EXPANSION!$D$25:BH$25,"&gt;="&amp;40)=0,0,SUP_CONTROL!$C$8*IF($B47="V",1,IF($B47="D",(1+SUP_VOLUMEN!$C$26),(1+SUP_VOLUMEN!$C$27)))*INDEX(SUP_C3_EXPANSION!$C$6:$F$6,MIN(4,COUNTIF(CAPA3_EXPANSION!$D$25:BH$25,"&gt;="&amp;40)))*CAPA3_EXPANSION!BH$36)</f>
        <v>0</v>
      </c>
      <c r="BI47" s="88">
        <f>IF(COUNTIF(CAPA3_EXPANSION!$D$25:BI$25,"&gt;="&amp;40)=0,0,SUP_CONTROL!$C$8*IF($B47="V",1,IF($B47="D",(1+SUP_VOLUMEN!$C$26),(1+SUP_VOLUMEN!$C$27)))*INDEX(SUP_C3_EXPANSION!$C$6:$F$6,MIN(4,COUNTIF(CAPA3_EXPANSION!$D$25:BI$25,"&gt;="&amp;40)))*CAPA3_EXPANSION!BI$36)</f>
        <v>0</v>
      </c>
      <c r="BJ47" s="88">
        <f>IF(COUNTIF(CAPA3_EXPANSION!$D$25:BJ$25,"&gt;="&amp;40)=0,0,SUP_CONTROL!$C$8*IF($B47="V",1,IF($B47="D",(1+SUP_VOLUMEN!$C$26),(1+SUP_VOLUMEN!$C$27)))*INDEX(SUP_C3_EXPANSION!$C$6:$F$6,MIN(4,COUNTIF(CAPA3_EXPANSION!$D$25:BJ$25,"&gt;="&amp;40)))*CAPA3_EXPANSION!BJ$36)</f>
        <v>0</v>
      </c>
      <c r="BK47" s="88">
        <f>IF(COUNTIF(CAPA3_EXPANSION!$D$25:BK$25,"&gt;="&amp;40)=0,0,SUP_CONTROL!$C$8*IF($B47="V",1,IF($B47="D",(1+SUP_VOLUMEN!$C$26),(1+SUP_VOLUMEN!$C$27)))*INDEX(SUP_C3_EXPANSION!$C$6:$F$6,MIN(4,COUNTIF(CAPA3_EXPANSION!$D$25:BK$25,"&gt;="&amp;40)))*CAPA3_EXPANSION!BK$36)</f>
        <v>0</v>
      </c>
      <c r="BL47" s="88">
        <f>IF(COUNTIF(CAPA3_EXPANSION!$D$25:BL$25,"&gt;="&amp;40)=0,0,SUP_CONTROL!$C$8*IF($B47="V",1,IF($B47="D",(1+SUP_VOLUMEN!$C$26),(1+SUP_VOLUMEN!$C$27)))*INDEX(SUP_C3_EXPANSION!$C$6:$F$6,MIN(4,COUNTIF(CAPA3_EXPANSION!$D$25:BL$25,"&gt;="&amp;40)))*CAPA3_EXPANSION!BL$36)</f>
        <v>0</v>
      </c>
      <c r="BM47" s="88">
        <f>IF(COUNTIF(CAPA3_EXPANSION!$D$25:BM$25,"&gt;="&amp;40)=0,0,SUP_CONTROL!$C$8*IF($B47="V",1,IF($B47="D",(1+SUP_VOLUMEN!$C$26),(1+SUP_VOLUMEN!$C$27)))*INDEX(SUP_C3_EXPANSION!$C$6:$F$6,MIN(4,COUNTIF(CAPA3_EXPANSION!$D$25:BM$25,"&gt;="&amp;40)))*CAPA3_EXPANSION!BM$36)</f>
        <v>0</v>
      </c>
      <c r="BN47" s="88">
        <f>IF(COUNTIF(CAPA3_EXPANSION!$D$25:BN$25,"&gt;="&amp;40)=0,0,SUP_CONTROL!$C$8*IF($B47="V",1,IF($B47="D",(1+SUP_VOLUMEN!$C$26),(1+SUP_VOLUMEN!$C$27)))*INDEX(SUP_C3_EXPANSION!$C$6:$F$6,MIN(4,COUNTIF(CAPA3_EXPANSION!$D$25:BN$25,"&gt;="&amp;40)))*CAPA3_EXPANSION!BN$36)</f>
        <v>0</v>
      </c>
      <c r="BO47" s="88">
        <f>IF(COUNTIF(CAPA3_EXPANSION!$D$25:BO$25,"&gt;="&amp;40)=0,0,SUP_CONTROL!$C$8*IF($B47="V",1,IF($B47="D",(1+SUP_VOLUMEN!$C$26),(1+SUP_VOLUMEN!$C$27)))*INDEX(SUP_C3_EXPANSION!$C$6:$F$6,MIN(4,COUNTIF(CAPA3_EXPANSION!$D$25:BO$25,"&gt;="&amp;40)))*CAPA3_EXPANSION!BO$36)</f>
        <v>0</v>
      </c>
      <c r="BP47" s="88">
        <f>IF(COUNTIF(CAPA3_EXPANSION!$D$25:BP$25,"&gt;="&amp;40)=0,0,SUP_CONTROL!$C$8*IF($B47="V",1,IF($B47="D",(1+SUP_VOLUMEN!$C$26),(1+SUP_VOLUMEN!$C$27)))*INDEX(SUP_C3_EXPANSION!$C$6:$F$6,MIN(4,COUNTIF(CAPA3_EXPANSION!$D$25:BP$25,"&gt;="&amp;40)))*CAPA3_EXPANSION!BP$36)</f>
        <v>0</v>
      </c>
      <c r="BQ47" s="88">
        <f>IF(COUNTIF(CAPA3_EXPANSION!$D$25:BQ$25,"&gt;="&amp;40)=0,0,SUP_CONTROL!$C$8*IF($B47="V",1,IF($B47="D",(1+SUP_VOLUMEN!$C$26),(1+SUP_VOLUMEN!$C$27)))*INDEX(SUP_C3_EXPANSION!$C$6:$F$6,MIN(4,COUNTIF(CAPA3_EXPANSION!$D$25:BQ$25,"&gt;="&amp;40)))*CAPA3_EXPANSION!BQ$36)</f>
        <v>0</v>
      </c>
      <c r="BR47" s="88">
        <f>IF(COUNTIF(CAPA3_EXPANSION!$D$25:BR$25,"&gt;="&amp;40)=0,0,SUP_CONTROL!$C$8*IF($B47="V",1,IF($B47="D",(1+SUP_VOLUMEN!$C$26),(1+SUP_VOLUMEN!$C$27)))*INDEX(SUP_C3_EXPANSION!$C$6:$F$6,MIN(4,COUNTIF(CAPA3_EXPANSION!$D$25:BR$25,"&gt;="&amp;40)))*CAPA3_EXPANSION!BR$36)</f>
        <v>0</v>
      </c>
      <c r="BS47" s="88">
        <f>IF(COUNTIF(CAPA3_EXPANSION!$D$25:BS$25,"&gt;="&amp;40)=0,0,SUP_CONTROL!$C$8*IF($B47="V",1,IF($B47="D",(1+SUP_VOLUMEN!$C$26),(1+SUP_VOLUMEN!$C$27)))*INDEX(SUP_C3_EXPANSION!$C$6:$F$6,MIN(4,COUNTIF(CAPA3_EXPANSION!$D$25:BS$25,"&gt;="&amp;40)))*CAPA3_EXPANSION!BS$36)</f>
        <v>0</v>
      </c>
      <c r="BT47" s="88">
        <f>IF(COUNTIF(CAPA3_EXPANSION!$D$25:BT$25,"&gt;="&amp;40)=0,0,SUP_CONTROL!$C$8*IF($B47="V",1,IF($B47="D",(1+SUP_VOLUMEN!$C$26),(1+SUP_VOLUMEN!$C$27)))*INDEX(SUP_C3_EXPANSION!$C$6:$F$6,MIN(4,COUNTIF(CAPA3_EXPANSION!$D$25:BT$25,"&gt;="&amp;40)))*CAPA3_EXPANSION!BT$36)</f>
        <v>0</v>
      </c>
      <c r="BU47" s="88">
        <f>IF(COUNTIF(CAPA3_EXPANSION!$D$25:BU$25,"&gt;="&amp;40)=0,0,SUP_CONTROL!$C$8*IF($B47="V",1,IF($B47="D",(1+SUP_VOLUMEN!$C$26),(1+SUP_VOLUMEN!$C$27)))*INDEX(SUP_C3_EXPANSION!$C$6:$F$6,MIN(4,COUNTIF(CAPA3_EXPANSION!$D$25:BU$25,"&gt;="&amp;40)))*CAPA3_EXPANSION!BU$36)</f>
        <v>0</v>
      </c>
      <c r="BV47" s="88">
        <f>IF(COUNTIF(CAPA3_EXPANSION!$D$25:BV$25,"&gt;="&amp;40)=0,0,SUP_CONTROL!$C$8*IF($B47="V",1,IF($B47="D",(1+SUP_VOLUMEN!$C$26),(1+SUP_VOLUMEN!$C$27)))*INDEX(SUP_C3_EXPANSION!$C$6:$F$6,MIN(4,COUNTIF(CAPA3_EXPANSION!$D$25:BV$25,"&gt;="&amp;40)))*CAPA3_EXPANSION!BV$36)</f>
        <v>0</v>
      </c>
      <c r="BW47" s="88">
        <f>IF(COUNTIF(CAPA3_EXPANSION!$D$25:BW$25,"&gt;="&amp;40)=0,0,SUP_CONTROL!$C$8*IF($B47="V",1,IF($B47="D",(1+SUP_VOLUMEN!$C$26),(1+SUP_VOLUMEN!$C$27)))*INDEX(SUP_C3_EXPANSION!$C$6:$F$6,MIN(4,COUNTIF(CAPA3_EXPANSION!$D$25:BW$25,"&gt;="&amp;40)))*CAPA3_EXPANSION!BW$36)</f>
        <v>0</v>
      </c>
      <c r="BX47" s="88">
        <f>IF(COUNTIF(CAPA3_EXPANSION!$D$25:BX$25,"&gt;="&amp;40)=0,0,SUP_CONTROL!$C$8*IF($B47="V",1,IF($B47="D",(1+SUP_VOLUMEN!$C$26),(1+SUP_VOLUMEN!$C$27)))*INDEX(SUP_C3_EXPANSION!$C$6:$F$6,MIN(4,COUNTIF(CAPA3_EXPANSION!$D$25:BX$25,"&gt;="&amp;40)))*CAPA3_EXPANSION!BX$36)</f>
        <v>0</v>
      </c>
      <c r="BY47" s="88">
        <f>IF(COUNTIF(CAPA3_EXPANSION!$D$25:BY$25,"&gt;="&amp;40)=0,0,SUP_CONTROL!$C$8*IF($B47="V",1,IF($B47="D",(1+SUP_VOLUMEN!$C$26),(1+SUP_VOLUMEN!$C$27)))*INDEX(SUP_C3_EXPANSION!$C$6:$F$6,MIN(4,COUNTIF(CAPA3_EXPANSION!$D$25:BY$25,"&gt;="&amp;40)))*CAPA3_EXPANSION!BY$36)</f>
        <v>0</v>
      </c>
      <c r="BZ47" s="88">
        <f>IF(COUNTIF(CAPA3_EXPANSION!$D$25:BZ$25,"&gt;="&amp;40)=0,0,SUP_CONTROL!$C$8*IF($B47="V",1,IF($B47="D",(1+SUP_VOLUMEN!$C$26),(1+SUP_VOLUMEN!$C$27)))*INDEX(SUP_C3_EXPANSION!$C$6:$F$6,MIN(4,COUNTIF(CAPA3_EXPANSION!$D$25:BZ$25,"&gt;="&amp;40)))*CAPA3_EXPANSION!BZ$36)</f>
        <v>1838.3820000000001</v>
      </c>
      <c r="CA47" s="88">
        <f>IF(COUNTIF(CAPA3_EXPANSION!$D$25:CA$25,"&gt;="&amp;40)=0,0,SUP_CONTROL!$C$8*IF($B47="V",1,IF($B47="D",(1+SUP_VOLUMEN!$C$26),(1+SUP_VOLUMEN!$C$27)))*INDEX(SUP_C3_EXPANSION!$C$6:$F$6,MIN(4,COUNTIF(CAPA3_EXPANSION!$D$25:CA$25,"&gt;="&amp;40)))*CAPA3_EXPANSION!CA$36)</f>
        <v>2262.6240000000003</v>
      </c>
      <c r="CB47" s="88">
        <f>IF(COUNTIF(CAPA3_EXPANSION!$D$25:CB$25,"&gt;="&amp;40)=0,0,SUP_CONTROL!$C$8*IF($B47="V",1,IF($B47="D",(1+SUP_VOLUMEN!$C$26),(1+SUP_VOLUMEN!$C$27)))*INDEX(SUP_C3_EXPANSION!$C$6:$F$6,MIN(4,COUNTIF(CAPA3_EXPANSION!$D$25:CB$25,"&gt;="&amp;40)))*CAPA3_EXPANSION!CB$36)</f>
        <v>2545.4520000000002</v>
      </c>
      <c r="CC47" s="88">
        <f>IF(COUNTIF(CAPA3_EXPANSION!$D$25:CC$25,"&gt;="&amp;40)=0,0,SUP_CONTROL!$C$8*IF($B47="V",1,IF($B47="D",(1+SUP_VOLUMEN!$C$26),(1+SUP_VOLUMEN!$C$27)))*INDEX(SUP_C3_EXPANSION!$C$6:$F$6,MIN(4,COUNTIF(CAPA3_EXPANSION!$D$25:CC$25,"&gt;="&amp;40)))*CAPA3_EXPANSION!CC$36)</f>
        <v>2828.2799999999997</v>
      </c>
      <c r="CD47" s="88">
        <f>IF(COUNTIF(CAPA3_EXPANSION!$D$25:CD$25,"&gt;="&amp;40)=0,0,SUP_CONTROL!$C$8*IF($B47="V",1,IF($B47="D",(1+SUP_VOLUMEN!$C$26),(1+SUP_VOLUMEN!$C$27)))*INDEX(SUP_C3_EXPANSION!$C$6:$F$6,MIN(4,COUNTIF(CAPA3_EXPANSION!$D$25:CD$25,"&gt;="&amp;40)))*CAPA3_EXPANSION!CD$36)</f>
        <v>2828.2799999999997</v>
      </c>
      <c r="CE47" s="88">
        <f>IF(COUNTIF(CAPA3_EXPANSION!$D$25:CE$25,"&gt;="&amp;40)=0,0,SUP_CONTROL!$C$8*IF($B47="V",1,IF($B47="D",(1+SUP_VOLUMEN!$C$26),(1+SUP_VOLUMEN!$C$27)))*INDEX(SUP_C3_EXPANSION!$C$6:$F$6,MIN(4,COUNTIF(CAPA3_EXPANSION!$D$25:CE$25,"&gt;="&amp;40)))*CAPA3_EXPANSION!CE$36)</f>
        <v>2828.2799999999997</v>
      </c>
      <c r="CF47" s="88">
        <f>IF(COUNTIF(CAPA3_EXPANSION!$D$25:CF$25,"&gt;="&amp;40)=0,0,SUP_CONTROL!$C$8*IF($B47="V",1,IF($B47="D",(1+SUP_VOLUMEN!$C$26),(1+SUP_VOLUMEN!$C$27)))*INDEX(SUP_C3_EXPANSION!$C$6:$F$6,MIN(4,COUNTIF(CAPA3_EXPANSION!$D$25:CF$25,"&gt;="&amp;40)))*CAPA3_EXPANSION!CF$36)</f>
        <v>2828.2799999999997</v>
      </c>
      <c r="CG47" s="88">
        <f>IF(COUNTIF(CAPA3_EXPANSION!$D$25:CG$25,"&gt;="&amp;40)=0,0,SUP_CONTROL!$C$8*IF($B47="V",1,IF($B47="D",(1+SUP_VOLUMEN!$C$26),(1+SUP_VOLUMEN!$C$27)))*INDEX(SUP_C3_EXPANSION!$C$6:$F$6,MIN(4,COUNTIF(CAPA3_EXPANSION!$D$25:CG$25,"&gt;="&amp;40)))*CAPA3_EXPANSION!CG$36)</f>
        <v>2828.2799999999997</v>
      </c>
      <c r="CH47" s="88">
        <f>IF(COUNTIF(CAPA3_EXPANSION!$D$25:CH$25,"&gt;="&amp;40)=0,0,SUP_CONTROL!$C$8*IF($B47="V",1,IF($B47="D",(1+SUP_VOLUMEN!$C$26),(1+SUP_VOLUMEN!$C$27)))*INDEX(SUP_C3_EXPANSION!$C$6:$F$6,MIN(4,COUNTIF(CAPA3_EXPANSION!$D$25:CH$25,"&gt;="&amp;40)))*CAPA3_EXPANSION!CH$36)</f>
        <v>2828.2799999999997</v>
      </c>
      <c r="CI47" s="88">
        <f>IF(COUNTIF(CAPA3_EXPANSION!$D$25:CI$25,"&gt;="&amp;40)=0,0,SUP_CONTROL!$C$8*IF($B47="V",1,IF($B47="D",(1+SUP_VOLUMEN!$C$26),(1+SUP_VOLUMEN!$C$27)))*INDEX(SUP_C3_EXPANSION!$C$6:$F$6,MIN(4,COUNTIF(CAPA3_EXPANSION!$D$25:CI$25,"&gt;="&amp;40)))*CAPA3_EXPANSION!CI$36)</f>
        <v>2828.2799999999997</v>
      </c>
      <c r="CJ47" s="88">
        <f>IF(COUNTIF(CAPA3_EXPANSION!$D$25:CJ$25,"&gt;="&amp;40)=0,0,SUP_CONTROL!$C$8*IF($B47="V",1,IF($B47="D",(1+SUP_VOLUMEN!$C$26),(1+SUP_VOLUMEN!$C$27)))*INDEX(SUP_C3_EXPANSION!$C$6:$F$6,MIN(4,COUNTIF(CAPA3_EXPANSION!$D$25:CJ$25,"&gt;="&amp;40)))*CAPA3_EXPANSION!CJ$36)</f>
        <v>2828.2799999999997</v>
      </c>
      <c r="CK47" s="88">
        <f>IF(COUNTIF(CAPA3_EXPANSION!$D$25:CK$25,"&gt;="&amp;40)=0,0,SUP_CONTROL!$C$8*IF($B47="V",1,IF($B47="D",(1+SUP_VOLUMEN!$C$26),(1+SUP_VOLUMEN!$C$27)))*INDEX(SUP_C3_EXPANSION!$C$6:$F$6,MIN(4,COUNTIF(CAPA3_EXPANSION!$D$25:CK$25,"&gt;="&amp;40)))*CAPA3_EXPANSION!CK$36)</f>
        <v>2828.2799999999997</v>
      </c>
      <c r="CL47" s="88">
        <f>IF(COUNTIF(CAPA3_EXPANSION!$D$25:CL$25,"&gt;="&amp;40)=0,0,SUP_CONTROL!$C$8*IF($B47="V",1,IF($B47="D",(1+SUP_VOLUMEN!$C$26),(1+SUP_VOLUMEN!$C$27)))*INDEX(SUP_C3_EXPANSION!$C$6:$F$6,MIN(4,COUNTIF(CAPA3_EXPANSION!$D$25:CL$25,"&gt;="&amp;40)))*CAPA3_EXPANSION!CL$36)</f>
        <v>2828.2799999999997</v>
      </c>
      <c r="CM47" s="88">
        <f>IF(COUNTIF(CAPA3_EXPANSION!$D$25:CM$25,"&gt;="&amp;40)=0,0,SUP_CONTROL!$C$8*IF($B47="V",1,IF($B47="D",(1+SUP_VOLUMEN!$C$26),(1+SUP_VOLUMEN!$C$27)))*INDEX(SUP_C3_EXPANSION!$C$6:$F$6,MIN(4,COUNTIF(CAPA3_EXPANSION!$D$25:CM$25,"&gt;="&amp;40)))*CAPA3_EXPANSION!CM$36)</f>
        <v>2828.2799999999997</v>
      </c>
      <c r="CN47" s="88">
        <f>IF(COUNTIF(CAPA3_EXPANSION!$D$25:CN$25,"&gt;="&amp;40)=0,0,SUP_CONTROL!$C$8*IF($B47="V",1,IF($B47="D",(1+SUP_VOLUMEN!$C$26),(1+SUP_VOLUMEN!$C$27)))*INDEX(SUP_C3_EXPANSION!$C$6:$F$6,MIN(4,COUNTIF(CAPA3_EXPANSION!$D$25:CN$25,"&gt;="&amp;40)))*CAPA3_EXPANSION!CN$36)</f>
        <v>2828.2799999999997</v>
      </c>
      <c r="CO47" s="88">
        <f>IF(COUNTIF(CAPA3_EXPANSION!$D$25:CO$25,"&gt;="&amp;40)=0,0,SUP_CONTROL!$C$8*IF($B47="V",1,IF($B47="D",(1+SUP_VOLUMEN!$C$26),(1+SUP_VOLUMEN!$C$27)))*INDEX(SUP_C3_EXPANSION!$C$6:$F$6,MIN(4,COUNTIF(CAPA3_EXPANSION!$D$25:CO$25,"&gt;="&amp;40)))*CAPA3_EXPANSION!CO$36)</f>
        <v>2828.2799999999997</v>
      </c>
      <c r="CP47" s="88">
        <f>IF(COUNTIF(CAPA3_EXPANSION!$D$25:CP$25,"&gt;="&amp;40)=0,0,SUP_CONTROL!$C$8*IF($B47="V",1,IF($B47="D",(1+SUP_VOLUMEN!$C$26),(1+SUP_VOLUMEN!$C$27)))*INDEX(SUP_C3_EXPANSION!$C$6:$F$6,MIN(4,COUNTIF(CAPA3_EXPANSION!$D$25:CP$25,"&gt;="&amp;40)))*CAPA3_EXPANSION!CP$36)</f>
        <v>2828.2799999999997</v>
      </c>
      <c r="CQ47" s="88">
        <f>IF(COUNTIF(CAPA3_EXPANSION!$D$25:CQ$25,"&gt;="&amp;40)=0,0,SUP_CONTROL!$C$8*IF($B47="V",1,IF($B47="D",(1+SUP_VOLUMEN!$C$26),(1+SUP_VOLUMEN!$C$27)))*INDEX(SUP_C3_EXPANSION!$C$6:$F$6,MIN(4,COUNTIF(CAPA3_EXPANSION!$D$25:CQ$25,"&gt;="&amp;40)))*CAPA3_EXPANSION!CQ$36)</f>
        <v>2828.2799999999997</v>
      </c>
      <c r="CR47" s="88">
        <f>IF(COUNTIF(CAPA3_EXPANSION!$D$25:CR$25,"&gt;="&amp;40)=0,0,SUP_CONTROL!$C$8*IF($B47="V",1,IF($B47="D",(1+SUP_VOLUMEN!$C$26),(1+SUP_VOLUMEN!$C$27)))*INDEX(SUP_C3_EXPANSION!$C$6:$F$6,MIN(4,COUNTIF(CAPA3_EXPANSION!$D$25:CR$25,"&gt;="&amp;40)))*CAPA3_EXPANSION!CR$36)</f>
        <v>2828.2799999999997</v>
      </c>
      <c r="CS47" s="88">
        <f>IF(COUNTIF(CAPA3_EXPANSION!$D$25:CS$25,"&gt;="&amp;40)=0,0,SUP_CONTROL!$C$8*IF($B47="V",1,IF($B47="D",(1+SUP_VOLUMEN!$C$26),(1+SUP_VOLUMEN!$C$27)))*INDEX(SUP_C3_EXPANSION!$C$6:$F$6,MIN(4,COUNTIF(CAPA3_EXPANSION!$D$25:CS$25,"&gt;="&amp;40)))*CAPA3_EXPANSION!CS$36)</f>
        <v>2828.2799999999997</v>
      </c>
      <c r="CT47" s="88">
        <f>IF(COUNTIF(CAPA3_EXPANSION!$D$25:CT$25,"&gt;="&amp;40)=0,0,SUP_CONTROL!$C$8*IF($B47="V",1,IF($B47="D",(1+SUP_VOLUMEN!$C$26),(1+SUP_VOLUMEN!$C$27)))*INDEX(SUP_C3_EXPANSION!$C$6:$F$6,MIN(4,COUNTIF(CAPA3_EXPANSION!$D$25:CT$25,"&gt;="&amp;40)))*CAPA3_EXPANSION!CT$36)</f>
        <v>2828.2799999999997</v>
      </c>
      <c r="CU47" s="88">
        <f>IF(COUNTIF(CAPA3_EXPANSION!$D$25:CU$25,"&gt;="&amp;40)=0,0,SUP_CONTROL!$C$8*IF($B47="V",1,IF($B47="D",(1+SUP_VOLUMEN!$C$26),(1+SUP_VOLUMEN!$C$27)))*INDEX(SUP_C3_EXPANSION!$C$6:$F$6,MIN(4,COUNTIF(CAPA3_EXPANSION!$D$25:CU$25,"&gt;="&amp;40)))*CAPA3_EXPANSION!CU$36)</f>
        <v>2828.2799999999997</v>
      </c>
      <c r="CV47" s="88">
        <f>IF(COUNTIF(CAPA3_EXPANSION!$D$25:CV$25,"&gt;="&amp;40)=0,0,SUP_CONTROL!$C$8*IF($B47="V",1,IF($B47="D",(1+SUP_VOLUMEN!$C$26),(1+SUP_VOLUMEN!$C$27)))*INDEX(SUP_C3_EXPANSION!$C$6:$F$6,MIN(4,COUNTIF(CAPA3_EXPANSION!$D$25:CV$25,"&gt;="&amp;40)))*CAPA3_EXPANSION!CV$36)</f>
        <v>2828.2799999999997</v>
      </c>
      <c r="CW47" s="88">
        <f>IF(COUNTIF(CAPA3_EXPANSION!$D$25:CW$25,"&gt;="&amp;40)=0,0,SUP_CONTROL!$C$8*IF($B47="V",1,IF($B47="D",(1+SUP_VOLUMEN!$C$26),(1+SUP_VOLUMEN!$C$27)))*INDEX(SUP_C3_EXPANSION!$C$6:$F$6,MIN(4,COUNTIF(CAPA3_EXPANSION!$D$25:CW$25,"&gt;="&amp;40)))*CAPA3_EXPANSION!CW$36)</f>
        <v>2828.2799999999997</v>
      </c>
      <c r="CX47" s="88">
        <f>IF(COUNTIF(CAPA3_EXPANSION!$D$25:CX$25,"&gt;="&amp;40)=0,0,SUP_CONTROL!$C$8*IF($B47="V",1,IF($B47="D",(1+SUP_VOLUMEN!$C$26),(1+SUP_VOLUMEN!$C$27)))*INDEX(SUP_C3_EXPANSION!$C$6:$F$6,MIN(4,COUNTIF(CAPA3_EXPANSION!$D$25:CX$25,"&gt;="&amp;40)))*CAPA3_EXPANSION!CX$36)</f>
        <v>2828.2799999999997</v>
      </c>
      <c r="CY47" s="88">
        <f>IF(COUNTIF(CAPA3_EXPANSION!$D$25:CY$25,"&gt;="&amp;40)=0,0,SUP_CONTROL!$C$8*IF($B47="V",1,IF($B47="D",(1+SUP_VOLUMEN!$C$26),(1+SUP_VOLUMEN!$C$27)))*INDEX(SUP_C3_EXPANSION!$C$6:$F$6,MIN(4,COUNTIF(CAPA3_EXPANSION!$D$25:CY$25,"&gt;="&amp;40)))*CAPA3_EXPANSION!CY$36)</f>
        <v>2828.2799999999997</v>
      </c>
      <c r="CZ47" s="88">
        <f>IF(COUNTIF(CAPA3_EXPANSION!$D$25:CZ$25,"&gt;="&amp;40)=0,0,SUP_CONTROL!$C$8*IF($B47="V",1,IF($B47="D",(1+SUP_VOLUMEN!$C$26),(1+SUP_VOLUMEN!$C$27)))*INDEX(SUP_C3_EXPANSION!$C$6:$F$6,MIN(4,COUNTIF(CAPA3_EXPANSION!$D$25:CZ$25,"&gt;="&amp;40)))*CAPA3_EXPANSION!CZ$36)</f>
        <v>2828.2799999999997</v>
      </c>
      <c r="DA47" s="88">
        <f>IF(COUNTIF(CAPA3_EXPANSION!$D$25:DA$25,"&gt;="&amp;40)=0,0,SUP_CONTROL!$C$8*IF($B47="V",1,IF($B47="D",(1+SUP_VOLUMEN!$C$26),(1+SUP_VOLUMEN!$C$27)))*INDEX(SUP_C3_EXPANSION!$C$6:$F$6,MIN(4,COUNTIF(CAPA3_EXPANSION!$D$25:DA$25,"&gt;="&amp;40)))*CAPA3_EXPANSION!DA$36)</f>
        <v>2828.2799999999997</v>
      </c>
      <c r="DB47" s="88">
        <f>IF(COUNTIF(CAPA3_EXPANSION!$D$25:DB$25,"&gt;="&amp;40)=0,0,SUP_CONTROL!$C$8*IF($B47="V",1,IF($B47="D",(1+SUP_VOLUMEN!$C$26),(1+SUP_VOLUMEN!$C$27)))*INDEX(SUP_C3_EXPANSION!$C$6:$F$6,MIN(4,COUNTIF(CAPA3_EXPANSION!$D$25:DB$25,"&gt;="&amp;40)))*CAPA3_EXPANSION!DB$36)</f>
        <v>2828.2799999999997</v>
      </c>
      <c r="DC47" s="88">
        <f>IF(COUNTIF(CAPA3_EXPANSION!$D$25:DC$25,"&gt;="&amp;40)=0,0,SUP_CONTROL!$C$8*IF($B47="V",1,IF($B47="D",(1+SUP_VOLUMEN!$C$26),(1+SUP_VOLUMEN!$C$27)))*INDEX(SUP_C3_EXPANSION!$C$6:$F$6,MIN(4,COUNTIF(CAPA3_EXPANSION!$D$25:DC$25,"&gt;="&amp;40)))*CAPA3_EXPANSION!DC$36)</f>
        <v>2828.2799999999997</v>
      </c>
      <c r="DD47" s="88">
        <f>IF(COUNTIF(CAPA3_EXPANSION!$D$25:DD$25,"&gt;="&amp;40)=0,0,SUP_CONTROL!$C$8*IF($B47="V",1,IF($B47="D",(1+SUP_VOLUMEN!$C$26),(1+SUP_VOLUMEN!$C$27)))*INDEX(SUP_C3_EXPANSION!$C$6:$F$6,MIN(4,COUNTIF(CAPA3_EXPANSION!$D$25:DD$25,"&gt;="&amp;40)))*CAPA3_EXPANSION!DD$36)</f>
        <v>2828.2799999999997</v>
      </c>
      <c r="DE47" s="88">
        <f>IF(COUNTIF(CAPA3_EXPANSION!$D$25:DE$25,"&gt;="&amp;40)=0,0,SUP_CONTROL!$C$8*IF($B47="V",1,IF($B47="D",(1+SUP_VOLUMEN!$C$26),(1+SUP_VOLUMEN!$C$27)))*INDEX(SUP_C3_EXPANSION!$C$6:$F$6,MIN(4,COUNTIF(CAPA3_EXPANSION!$D$25:DE$25,"&gt;="&amp;40)))*CAPA3_EXPANSION!DE$36)</f>
        <v>2828.2799999999997</v>
      </c>
      <c r="DF47" s="88">
        <f>IF(COUNTIF(CAPA3_EXPANSION!$D$25:DF$25,"&gt;="&amp;40)=0,0,SUP_CONTROL!$C$8*IF($B47="V",1,IF($B47="D",(1+SUP_VOLUMEN!$C$26),(1+SUP_VOLUMEN!$C$27)))*INDEX(SUP_C3_EXPANSION!$C$6:$F$6,MIN(4,COUNTIF(CAPA3_EXPANSION!$D$25:DF$25,"&gt;="&amp;40)))*CAPA3_EXPANSION!DF$36)</f>
        <v>2828.2799999999997</v>
      </c>
      <c r="DG47" s="88">
        <f>IF(COUNTIF(CAPA3_EXPANSION!$D$25:DG$25,"&gt;="&amp;40)=0,0,SUP_CONTROL!$C$8*IF($B47="V",1,IF($B47="D",(1+SUP_VOLUMEN!$C$26),(1+SUP_VOLUMEN!$C$27)))*INDEX(SUP_C3_EXPANSION!$C$6:$F$6,MIN(4,COUNTIF(CAPA3_EXPANSION!$D$25:DG$25,"&gt;="&amp;40)))*CAPA3_EXPANSION!DG$36)</f>
        <v>2828.2799999999997</v>
      </c>
      <c r="DH47" s="88">
        <f>IF(COUNTIF(CAPA3_EXPANSION!$D$25:DH$25,"&gt;="&amp;40)=0,0,SUP_CONTROL!$C$8*IF($B47="V",1,IF($B47="D",(1+SUP_VOLUMEN!$C$26),(1+SUP_VOLUMEN!$C$27)))*INDEX(SUP_C3_EXPANSION!$C$6:$F$6,MIN(4,COUNTIF(CAPA3_EXPANSION!$D$25:DH$25,"&gt;="&amp;40)))*CAPA3_EXPANSION!DH$36)</f>
        <v>2828.2799999999997</v>
      </c>
      <c r="DI47" s="88">
        <f>IF(COUNTIF(CAPA3_EXPANSION!$D$25:DI$25,"&gt;="&amp;40)=0,0,SUP_CONTROL!$C$8*IF($B47="V",1,IF($B47="D",(1+SUP_VOLUMEN!$C$26),(1+SUP_VOLUMEN!$C$27)))*INDEX(SUP_C3_EXPANSION!$C$6:$F$6,MIN(4,COUNTIF(CAPA3_EXPANSION!$D$25:DI$25,"&gt;="&amp;40)))*CAPA3_EXPANSION!DI$36)</f>
        <v>2828.2799999999997</v>
      </c>
      <c r="DJ47" s="88">
        <f>IF(COUNTIF(CAPA3_EXPANSION!$D$25:DJ$25,"&gt;="&amp;40)=0,0,SUP_CONTROL!$C$8*IF($B47="V",1,IF($B47="D",(1+SUP_VOLUMEN!$C$26),(1+SUP_VOLUMEN!$C$27)))*INDEX(SUP_C3_EXPANSION!$C$6:$F$6,MIN(4,COUNTIF(CAPA3_EXPANSION!$D$25:DJ$25,"&gt;="&amp;40)))*CAPA3_EXPANSION!DJ$36)</f>
        <v>2828.2799999999997</v>
      </c>
      <c r="DK47" s="88">
        <f>IF(COUNTIF(CAPA3_EXPANSION!$D$25:DK$25,"&gt;="&amp;40)=0,0,SUP_CONTROL!$C$8*IF($B47="V",1,IF($B47="D",(1+SUP_VOLUMEN!$C$26),(1+SUP_VOLUMEN!$C$27)))*INDEX(SUP_C3_EXPANSION!$C$6:$F$6,MIN(4,COUNTIF(CAPA3_EXPANSION!$D$25:DK$25,"&gt;="&amp;40)))*CAPA3_EXPANSION!DK$36)</f>
        <v>2828.2799999999997</v>
      </c>
      <c r="DL47" s="88">
        <f>IF(COUNTIF(CAPA3_EXPANSION!$D$25:DL$25,"&gt;="&amp;40)=0,0,SUP_CONTROL!$C$8*IF($B47="V",1,IF($B47="D",(1+SUP_VOLUMEN!$C$26),(1+SUP_VOLUMEN!$C$27)))*INDEX(SUP_C3_EXPANSION!$C$6:$F$6,MIN(4,COUNTIF(CAPA3_EXPANSION!$D$25:DL$25,"&gt;="&amp;40)))*CAPA3_EXPANSION!DL$36)</f>
        <v>2828.2799999999997</v>
      </c>
      <c r="DM47" s="88">
        <f>IF(COUNTIF(CAPA3_EXPANSION!$D$25:DM$25,"&gt;="&amp;40)=0,0,SUP_CONTROL!$C$8*IF($B47="V",1,IF($B47="D",(1+SUP_VOLUMEN!$C$26),(1+SUP_VOLUMEN!$C$27)))*INDEX(SUP_C3_EXPANSION!$C$6:$F$6,MIN(4,COUNTIF(CAPA3_EXPANSION!$D$25:DM$25,"&gt;="&amp;40)))*CAPA3_EXPANSION!DM$36)</f>
        <v>2828.2799999999997</v>
      </c>
      <c r="DN47" s="88">
        <f>IF(COUNTIF(CAPA3_EXPANSION!$D$25:DN$25,"&gt;="&amp;40)=0,0,SUP_CONTROL!$C$8*IF($B47="V",1,IF($B47="D",(1+SUP_VOLUMEN!$C$26),(1+SUP_VOLUMEN!$C$27)))*INDEX(SUP_C3_EXPANSION!$C$6:$F$6,MIN(4,COUNTIF(CAPA3_EXPANSION!$D$25:DN$25,"&gt;="&amp;40)))*CAPA3_EXPANSION!DN$36)</f>
        <v>2828.2799999999997</v>
      </c>
      <c r="DO47" s="88">
        <f>IF(COUNTIF(CAPA3_EXPANSION!$D$25:DO$25,"&gt;="&amp;40)=0,0,SUP_CONTROL!$C$8*IF($B47="V",1,IF($B47="D",(1+SUP_VOLUMEN!$C$26),(1+SUP_VOLUMEN!$C$27)))*INDEX(SUP_C3_EXPANSION!$C$6:$F$6,MIN(4,COUNTIF(CAPA3_EXPANSION!$D$25:DO$25,"&gt;="&amp;40)))*CAPA3_EXPANSION!DO$36)</f>
        <v>2828.2799999999997</v>
      </c>
      <c r="DP47" s="88">
        <f>IF(COUNTIF(CAPA3_EXPANSION!$D$25:DP$25,"&gt;="&amp;40)=0,0,SUP_CONTROL!$C$8*IF($B47="V",1,IF($B47="D",(1+SUP_VOLUMEN!$C$26),(1+SUP_VOLUMEN!$C$27)))*INDEX(SUP_C3_EXPANSION!$C$6:$F$6,MIN(4,COUNTIF(CAPA3_EXPANSION!$D$25:DP$25,"&gt;="&amp;40)))*CAPA3_EXPANSION!DP$36)</f>
        <v>2828.2799999999997</v>
      </c>
      <c r="DQ47" s="88">
        <f>IF(COUNTIF(CAPA3_EXPANSION!$D$25:DQ$25,"&gt;="&amp;40)=0,0,SUP_CONTROL!$C$8*IF($B47="V",1,IF($B47="D",(1+SUP_VOLUMEN!$C$26),(1+SUP_VOLUMEN!$C$27)))*INDEX(SUP_C3_EXPANSION!$C$6:$F$6,MIN(4,COUNTIF(CAPA3_EXPANSION!$D$25:DQ$25,"&gt;="&amp;40)))*CAPA3_EXPANSION!DQ$36)</f>
        <v>2828.2799999999997</v>
      </c>
      <c r="DR47" s="88">
        <f>IF(COUNTIF(CAPA3_EXPANSION!$D$25:DR$25,"&gt;="&amp;40)=0,0,SUP_CONTROL!$C$8*IF($B47="V",1,IF($B47="D",(1+SUP_VOLUMEN!$C$26),(1+SUP_VOLUMEN!$C$27)))*INDEX(SUP_C3_EXPANSION!$C$6:$F$6,MIN(4,COUNTIF(CAPA3_EXPANSION!$D$25:DR$25,"&gt;="&amp;40)))*CAPA3_EXPANSION!DR$36)</f>
        <v>2828.2799999999997</v>
      </c>
      <c r="DS47" s="88">
        <f>IF(COUNTIF(CAPA3_EXPANSION!$D$25:DS$25,"&gt;="&amp;40)=0,0,SUP_CONTROL!$C$8*IF($B47="V",1,IF($B47="D",(1+SUP_VOLUMEN!$C$26),(1+SUP_VOLUMEN!$C$27)))*INDEX(SUP_C3_EXPANSION!$C$6:$F$6,MIN(4,COUNTIF(CAPA3_EXPANSION!$D$25:DS$25,"&gt;="&amp;40)))*CAPA3_EXPANSION!DS$36)</f>
        <v>2828.2799999999997</v>
      </c>
    </row>
    <row r="48" spans="1:123" ht="15" customHeight="1" x14ac:dyDescent="0.2">
      <c r="B48" s="20" t="s">
        <v>1050</v>
      </c>
      <c r="D48" s="83">
        <f t="shared" ref="D48:AI48" si="0">SUM(D8:D47)</f>
        <v>0</v>
      </c>
      <c r="E48" s="83">
        <f t="shared" si="0"/>
        <v>0</v>
      </c>
      <c r="F48" s="83">
        <f t="shared" si="0"/>
        <v>0</v>
      </c>
      <c r="G48" s="83">
        <f t="shared" si="0"/>
        <v>0</v>
      </c>
      <c r="H48" s="83">
        <f t="shared" si="0"/>
        <v>0</v>
      </c>
      <c r="I48" s="83">
        <f t="shared" si="0"/>
        <v>0</v>
      </c>
      <c r="J48" s="83">
        <f t="shared" si="0"/>
        <v>0</v>
      </c>
      <c r="K48" s="83">
        <f t="shared" si="0"/>
        <v>0</v>
      </c>
      <c r="L48" s="83">
        <f t="shared" si="0"/>
        <v>0</v>
      </c>
      <c r="M48" s="83">
        <f t="shared" si="0"/>
        <v>0</v>
      </c>
      <c r="N48" s="83">
        <f t="shared" si="0"/>
        <v>0</v>
      </c>
      <c r="O48" s="83">
        <f t="shared" si="0"/>
        <v>0</v>
      </c>
      <c r="P48" s="83">
        <f t="shared" si="0"/>
        <v>0</v>
      </c>
      <c r="Q48" s="83">
        <f t="shared" si="0"/>
        <v>0</v>
      </c>
      <c r="R48" s="83">
        <f t="shared" si="0"/>
        <v>0</v>
      </c>
      <c r="S48" s="83">
        <f t="shared" si="0"/>
        <v>0</v>
      </c>
      <c r="T48" s="83">
        <f t="shared" si="0"/>
        <v>2188.5500000000002</v>
      </c>
      <c r="U48" s="83">
        <f t="shared" si="0"/>
        <v>2693.6000000000004</v>
      </c>
      <c r="V48" s="83">
        <f t="shared" si="0"/>
        <v>5218.8500000000004</v>
      </c>
      <c r="W48" s="83">
        <f t="shared" si="0"/>
        <v>8249.1500000000015</v>
      </c>
      <c r="X48" s="83">
        <f t="shared" si="0"/>
        <v>9090.9000000000015</v>
      </c>
      <c r="Y48" s="83">
        <f t="shared" si="0"/>
        <v>9764.2999999999993</v>
      </c>
      <c r="Z48" s="83">
        <f t="shared" si="0"/>
        <v>10101</v>
      </c>
      <c r="AA48" s="83">
        <f t="shared" si="0"/>
        <v>10101</v>
      </c>
      <c r="AB48" s="83">
        <f t="shared" si="0"/>
        <v>10101</v>
      </c>
      <c r="AC48" s="83">
        <f t="shared" si="0"/>
        <v>10101</v>
      </c>
      <c r="AD48" s="83">
        <f t="shared" si="0"/>
        <v>9797.9699999999993</v>
      </c>
      <c r="AE48" s="83">
        <f t="shared" si="0"/>
        <v>9797.9699999999993</v>
      </c>
      <c r="AF48" s="83">
        <f t="shared" si="0"/>
        <v>12557.73155</v>
      </c>
      <c r="AG48" s="83">
        <f t="shared" si="0"/>
        <v>15317.4931</v>
      </c>
      <c r="AH48" s="83">
        <f t="shared" si="0"/>
        <v>16231.970300000001</v>
      </c>
      <c r="AI48" s="83">
        <f t="shared" si="0"/>
        <v>19106.041499999999</v>
      </c>
      <c r="AJ48" s="83">
        <f t="shared" ref="AJ48:BO48" si="1">SUM(AJ8:AJ47)</f>
        <v>22045.432500000003</v>
      </c>
      <c r="AK48" s="83">
        <f t="shared" si="1"/>
        <v>22861.93</v>
      </c>
      <c r="AL48" s="83">
        <f t="shared" si="1"/>
        <v>22909.067999999999</v>
      </c>
      <c r="AM48" s="83">
        <f t="shared" si="1"/>
        <v>25915.883174999999</v>
      </c>
      <c r="AN48" s="83">
        <f t="shared" si="1"/>
        <v>28604.516849999996</v>
      </c>
      <c r="AO48" s="83">
        <f t="shared" si="1"/>
        <v>31563.604799999997</v>
      </c>
      <c r="AP48" s="83">
        <f t="shared" si="1"/>
        <v>34840.874250000001</v>
      </c>
      <c r="AQ48" s="83">
        <f t="shared" si="1"/>
        <v>35954.509499999993</v>
      </c>
      <c r="AR48" s="83">
        <f t="shared" si="1"/>
        <v>39279.506174999995</v>
      </c>
      <c r="AS48" s="83">
        <f t="shared" si="1"/>
        <v>40218.141599999995</v>
      </c>
      <c r="AT48" s="83">
        <f t="shared" si="1"/>
        <v>42699.957300000002</v>
      </c>
      <c r="AU48" s="83">
        <f t="shared" si="1"/>
        <v>45659.045249999996</v>
      </c>
      <c r="AV48" s="83">
        <f t="shared" si="1"/>
        <v>46454.498999999989</v>
      </c>
      <c r="AW48" s="83">
        <f t="shared" si="1"/>
        <v>47090.861999999994</v>
      </c>
      <c r="AX48" s="83">
        <f t="shared" si="1"/>
        <v>47409.0435</v>
      </c>
      <c r="AY48" s="83">
        <f t="shared" si="1"/>
        <v>47409.0435</v>
      </c>
      <c r="AZ48" s="83">
        <f t="shared" si="1"/>
        <v>47409.0435</v>
      </c>
      <c r="BA48" s="83">
        <f t="shared" si="1"/>
        <v>46154.836000000003</v>
      </c>
      <c r="BB48" s="83">
        <f t="shared" si="1"/>
        <v>46154.836000000003</v>
      </c>
      <c r="BC48" s="83">
        <f t="shared" si="1"/>
        <v>46154.836000000003</v>
      </c>
      <c r="BD48" s="83">
        <f t="shared" si="1"/>
        <v>50181.768000000004</v>
      </c>
      <c r="BE48" s="83">
        <f t="shared" si="1"/>
        <v>53124.526000000005</v>
      </c>
      <c r="BF48" s="83">
        <f t="shared" si="1"/>
        <v>55590.853499999997</v>
      </c>
      <c r="BG48" s="83">
        <f t="shared" si="1"/>
        <v>59060.546999999999</v>
      </c>
      <c r="BH48" s="83">
        <f t="shared" si="1"/>
        <v>62181.756000000001</v>
      </c>
      <c r="BI48" s="83">
        <f t="shared" si="1"/>
        <v>65302.964999999997</v>
      </c>
      <c r="BJ48" s="83">
        <f t="shared" si="1"/>
        <v>68924.173500000004</v>
      </c>
      <c r="BK48" s="83">
        <f t="shared" si="1"/>
        <v>70488.818399999989</v>
      </c>
      <c r="BL48" s="83">
        <f t="shared" si="1"/>
        <v>73540.667199999996</v>
      </c>
      <c r="BM48" s="83">
        <f t="shared" si="1"/>
        <v>76592.516000000003</v>
      </c>
      <c r="BN48" s="83">
        <f t="shared" si="1"/>
        <v>80133.253200000006</v>
      </c>
      <c r="BO48" s="83">
        <f t="shared" si="1"/>
        <v>83229.546400000021</v>
      </c>
      <c r="BP48" s="83">
        <f t="shared" ref="BP48:CU48" si="2">SUM(BP8:BP47)</f>
        <v>84810.689600000027</v>
      </c>
      <c r="BQ48" s="83">
        <f t="shared" si="2"/>
        <v>87810.518250000023</v>
      </c>
      <c r="BR48" s="83">
        <f t="shared" si="2"/>
        <v>91290.90197500003</v>
      </c>
      <c r="BS48" s="83">
        <f t="shared" si="2"/>
        <v>96227.51320000003</v>
      </c>
      <c r="BT48" s="83">
        <f t="shared" si="2"/>
        <v>99664.210100000026</v>
      </c>
      <c r="BU48" s="83">
        <f t="shared" si="2"/>
        <v>101169.93249999998</v>
      </c>
      <c r="BV48" s="83">
        <f t="shared" si="2"/>
        <v>104318.07749999998</v>
      </c>
      <c r="BW48" s="83">
        <f t="shared" si="2"/>
        <v>107738.10774999998</v>
      </c>
      <c r="BX48" s="83">
        <f t="shared" si="2"/>
        <v>110728.84549999998</v>
      </c>
      <c r="BY48" s="83">
        <f t="shared" si="2"/>
        <v>113676.65399999997</v>
      </c>
      <c r="BZ48" s="83">
        <f t="shared" si="2"/>
        <v>117090.79199999996</v>
      </c>
      <c r="CA48" s="83">
        <f t="shared" si="2"/>
        <v>120894.82859999996</v>
      </c>
      <c r="CB48" s="83">
        <f t="shared" si="2"/>
        <v>124133.20919999997</v>
      </c>
      <c r="CC48" s="83">
        <f t="shared" si="2"/>
        <v>125490.78359999995</v>
      </c>
      <c r="CD48" s="83">
        <f t="shared" si="2"/>
        <v>126141.28799999996</v>
      </c>
      <c r="CE48" s="83">
        <f t="shared" si="2"/>
        <v>126424.11599999995</v>
      </c>
      <c r="CF48" s="83">
        <f t="shared" si="2"/>
        <v>126424.11599999995</v>
      </c>
      <c r="CG48" s="83">
        <f t="shared" si="2"/>
        <v>126424.11599999995</v>
      </c>
      <c r="CH48" s="83">
        <f t="shared" si="2"/>
        <v>126424.11599999995</v>
      </c>
      <c r="CI48" s="83">
        <f t="shared" si="2"/>
        <v>126424.11599999995</v>
      </c>
      <c r="CJ48" s="83">
        <f t="shared" si="2"/>
        <v>126424.11599999995</v>
      </c>
      <c r="CK48" s="83">
        <f t="shared" si="2"/>
        <v>126424.11599999995</v>
      </c>
      <c r="CL48" s="83">
        <f t="shared" si="2"/>
        <v>126424.11599999995</v>
      </c>
      <c r="CM48" s="83">
        <f t="shared" si="2"/>
        <v>126424.11599999995</v>
      </c>
      <c r="CN48" s="83">
        <f t="shared" si="2"/>
        <v>126424.11599999995</v>
      </c>
      <c r="CO48" s="83">
        <f t="shared" si="2"/>
        <v>126424.11599999995</v>
      </c>
      <c r="CP48" s="83">
        <f t="shared" si="2"/>
        <v>126424.11599999995</v>
      </c>
      <c r="CQ48" s="83">
        <f t="shared" si="2"/>
        <v>126424.11599999995</v>
      </c>
      <c r="CR48" s="83">
        <f t="shared" si="2"/>
        <v>126424.11599999995</v>
      </c>
      <c r="CS48" s="83">
        <f t="shared" si="2"/>
        <v>126424.11599999995</v>
      </c>
      <c r="CT48" s="83">
        <f t="shared" si="2"/>
        <v>126424.11599999995</v>
      </c>
      <c r="CU48" s="83">
        <f t="shared" si="2"/>
        <v>126424.11599999995</v>
      </c>
      <c r="CV48" s="83">
        <f t="shared" ref="CV48:EA48" si="3">SUM(CV8:CV47)</f>
        <v>126424.11599999995</v>
      </c>
      <c r="CW48" s="83">
        <f t="shared" si="3"/>
        <v>126424.11599999995</v>
      </c>
      <c r="CX48" s="83">
        <f t="shared" si="3"/>
        <v>126424.11599999995</v>
      </c>
      <c r="CY48" s="83">
        <f t="shared" si="3"/>
        <v>126424.11599999995</v>
      </c>
      <c r="CZ48" s="83">
        <f t="shared" si="3"/>
        <v>126424.11599999995</v>
      </c>
      <c r="DA48" s="83">
        <f t="shared" si="3"/>
        <v>126424.11599999995</v>
      </c>
      <c r="DB48" s="83">
        <f t="shared" si="3"/>
        <v>126424.11599999995</v>
      </c>
      <c r="DC48" s="83">
        <f t="shared" si="3"/>
        <v>126424.11599999995</v>
      </c>
      <c r="DD48" s="83">
        <f t="shared" si="3"/>
        <v>126424.11599999995</v>
      </c>
      <c r="DE48" s="83">
        <f t="shared" si="3"/>
        <v>126424.11599999995</v>
      </c>
      <c r="DF48" s="83">
        <f t="shared" si="3"/>
        <v>126424.11599999995</v>
      </c>
      <c r="DG48" s="83">
        <f t="shared" si="3"/>
        <v>126424.11599999995</v>
      </c>
      <c r="DH48" s="83">
        <f t="shared" si="3"/>
        <v>126424.11599999995</v>
      </c>
      <c r="DI48" s="83">
        <f t="shared" si="3"/>
        <v>126424.11599999995</v>
      </c>
      <c r="DJ48" s="83">
        <f t="shared" si="3"/>
        <v>126424.11599999995</v>
      </c>
      <c r="DK48" s="83">
        <f t="shared" si="3"/>
        <v>126424.11599999995</v>
      </c>
      <c r="DL48" s="83">
        <f t="shared" si="3"/>
        <v>126424.11599999995</v>
      </c>
      <c r="DM48" s="83">
        <f t="shared" si="3"/>
        <v>126424.11599999995</v>
      </c>
      <c r="DN48" s="83">
        <f t="shared" si="3"/>
        <v>126424.11599999995</v>
      </c>
      <c r="DO48" s="83">
        <f t="shared" si="3"/>
        <v>126424.11599999995</v>
      </c>
      <c r="DP48" s="83">
        <f t="shared" si="3"/>
        <v>126424.11599999995</v>
      </c>
      <c r="DQ48" s="83">
        <f t="shared" si="3"/>
        <v>126424.11599999995</v>
      </c>
      <c r="DR48" s="83">
        <f t="shared" si="3"/>
        <v>126424.11599999995</v>
      </c>
      <c r="DS48" s="83">
        <f t="shared" si="3"/>
        <v>126424.11599999995</v>
      </c>
    </row>
    <row r="51" spans="1:14" ht="15" customHeight="1" x14ac:dyDescent="0.2">
      <c r="A51" s="25" t="s">
        <v>1051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</row>
    <row r="52" spans="1:14" ht="15" customHeight="1" x14ac:dyDescent="0.2">
      <c r="A52" s="20" t="s">
        <v>339</v>
      </c>
      <c r="B52" s="20" t="s">
        <v>974</v>
      </c>
      <c r="D52" s="20" t="s">
        <v>1052</v>
      </c>
      <c r="E52" s="20" t="s">
        <v>1053</v>
      </c>
      <c r="F52" s="20" t="s">
        <v>1054</v>
      </c>
      <c r="G52" s="20" t="s">
        <v>1055</v>
      </c>
      <c r="H52" s="20" t="s">
        <v>1056</v>
      </c>
      <c r="I52" s="20" t="s">
        <v>1057</v>
      </c>
      <c r="J52" s="20" t="s">
        <v>1058</v>
      </c>
      <c r="K52" s="20" t="s">
        <v>1059</v>
      </c>
      <c r="L52" s="20" t="s">
        <v>1060</v>
      </c>
      <c r="M52" s="20" t="s">
        <v>1061</v>
      </c>
      <c r="N52" s="20" t="s">
        <v>1062</v>
      </c>
    </row>
    <row r="53" spans="1:14" ht="15" customHeight="1" x14ac:dyDescent="0.2">
      <c r="A53" s="88">
        <v>11</v>
      </c>
      <c r="B53" s="37" t="str">
        <f t="shared" ref="B53:B92" si="4">B8</f>
        <v>V</v>
      </c>
      <c r="D53" s="77">
        <f>SUM(D8:O8)*SUP_CONTROL!$C$26</f>
        <v>0</v>
      </c>
      <c r="E53" s="77">
        <f>SUM(P8:AA8)*SUP_CONTROL!$C$26</f>
        <v>321169.46860724909</v>
      </c>
      <c r="F53" s="77">
        <f>SUM(AB8:AM8)*SUP_CONTROL!$C$26</f>
        <v>509064.53187407495</v>
      </c>
      <c r="G53" s="77">
        <f>SUM(AN8:AY8)*SUP_CONTROL!$C$26</f>
        <v>495518.60870832711</v>
      </c>
      <c r="H53" s="77">
        <f>SUM(AZ8:BK8)*SUP_CONTROL!$C$26</f>
        <v>477384.55027676135</v>
      </c>
      <c r="I53" s="77">
        <f>SUM(BL8:BW8)*SUP_CONTROL!$C$26</f>
        <v>454225.39131596655</v>
      </c>
      <c r="J53" s="77">
        <f>SUM(BX8:CI8)*SUP_CONTROL!$C$26</f>
        <v>441334.9160453353</v>
      </c>
      <c r="K53" s="77">
        <f>SUM(CJ8:CU8)*SUP_CONTROL!$C$26</f>
        <v>440460.9855185129</v>
      </c>
      <c r="L53" s="77">
        <f>SUM(CV8:DG8)*SUP_CONTROL!$C$26</f>
        <v>440460.9855185129</v>
      </c>
      <c r="M53" s="77">
        <f>SUM(DH8:DS8)*SUP_CONTROL!$C$26</f>
        <v>440460.9855185129</v>
      </c>
      <c r="N53" s="72">
        <f t="shared" ref="N53:N92" si="5">SUM(D53:M53)</f>
        <v>4020080.4233832527</v>
      </c>
    </row>
    <row r="54" spans="1:14" ht="15" customHeight="1" x14ac:dyDescent="0.2">
      <c r="A54" s="88">
        <v>12</v>
      </c>
      <c r="B54" s="37" t="str">
        <f t="shared" si="4"/>
        <v>V</v>
      </c>
      <c r="D54" s="77">
        <f>SUM(D9:O9)*SUP_CONTROL!$C$26</f>
        <v>0</v>
      </c>
      <c r="E54" s="77">
        <f>SUM(P9:AA9)*SUP_CONTROL!$C$26</f>
        <v>233776.41592500443</v>
      </c>
      <c r="F54" s="77">
        <f>SUM(AB9:AM9)*SUP_CONTROL!$C$26</f>
        <v>509064.53187407495</v>
      </c>
      <c r="G54" s="77">
        <f>SUM(AN9:AY9)*SUP_CONTROL!$C$26</f>
        <v>495518.60870832711</v>
      </c>
      <c r="H54" s="77">
        <f>SUM(AZ9:BK9)*SUP_CONTROL!$C$26</f>
        <v>477384.55027676135</v>
      </c>
      <c r="I54" s="77">
        <f>SUM(BL9:BW9)*SUP_CONTROL!$C$26</f>
        <v>454225.39131596655</v>
      </c>
      <c r="J54" s="77">
        <f>SUM(BX9:CI9)*SUP_CONTROL!$C$26</f>
        <v>441334.9160453353</v>
      </c>
      <c r="K54" s="77">
        <f>SUM(CJ9:CU9)*SUP_CONTROL!$C$26</f>
        <v>440460.9855185129</v>
      </c>
      <c r="L54" s="77">
        <f>SUM(CV9:DG9)*SUP_CONTROL!$C$26</f>
        <v>440460.9855185129</v>
      </c>
      <c r="M54" s="77">
        <f>SUM(DH9:DS9)*SUP_CONTROL!$C$26</f>
        <v>440460.9855185129</v>
      </c>
      <c r="N54" s="72">
        <f t="shared" si="5"/>
        <v>3932687.370701008</v>
      </c>
    </row>
    <row r="55" spans="1:14" ht="15" customHeight="1" x14ac:dyDescent="0.2">
      <c r="A55" s="88">
        <v>13</v>
      </c>
      <c r="B55" s="37" t="str">
        <f t="shared" si="4"/>
        <v>V</v>
      </c>
      <c r="D55" s="77">
        <f>SUM(D10:O10)*SUP_CONTROL!$C$26</f>
        <v>0</v>
      </c>
      <c r="E55" s="77">
        <f>SUM(P10:AA10)*SUP_CONTROL!$C$26</f>
        <v>190079.88958388209</v>
      </c>
      <c r="F55" s="77">
        <f>SUM(AB10:AM10)*SUP_CONTROL!$C$26</f>
        <v>509064.53187407495</v>
      </c>
      <c r="G55" s="77">
        <f>SUM(AN10:AY10)*SUP_CONTROL!$C$26</f>
        <v>495518.60870832711</v>
      </c>
      <c r="H55" s="77">
        <f>SUM(AZ10:BK10)*SUP_CONTROL!$C$26</f>
        <v>477384.55027676135</v>
      </c>
      <c r="I55" s="77">
        <f>SUM(BL10:BW10)*SUP_CONTROL!$C$26</f>
        <v>454225.39131596655</v>
      </c>
      <c r="J55" s="77">
        <f>SUM(BX10:CI10)*SUP_CONTROL!$C$26</f>
        <v>441334.9160453353</v>
      </c>
      <c r="K55" s="77">
        <f>SUM(CJ10:CU10)*SUP_CONTROL!$C$26</f>
        <v>440460.9855185129</v>
      </c>
      <c r="L55" s="77">
        <f>SUM(CV10:DG10)*SUP_CONTROL!$C$26</f>
        <v>440460.9855185129</v>
      </c>
      <c r="M55" s="77">
        <f>SUM(DH10:DS10)*SUP_CONTROL!$C$26</f>
        <v>440460.9855185129</v>
      </c>
      <c r="N55" s="72">
        <f t="shared" si="5"/>
        <v>3888990.8443598854</v>
      </c>
    </row>
    <row r="56" spans="1:14" ht="15" customHeight="1" x14ac:dyDescent="0.2">
      <c r="A56" s="88">
        <v>14</v>
      </c>
      <c r="B56" s="37" t="str">
        <f t="shared" si="4"/>
        <v>D</v>
      </c>
      <c r="D56" s="77">
        <f>SUM(D11:O11)*SUP_CONTROL!$C$26</f>
        <v>0</v>
      </c>
      <c r="E56" s="77">
        <f>SUM(P11:AA11)*SUP_CONTROL!$C$26</f>
        <v>0</v>
      </c>
      <c r="F56" s="77">
        <f>SUM(AB11:AM11)*SUP_CONTROL!$C$26</f>
        <v>402154.42570156814</v>
      </c>
      <c r="G56" s="77">
        <f>SUM(AN11:AY11)*SUP_CONTROL!$C$26</f>
        <v>644174.19132082514</v>
      </c>
      <c r="H56" s="77">
        <f>SUM(AZ11:BK11)*SUP_CONTROL!$C$26</f>
        <v>620599.91535978974</v>
      </c>
      <c r="I56" s="77">
        <f>SUM(BL11:BW11)*SUP_CONTROL!$C$26</f>
        <v>590493.00871075667</v>
      </c>
      <c r="J56" s="77">
        <f>SUM(BX11:CI11)*SUP_CONTROL!$C$26</f>
        <v>573735.39085893612</v>
      </c>
      <c r="K56" s="77">
        <f>SUM(CJ11:CU11)*SUP_CONTROL!$C$26</f>
        <v>572599.28117406694</v>
      </c>
      <c r="L56" s="77">
        <f>SUM(CV11:DG11)*SUP_CONTROL!$C$26</f>
        <v>572599.28117406694</v>
      </c>
      <c r="M56" s="77">
        <f>SUM(DH11:DS11)*SUP_CONTROL!$C$26</f>
        <v>572599.28117406694</v>
      </c>
      <c r="N56" s="72">
        <f t="shared" si="5"/>
        <v>4548954.7754740771</v>
      </c>
    </row>
    <row r="57" spans="1:14" ht="15" customHeight="1" x14ac:dyDescent="0.2">
      <c r="A57" s="88">
        <v>15</v>
      </c>
      <c r="B57" s="37" t="str">
        <f t="shared" si="4"/>
        <v>V</v>
      </c>
      <c r="D57" s="77">
        <f>SUM(D12:O12)*SUP_CONTROL!$C$26</f>
        <v>0</v>
      </c>
      <c r="E57" s="77">
        <f>SUM(P12:AA12)*SUP_CONTROL!$C$26</f>
        <v>0</v>
      </c>
      <c r="F57" s="77">
        <f>SUM(AB12:AM12)*SUP_CONTROL!$C$26</f>
        <v>266963.92768108682</v>
      </c>
      <c r="G57" s="77">
        <f>SUM(AN12:AY12)*SUP_CONTROL!$C$26</f>
        <v>495518.60870832711</v>
      </c>
      <c r="H57" s="77">
        <f>SUM(AZ12:BK12)*SUP_CONTROL!$C$26</f>
        <v>477384.55027676135</v>
      </c>
      <c r="I57" s="77">
        <f>SUM(BL12:BW12)*SUP_CONTROL!$C$26</f>
        <v>454225.39131596655</v>
      </c>
      <c r="J57" s="77">
        <f>SUM(BX12:CI12)*SUP_CONTROL!$C$26</f>
        <v>441334.9160453353</v>
      </c>
      <c r="K57" s="77">
        <f>SUM(CJ12:CU12)*SUP_CONTROL!$C$26</f>
        <v>440460.9855185129</v>
      </c>
      <c r="L57" s="77">
        <f>SUM(CV12:DG12)*SUP_CONTROL!$C$26</f>
        <v>440460.9855185129</v>
      </c>
      <c r="M57" s="77">
        <f>SUM(DH12:DS12)*SUP_CONTROL!$C$26</f>
        <v>440460.9855185129</v>
      </c>
      <c r="N57" s="72">
        <f t="shared" si="5"/>
        <v>3456810.3505830155</v>
      </c>
    </row>
    <row r="58" spans="1:14" ht="15" customHeight="1" x14ac:dyDescent="0.2">
      <c r="A58" s="88">
        <v>16</v>
      </c>
      <c r="B58" s="37" t="str">
        <f t="shared" si="4"/>
        <v>V</v>
      </c>
      <c r="D58" s="77">
        <f>SUM(D13:O13)*SUP_CONTROL!$C$26</f>
        <v>0</v>
      </c>
      <c r="E58" s="77">
        <f>SUM(P13:AA13)*SUP_CONTROL!$C$26</f>
        <v>0</v>
      </c>
      <c r="F58" s="77">
        <f>SUM(AB13:AM13)*SUP_CONTROL!$C$26</f>
        <v>182192.66657930953</v>
      </c>
      <c r="G58" s="77">
        <f>SUM(AN13:AY13)*SUP_CONTROL!$C$26</f>
        <v>495518.60870832711</v>
      </c>
      <c r="H58" s="77">
        <f>SUM(AZ13:BK13)*SUP_CONTROL!$C$26</f>
        <v>477384.55027676135</v>
      </c>
      <c r="I58" s="77">
        <f>SUM(BL13:BW13)*SUP_CONTROL!$C$26</f>
        <v>454225.39131596655</v>
      </c>
      <c r="J58" s="77">
        <f>SUM(BX13:CI13)*SUP_CONTROL!$C$26</f>
        <v>441334.9160453353</v>
      </c>
      <c r="K58" s="77">
        <f>SUM(CJ13:CU13)*SUP_CONTROL!$C$26</f>
        <v>440460.9855185129</v>
      </c>
      <c r="L58" s="77">
        <f>SUM(CV13:DG13)*SUP_CONTROL!$C$26</f>
        <v>440460.9855185129</v>
      </c>
      <c r="M58" s="77">
        <f>SUM(DH13:DS13)*SUP_CONTROL!$C$26</f>
        <v>440460.9855185129</v>
      </c>
      <c r="N58" s="72">
        <f t="shared" si="5"/>
        <v>3372039.0894812383</v>
      </c>
    </row>
    <row r="59" spans="1:14" ht="15" customHeight="1" x14ac:dyDescent="0.2">
      <c r="A59" s="88">
        <v>17</v>
      </c>
      <c r="B59" s="37" t="str">
        <f t="shared" si="4"/>
        <v>V</v>
      </c>
      <c r="D59" s="77">
        <f>SUM(D14:O14)*SUP_CONTROL!$C$26</f>
        <v>0</v>
      </c>
      <c r="E59" s="77">
        <f>SUM(P14:AA14)*SUP_CONTROL!$C$26</f>
        <v>0</v>
      </c>
      <c r="F59" s="77">
        <f>SUM(AB14:AM14)*SUP_CONTROL!$C$26</f>
        <v>139916.27734427367</v>
      </c>
      <c r="G59" s="77">
        <f>SUM(AN14:AY14)*SUP_CONTROL!$C$26</f>
        <v>495518.60870832711</v>
      </c>
      <c r="H59" s="77">
        <f>SUM(AZ14:BK14)*SUP_CONTROL!$C$26</f>
        <v>477384.55027676135</v>
      </c>
      <c r="I59" s="77">
        <f>SUM(BL14:BW14)*SUP_CONTROL!$C$26</f>
        <v>454225.39131596655</v>
      </c>
      <c r="J59" s="77">
        <f>SUM(BX14:CI14)*SUP_CONTROL!$C$26</f>
        <v>441334.9160453353</v>
      </c>
      <c r="K59" s="77">
        <f>SUM(CJ14:CU14)*SUP_CONTROL!$C$26</f>
        <v>440460.9855185129</v>
      </c>
      <c r="L59" s="77">
        <f>SUM(CV14:DG14)*SUP_CONTROL!$C$26</f>
        <v>440460.9855185129</v>
      </c>
      <c r="M59" s="77">
        <f>SUM(DH14:DS14)*SUP_CONTROL!$C$26</f>
        <v>440460.9855185129</v>
      </c>
      <c r="N59" s="72">
        <f t="shared" si="5"/>
        <v>3329762.7002462028</v>
      </c>
    </row>
    <row r="60" spans="1:14" ht="15" customHeight="1" x14ac:dyDescent="0.2">
      <c r="A60" s="88">
        <v>18</v>
      </c>
      <c r="B60" s="37" t="str">
        <f t="shared" si="4"/>
        <v>D</v>
      </c>
      <c r="D60" s="77">
        <f>SUM(D15:O15)*SUP_CONTROL!$C$26</f>
        <v>0</v>
      </c>
      <c r="E60" s="77">
        <f>SUM(P15:AA15)*SUP_CONTROL!$C$26</f>
        <v>0</v>
      </c>
      <c r="F60" s="77">
        <f>SUM(AB15:AM15)*SUP_CONTROL!$C$26</f>
        <v>34892.768696544699</v>
      </c>
      <c r="G60" s="77">
        <f>SUM(AN15:AY15)*SUP_CONTROL!$C$26</f>
        <v>628069.83653780457</v>
      </c>
      <c r="H60" s="77">
        <f>SUM(AZ15:BK15)*SUP_CONTROL!$C$26</f>
        <v>620599.91535978974</v>
      </c>
      <c r="I60" s="77">
        <f>SUM(BL15:BW15)*SUP_CONTROL!$C$26</f>
        <v>590493.00871075667</v>
      </c>
      <c r="J60" s="77">
        <f>SUM(BX15:CI15)*SUP_CONTROL!$C$26</f>
        <v>573735.39085893612</v>
      </c>
      <c r="K60" s="77">
        <f>SUM(CJ15:CU15)*SUP_CONTROL!$C$26</f>
        <v>572599.28117406694</v>
      </c>
      <c r="L60" s="77">
        <f>SUM(CV15:DG15)*SUP_CONTROL!$C$26</f>
        <v>572599.28117406694</v>
      </c>
      <c r="M60" s="77">
        <f>SUM(DH15:DS15)*SUP_CONTROL!$C$26</f>
        <v>572599.28117406694</v>
      </c>
      <c r="N60" s="72">
        <f t="shared" si="5"/>
        <v>4165588.7636860325</v>
      </c>
    </row>
    <row r="61" spans="1:14" ht="15" customHeight="1" x14ac:dyDescent="0.2">
      <c r="A61" s="88">
        <v>19</v>
      </c>
      <c r="B61" s="37" t="str">
        <f t="shared" si="4"/>
        <v>V</v>
      </c>
      <c r="D61" s="77">
        <f>SUM(D16:O16)*SUP_CONTROL!$C$26</f>
        <v>0</v>
      </c>
      <c r="E61" s="77">
        <f>SUM(P16:AA16)*SUP_CONTROL!$C$26</f>
        <v>0</v>
      </c>
      <c r="F61" s="77">
        <f>SUM(AB16:AM16)*SUP_CONTROL!$C$26</f>
        <v>0</v>
      </c>
      <c r="G61" s="77">
        <f>SUM(AN16:AY16)*SUP_CONTROL!$C$26</f>
        <v>468678.01740329264</v>
      </c>
      <c r="H61" s="77">
        <f>SUM(AZ16:BK16)*SUP_CONTROL!$C$26</f>
        <v>477384.55027676135</v>
      </c>
      <c r="I61" s="77">
        <f>SUM(BL16:BW16)*SUP_CONTROL!$C$26</f>
        <v>454225.39131596655</v>
      </c>
      <c r="J61" s="77">
        <f>SUM(BX16:CI16)*SUP_CONTROL!$C$26</f>
        <v>441334.9160453353</v>
      </c>
      <c r="K61" s="77">
        <f>SUM(CJ16:CU16)*SUP_CONTROL!$C$26</f>
        <v>440460.9855185129</v>
      </c>
      <c r="L61" s="77">
        <f>SUM(CV16:DG16)*SUP_CONTROL!$C$26</f>
        <v>440460.9855185129</v>
      </c>
      <c r="M61" s="77">
        <f>SUM(DH16:DS16)*SUP_CONTROL!$C$26</f>
        <v>440460.9855185129</v>
      </c>
      <c r="N61" s="72">
        <f t="shared" si="5"/>
        <v>3163005.8315968942</v>
      </c>
    </row>
    <row r="62" spans="1:14" ht="15" customHeight="1" x14ac:dyDescent="0.2">
      <c r="A62" s="88">
        <v>20</v>
      </c>
      <c r="B62" s="37" t="str">
        <f t="shared" si="4"/>
        <v>V</v>
      </c>
      <c r="D62" s="77">
        <f>SUM(D17:O17)*SUP_CONTROL!$C$26</f>
        <v>0</v>
      </c>
      <c r="E62" s="77">
        <f>SUM(P17:AA17)*SUP_CONTROL!$C$26</f>
        <v>0</v>
      </c>
      <c r="F62" s="77">
        <f>SUM(AB17:AM17)*SUP_CONTROL!$C$26</f>
        <v>0</v>
      </c>
      <c r="G62" s="77">
        <f>SUM(AN17:AY17)*SUP_CONTROL!$C$26</f>
        <v>427384.80001093203</v>
      </c>
      <c r="H62" s="77">
        <f>SUM(AZ17:BK17)*SUP_CONTROL!$C$26</f>
        <v>477384.55027676135</v>
      </c>
      <c r="I62" s="77">
        <f>SUM(BL17:BW17)*SUP_CONTROL!$C$26</f>
        <v>454225.39131596655</v>
      </c>
      <c r="J62" s="77">
        <f>SUM(BX17:CI17)*SUP_CONTROL!$C$26</f>
        <v>441334.9160453353</v>
      </c>
      <c r="K62" s="77">
        <f>SUM(CJ17:CU17)*SUP_CONTROL!$C$26</f>
        <v>440460.9855185129</v>
      </c>
      <c r="L62" s="77">
        <f>SUM(CV17:DG17)*SUP_CONTROL!$C$26</f>
        <v>440460.9855185129</v>
      </c>
      <c r="M62" s="77">
        <f>SUM(DH17:DS17)*SUP_CONTROL!$C$26</f>
        <v>440460.9855185129</v>
      </c>
      <c r="N62" s="72">
        <f t="shared" si="5"/>
        <v>3121712.6142045339</v>
      </c>
    </row>
    <row r="63" spans="1:14" ht="15" customHeight="1" x14ac:dyDescent="0.2">
      <c r="A63" s="88">
        <v>21</v>
      </c>
      <c r="B63" s="37" t="str">
        <f t="shared" si="4"/>
        <v>V</v>
      </c>
      <c r="D63" s="77">
        <f>SUM(D18:O18)*SUP_CONTROL!$C$26</f>
        <v>0</v>
      </c>
      <c r="E63" s="77">
        <f>SUM(P18:AA18)*SUP_CONTROL!$C$26</f>
        <v>0</v>
      </c>
      <c r="F63" s="77">
        <f>SUM(AB18:AM18)*SUP_CONTROL!$C$26</f>
        <v>0</v>
      </c>
      <c r="G63" s="77">
        <f>SUM(AN18:AY18)*SUP_CONTROL!$C$26</f>
        <v>386091.58261857147</v>
      </c>
      <c r="H63" s="77">
        <f>SUM(AZ18:BK18)*SUP_CONTROL!$C$26</f>
        <v>477384.55027676135</v>
      </c>
      <c r="I63" s="77">
        <f>SUM(BL18:BW18)*SUP_CONTROL!$C$26</f>
        <v>454225.39131596655</v>
      </c>
      <c r="J63" s="77">
        <f>SUM(BX18:CI18)*SUP_CONTROL!$C$26</f>
        <v>441334.9160453353</v>
      </c>
      <c r="K63" s="77">
        <f>SUM(CJ18:CU18)*SUP_CONTROL!$C$26</f>
        <v>440460.9855185129</v>
      </c>
      <c r="L63" s="77">
        <f>SUM(CV18:DG18)*SUP_CONTROL!$C$26</f>
        <v>440460.9855185129</v>
      </c>
      <c r="M63" s="77">
        <f>SUM(DH18:DS18)*SUP_CONTROL!$C$26</f>
        <v>440460.9855185129</v>
      </c>
      <c r="N63" s="72">
        <f t="shared" si="5"/>
        <v>3080419.3968121731</v>
      </c>
    </row>
    <row r="64" spans="1:14" ht="15" customHeight="1" x14ac:dyDescent="0.2">
      <c r="A64" s="88">
        <v>22</v>
      </c>
      <c r="B64" s="37" t="str">
        <f t="shared" si="4"/>
        <v>D</v>
      </c>
      <c r="D64" s="77">
        <f>SUM(D19:O19)*SUP_CONTROL!$C$26</f>
        <v>0</v>
      </c>
      <c r="E64" s="77">
        <f>SUM(P19:AA19)*SUP_CONTROL!$C$26</f>
        <v>0</v>
      </c>
      <c r="F64" s="77">
        <f>SUM(AB19:AM19)*SUP_CONTROL!$C$26</f>
        <v>0</v>
      </c>
      <c r="G64" s="77">
        <f>SUM(AN19:AY19)*SUP_CONTROL!$C$26</f>
        <v>394556.69218400546</v>
      </c>
      <c r="H64" s="77">
        <f>SUM(AZ19:BK19)*SUP_CONTROL!$C$26</f>
        <v>620599.91535978974</v>
      </c>
      <c r="I64" s="77">
        <f>SUM(BL19:BW19)*SUP_CONTROL!$C$26</f>
        <v>590493.00871075667</v>
      </c>
      <c r="J64" s="77">
        <f>SUM(BX19:CI19)*SUP_CONTROL!$C$26</f>
        <v>573735.39085893612</v>
      </c>
      <c r="K64" s="77">
        <f>SUM(CJ19:CU19)*SUP_CONTROL!$C$26</f>
        <v>572599.28117406694</v>
      </c>
      <c r="L64" s="77">
        <f>SUM(CV19:DG19)*SUP_CONTROL!$C$26</f>
        <v>572599.28117406694</v>
      </c>
      <c r="M64" s="77">
        <f>SUM(DH19:DS19)*SUP_CONTROL!$C$26</f>
        <v>572599.28117406694</v>
      </c>
      <c r="N64" s="72">
        <f t="shared" si="5"/>
        <v>3897182.8506356888</v>
      </c>
    </row>
    <row r="65" spans="1:14" ht="15" customHeight="1" x14ac:dyDescent="0.2">
      <c r="A65" s="88">
        <v>23</v>
      </c>
      <c r="B65" s="37" t="str">
        <f t="shared" si="4"/>
        <v>V</v>
      </c>
      <c r="D65" s="77">
        <f>SUM(D20:O20)*SUP_CONTROL!$C$26</f>
        <v>0</v>
      </c>
      <c r="E65" s="77">
        <f>SUM(P20:AA20)*SUP_CONTROL!$C$26</f>
        <v>0</v>
      </c>
      <c r="F65" s="77">
        <f>SUM(AB20:AM20)*SUP_CONTROL!$C$26</f>
        <v>0</v>
      </c>
      <c r="G65" s="77">
        <f>SUM(AN20:AY20)*SUP_CONTROL!$C$26</f>
        <v>220918.71304912918</v>
      </c>
      <c r="H65" s="77">
        <f>SUM(AZ20:BK20)*SUP_CONTROL!$C$26</f>
        <v>477384.55027676135</v>
      </c>
      <c r="I65" s="77">
        <f>SUM(BL20:BW20)*SUP_CONTROL!$C$26</f>
        <v>454225.39131596655</v>
      </c>
      <c r="J65" s="77">
        <f>SUM(BX20:CI20)*SUP_CONTROL!$C$26</f>
        <v>441334.9160453353</v>
      </c>
      <c r="K65" s="77">
        <f>SUM(CJ20:CU20)*SUP_CONTROL!$C$26</f>
        <v>440460.9855185129</v>
      </c>
      <c r="L65" s="77">
        <f>SUM(CV20:DG20)*SUP_CONTROL!$C$26</f>
        <v>440460.9855185129</v>
      </c>
      <c r="M65" s="77">
        <f>SUM(DH20:DS20)*SUP_CONTROL!$C$26</f>
        <v>440460.9855185129</v>
      </c>
      <c r="N65" s="72">
        <f t="shared" si="5"/>
        <v>2915246.5272427308</v>
      </c>
    </row>
    <row r="66" spans="1:14" ht="15" customHeight="1" x14ac:dyDescent="0.2">
      <c r="A66" s="88">
        <v>24</v>
      </c>
      <c r="B66" s="37" t="str">
        <f t="shared" si="4"/>
        <v>V</v>
      </c>
      <c r="D66" s="77">
        <f>SUM(D21:O21)*SUP_CONTROL!$C$26</f>
        <v>0</v>
      </c>
      <c r="E66" s="77">
        <f>SUM(P21:AA21)*SUP_CONTROL!$C$26</f>
        <v>0</v>
      </c>
      <c r="F66" s="77">
        <f>SUM(AB21:AM21)*SUP_CONTROL!$C$26</f>
        <v>0</v>
      </c>
      <c r="G66" s="77">
        <f>SUM(AN21:AY21)*SUP_CONTROL!$C$26</f>
        <v>179625.49565676859</v>
      </c>
      <c r="H66" s="77">
        <f>SUM(AZ21:BK21)*SUP_CONTROL!$C$26</f>
        <v>477384.55027676135</v>
      </c>
      <c r="I66" s="77">
        <f>SUM(BL21:BW21)*SUP_CONTROL!$C$26</f>
        <v>454225.39131596655</v>
      </c>
      <c r="J66" s="77">
        <f>SUM(BX21:CI21)*SUP_CONTROL!$C$26</f>
        <v>441334.9160453353</v>
      </c>
      <c r="K66" s="77">
        <f>SUM(CJ21:CU21)*SUP_CONTROL!$C$26</f>
        <v>440460.9855185129</v>
      </c>
      <c r="L66" s="77">
        <f>SUM(CV21:DG21)*SUP_CONTROL!$C$26</f>
        <v>440460.9855185129</v>
      </c>
      <c r="M66" s="77">
        <f>SUM(DH21:DS21)*SUP_CONTROL!$C$26</f>
        <v>440460.9855185129</v>
      </c>
      <c r="N66" s="72">
        <f t="shared" si="5"/>
        <v>2873953.3098503705</v>
      </c>
    </row>
    <row r="67" spans="1:14" ht="15" customHeight="1" x14ac:dyDescent="0.2">
      <c r="A67" s="88">
        <v>25</v>
      </c>
      <c r="B67" s="37" t="str">
        <f t="shared" si="4"/>
        <v>F</v>
      </c>
      <c r="D67" s="77">
        <f>SUM(D22:O22)*SUP_CONTROL!$C$26</f>
        <v>0</v>
      </c>
      <c r="E67" s="77">
        <f>SUM(P22:AA22)*SUP_CONTROL!$C$26</f>
        <v>0</v>
      </c>
      <c r="F67" s="77">
        <f>SUM(AB22:AM22)*SUP_CONTROL!$C$26</f>
        <v>0</v>
      </c>
      <c r="G67" s="77">
        <f>SUM(AN22:AY22)*SUP_CONTROL!$C$26</f>
        <v>0</v>
      </c>
      <c r="H67" s="77">
        <f>SUM(AZ22:BK22)*SUP_CONTROL!$C$26</f>
        <v>578891.58096718846</v>
      </c>
      <c r="I67" s="77">
        <f>SUM(BL22:BW22)*SUP_CONTROL!$C$26</f>
        <v>908450.78263193311</v>
      </c>
      <c r="J67" s="77">
        <f>SUM(BX22:CI22)*SUP_CONTROL!$C$26</f>
        <v>882669.83209067059</v>
      </c>
      <c r="K67" s="77">
        <f>SUM(CJ22:CU22)*SUP_CONTROL!$C$26</f>
        <v>880921.9710370258</v>
      </c>
      <c r="L67" s="77">
        <f>SUM(CV22:DG22)*SUP_CONTROL!$C$26</f>
        <v>880921.9710370258</v>
      </c>
      <c r="M67" s="77">
        <f>SUM(DH22:DS22)*SUP_CONTROL!$C$26</f>
        <v>880921.9710370258</v>
      </c>
      <c r="N67" s="72">
        <f t="shared" si="5"/>
        <v>5012778.1088008694</v>
      </c>
    </row>
    <row r="68" spans="1:14" ht="15" customHeight="1" x14ac:dyDescent="0.2">
      <c r="A68" s="88">
        <v>26</v>
      </c>
      <c r="B68" s="37" t="str">
        <f t="shared" si="4"/>
        <v>V</v>
      </c>
      <c r="D68" s="77">
        <f>SUM(D23:O23)*SUP_CONTROL!$C$26</f>
        <v>0</v>
      </c>
      <c r="E68" s="77">
        <f>SUM(P23:AA23)*SUP_CONTROL!$C$26</f>
        <v>0</v>
      </c>
      <c r="F68" s="77">
        <f>SUM(AB23:AM23)*SUP_CONTROL!$C$26</f>
        <v>0</v>
      </c>
      <c r="G68" s="77">
        <f>SUM(AN23:AY23)*SUP_CONTROL!$C$26</f>
        <v>0</v>
      </c>
      <c r="H68" s="77">
        <f>SUM(AZ23:BK23)*SUP_CONTROL!$C$26</f>
        <v>249419.77235512619</v>
      </c>
      <c r="I68" s="77">
        <f>SUM(BL23:BW23)*SUP_CONTROL!$C$26</f>
        <v>454225.39131596655</v>
      </c>
      <c r="J68" s="77">
        <f>SUM(BX23:CI23)*SUP_CONTROL!$C$26</f>
        <v>441334.9160453353</v>
      </c>
      <c r="K68" s="77">
        <f>SUM(CJ23:CU23)*SUP_CONTROL!$C$26</f>
        <v>440460.9855185129</v>
      </c>
      <c r="L68" s="77">
        <f>SUM(CV23:DG23)*SUP_CONTROL!$C$26</f>
        <v>440460.9855185129</v>
      </c>
      <c r="M68" s="77">
        <f>SUM(DH23:DS23)*SUP_CONTROL!$C$26</f>
        <v>440460.9855185129</v>
      </c>
      <c r="N68" s="72">
        <f t="shared" si="5"/>
        <v>2466363.0362719665</v>
      </c>
    </row>
    <row r="69" spans="1:14" ht="15" customHeight="1" x14ac:dyDescent="0.2">
      <c r="A69" s="88">
        <v>27</v>
      </c>
      <c r="B69" s="37" t="str">
        <f t="shared" si="4"/>
        <v>D</v>
      </c>
      <c r="D69" s="77">
        <f>SUM(D24:O24)*SUP_CONTROL!$C$26</f>
        <v>0</v>
      </c>
      <c r="E69" s="77">
        <f>SUM(P24:AA24)*SUP_CONTROL!$C$26</f>
        <v>0</v>
      </c>
      <c r="F69" s="77">
        <f>SUM(AB24:AM24)*SUP_CONTROL!$C$26</f>
        <v>0</v>
      </c>
      <c r="G69" s="77">
        <f>SUM(AN24:AY24)*SUP_CONTROL!$C$26</f>
        <v>0</v>
      </c>
      <c r="H69" s="77">
        <f>SUM(AZ24:BK24)*SUP_CONTROL!$C$26</f>
        <v>272382.296947386</v>
      </c>
      <c r="I69" s="77">
        <f>SUM(BL24:BW24)*SUP_CONTROL!$C$26</f>
        <v>590493.00871075667</v>
      </c>
      <c r="J69" s="77">
        <f>SUM(BX24:CI24)*SUP_CONTROL!$C$26</f>
        <v>573735.39085893612</v>
      </c>
      <c r="K69" s="77">
        <f>SUM(CJ24:CU24)*SUP_CONTROL!$C$26</f>
        <v>572599.28117406694</v>
      </c>
      <c r="L69" s="77">
        <f>SUM(CV24:DG24)*SUP_CONTROL!$C$26</f>
        <v>572599.28117406694</v>
      </c>
      <c r="M69" s="77">
        <f>SUM(DH24:DS24)*SUP_CONTROL!$C$26</f>
        <v>572599.28117406694</v>
      </c>
      <c r="N69" s="72">
        <f t="shared" si="5"/>
        <v>3154408.5400392795</v>
      </c>
    </row>
    <row r="70" spans="1:14" ht="15" customHeight="1" x14ac:dyDescent="0.2">
      <c r="A70" s="88">
        <v>28</v>
      </c>
      <c r="B70" s="37" t="str">
        <f t="shared" si="4"/>
        <v>V</v>
      </c>
      <c r="D70" s="77">
        <f>SUM(D25:O25)*SUP_CONTROL!$C$26</f>
        <v>0</v>
      </c>
      <c r="E70" s="77">
        <f>SUM(P25:AA25)*SUP_CONTROL!$C$26</f>
        <v>0</v>
      </c>
      <c r="F70" s="77">
        <f>SUM(AB25:AM25)*SUP_CONTROL!$C$26</f>
        <v>0</v>
      </c>
      <c r="G70" s="77">
        <f>SUM(AN25:AY25)*SUP_CONTROL!$C$26</f>
        <v>0</v>
      </c>
      <c r="H70" s="77">
        <f>SUM(AZ25:BK25)*SUP_CONTROL!$C$26</f>
        <v>170197.97009867145</v>
      </c>
      <c r="I70" s="77">
        <f>SUM(BL25:BW25)*SUP_CONTROL!$C$26</f>
        <v>454225.39131596655</v>
      </c>
      <c r="J70" s="77">
        <f>SUM(BX25:CI25)*SUP_CONTROL!$C$26</f>
        <v>441334.9160453353</v>
      </c>
      <c r="K70" s="77">
        <f>SUM(CJ25:CU25)*SUP_CONTROL!$C$26</f>
        <v>440460.9855185129</v>
      </c>
      <c r="L70" s="77">
        <f>SUM(CV25:DG25)*SUP_CONTROL!$C$26</f>
        <v>440460.9855185129</v>
      </c>
      <c r="M70" s="77">
        <f>SUM(DH25:DS25)*SUP_CONTROL!$C$26</f>
        <v>440460.9855185129</v>
      </c>
      <c r="N70" s="72">
        <f t="shared" si="5"/>
        <v>2387141.2340155118</v>
      </c>
    </row>
    <row r="71" spans="1:14" ht="15" customHeight="1" x14ac:dyDescent="0.2">
      <c r="A71" s="88">
        <v>29</v>
      </c>
      <c r="B71" s="37" t="str">
        <f t="shared" si="4"/>
        <v>V</v>
      </c>
      <c r="D71" s="77">
        <f>SUM(D26:O26)*SUP_CONTROL!$C$26</f>
        <v>0</v>
      </c>
      <c r="E71" s="77">
        <f>SUM(P26:AA26)*SUP_CONTROL!$C$26</f>
        <v>0</v>
      </c>
      <c r="F71" s="77">
        <f>SUM(AB26:AM26)*SUP_CONTROL!$C$26</f>
        <v>0</v>
      </c>
      <c r="G71" s="77">
        <f>SUM(AN26:AY26)*SUP_CONTROL!$C$26</f>
        <v>0</v>
      </c>
      <c r="H71" s="77">
        <f>SUM(AZ26:BK26)*SUP_CONTROL!$C$26</f>
        <v>130871.09639166135</v>
      </c>
      <c r="I71" s="77">
        <f>SUM(BL26:BW26)*SUP_CONTROL!$C$26</f>
        <v>454225.39131596655</v>
      </c>
      <c r="J71" s="77">
        <f>SUM(BX26:CI26)*SUP_CONTROL!$C$26</f>
        <v>441334.9160453353</v>
      </c>
      <c r="K71" s="77">
        <f>SUM(CJ26:CU26)*SUP_CONTROL!$C$26</f>
        <v>440460.9855185129</v>
      </c>
      <c r="L71" s="77">
        <f>SUM(CV26:DG26)*SUP_CONTROL!$C$26</f>
        <v>440460.9855185129</v>
      </c>
      <c r="M71" s="77">
        <f>SUM(DH26:DS26)*SUP_CONTROL!$C$26</f>
        <v>440460.9855185129</v>
      </c>
      <c r="N71" s="72">
        <f t="shared" si="5"/>
        <v>2347814.3603085019</v>
      </c>
    </row>
    <row r="72" spans="1:14" ht="15" customHeight="1" x14ac:dyDescent="0.2">
      <c r="A72" s="88">
        <v>30</v>
      </c>
      <c r="B72" s="37" t="str">
        <f t="shared" si="4"/>
        <v>V</v>
      </c>
      <c r="D72" s="77">
        <f>SUM(D27:O27)*SUP_CONTROL!$C$26</f>
        <v>0</v>
      </c>
      <c r="E72" s="77">
        <f>SUM(P27:AA27)*SUP_CONTROL!$C$26</f>
        <v>0</v>
      </c>
      <c r="F72" s="77">
        <f>SUM(AB27:AM27)*SUP_CONTROL!$C$26</f>
        <v>0</v>
      </c>
      <c r="G72" s="77">
        <f>SUM(AN27:AY27)*SUP_CONTROL!$C$26</f>
        <v>0</v>
      </c>
      <c r="H72" s="77">
        <f>SUM(AZ27:BK27)*SUP_CONTROL!$C$26</f>
        <v>91631.615737333501</v>
      </c>
      <c r="I72" s="77">
        <f>SUM(BL27:BW27)*SUP_CONTROL!$C$26</f>
        <v>454225.39131596655</v>
      </c>
      <c r="J72" s="77">
        <f>SUM(BX27:CI27)*SUP_CONTROL!$C$26</f>
        <v>441334.9160453353</v>
      </c>
      <c r="K72" s="77">
        <f>SUM(CJ27:CU27)*SUP_CONTROL!$C$26</f>
        <v>440460.9855185129</v>
      </c>
      <c r="L72" s="77">
        <f>SUM(CV27:DG27)*SUP_CONTROL!$C$26</f>
        <v>440460.9855185129</v>
      </c>
      <c r="M72" s="77">
        <f>SUM(DH27:DS27)*SUP_CONTROL!$C$26</f>
        <v>440460.9855185129</v>
      </c>
      <c r="N72" s="72">
        <f t="shared" si="5"/>
        <v>2308574.8796541737</v>
      </c>
    </row>
    <row r="73" spans="1:14" ht="15" customHeight="1" x14ac:dyDescent="0.2">
      <c r="A73" s="88">
        <v>31</v>
      </c>
      <c r="B73" s="37" t="str">
        <f t="shared" si="4"/>
        <v>D</v>
      </c>
      <c r="D73" s="77">
        <f>SUM(D28:O28)*SUP_CONTROL!$C$26</f>
        <v>0</v>
      </c>
      <c r="E73" s="77">
        <f>SUM(P28:AA28)*SUP_CONTROL!$C$26</f>
        <v>0</v>
      </c>
      <c r="F73" s="77">
        <f>SUM(AB28:AM28)*SUP_CONTROL!$C$26</f>
        <v>0</v>
      </c>
      <c r="G73" s="77">
        <f>SUM(AN28:AY28)*SUP_CONTROL!$C$26</f>
        <v>0</v>
      </c>
      <c r="H73" s="77">
        <f>SUM(AZ28:BK28)*SUP_CONTROL!$C$26</f>
        <v>73222.269189818689</v>
      </c>
      <c r="I73" s="77">
        <f>SUM(BL28:BW28)*SUP_CONTROL!$C$26</f>
        <v>585494.12609733222</v>
      </c>
      <c r="J73" s="77">
        <f>SUM(BX28:CI28)*SUP_CONTROL!$C$26</f>
        <v>573735.39085893612</v>
      </c>
      <c r="K73" s="77">
        <f>SUM(CJ28:CU28)*SUP_CONTROL!$C$26</f>
        <v>572599.28117406694</v>
      </c>
      <c r="L73" s="77">
        <f>SUM(CV28:DG28)*SUP_CONTROL!$C$26</f>
        <v>572599.28117406694</v>
      </c>
      <c r="M73" s="77">
        <f>SUM(DH28:DS28)*SUP_CONTROL!$C$26</f>
        <v>572599.28117406694</v>
      </c>
      <c r="N73" s="72">
        <f t="shared" si="5"/>
        <v>2950249.6296682879</v>
      </c>
    </row>
    <row r="74" spans="1:14" ht="15" customHeight="1" x14ac:dyDescent="0.2">
      <c r="A74" s="88">
        <v>32</v>
      </c>
      <c r="B74" s="37" t="str">
        <f t="shared" si="4"/>
        <v>V</v>
      </c>
      <c r="D74" s="77">
        <f>SUM(D29:O29)*SUP_CONTROL!$C$26</f>
        <v>0</v>
      </c>
      <c r="E74" s="77">
        <f>SUM(P29:AA29)*SUP_CONTROL!$C$26</f>
        <v>0</v>
      </c>
      <c r="F74" s="77">
        <f>SUM(AB29:AM29)*SUP_CONTROL!$C$26</f>
        <v>0</v>
      </c>
      <c r="G74" s="77">
        <f>SUM(AN29:AY29)*SUP_CONTROL!$C$26</f>
        <v>0</v>
      </c>
      <c r="H74" s="77">
        <f>SUM(AZ29:BK29)*SUP_CONTROL!$C$26</f>
        <v>24994.413067121968</v>
      </c>
      <c r="I74" s="77">
        <f>SUM(BL29:BW29)*SUP_CONTROL!$C$26</f>
        <v>442689.5083619103</v>
      </c>
      <c r="J74" s="77">
        <f>SUM(BX29:CI29)*SUP_CONTROL!$C$26</f>
        <v>441334.9160453353</v>
      </c>
      <c r="K74" s="77">
        <f>SUM(CJ29:CU29)*SUP_CONTROL!$C$26</f>
        <v>440460.9855185129</v>
      </c>
      <c r="L74" s="77">
        <f>SUM(CV29:DG29)*SUP_CONTROL!$C$26</f>
        <v>440460.9855185129</v>
      </c>
      <c r="M74" s="77">
        <f>SUM(DH29:DS29)*SUP_CONTROL!$C$26</f>
        <v>440460.9855185129</v>
      </c>
      <c r="N74" s="72">
        <f t="shared" si="5"/>
        <v>2230401.7940299059</v>
      </c>
    </row>
    <row r="75" spans="1:14" ht="15" customHeight="1" x14ac:dyDescent="0.2">
      <c r="A75" s="88">
        <v>33</v>
      </c>
      <c r="B75" s="37" t="str">
        <f t="shared" si="4"/>
        <v>V</v>
      </c>
      <c r="D75" s="77">
        <f>SUM(D30:O30)*SUP_CONTROL!$C$26</f>
        <v>0</v>
      </c>
      <c r="E75" s="77">
        <f>SUM(P30:AA30)*SUP_CONTROL!$C$26</f>
        <v>0</v>
      </c>
      <c r="F75" s="77">
        <f>SUM(AB30:AM30)*SUP_CONTROL!$C$26</f>
        <v>0</v>
      </c>
      <c r="G75" s="77">
        <f>SUM(AN30:AY30)*SUP_CONTROL!$C$26</f>
        <v>0</v>
      </c>
      <c r="H75" s="77">
        <f>SUM(AZ30:BK30)*SUP_CONTROL!$C$26</f>
        <v>0</v>
      </c>
      <c r="I75" s="77">
        <f>SUM(BL30:BW30)*SUP_CONTROL!$C$26</f>
        <v>429230.97824884462</v>
      </c>
      <c r="J75" s="77">
        <f>SUM(BX30:CI30)*SUP_CONTROL!$C$26</f>
        <v>441334.9160453353</v>
      </c>
      <c r="K75" s="77">
        <f>SUM(CJ30:CU30)*SUP_CONTROL!$C$26</f>
        <v>440460.9855185129</v>
      </c>
      <c r="L75" s="77">
        <f>SUM(CV30:DG30)*SUP_CONTROL!$C$26</f>
        <v>440460.9855185129</v>
      </c>
      <c r="M75" s="77">
        <f>SUM(DH30:DS30)*SUP_CONTROL!$C$26</f>
        <v>440460.9855185129</v>
      </c>
      <c r="N75" s="72">
        <f t="shared" si="5"/>
        <v>2191948.8508497183</v>
      </c>
    </row>
    <row r="76" spans="1:14" ht="15" customHeight="1" x14ac:dyDescent="0.2">
      <c r="A76" s="88">
        <v>34</v>
      </c>
      <c r="B76" s="37" t="str">
        <f t="shared" si="4"/>
        <v>V</v>
      </c>
      <c r="D76" s="77">
        <f>SUM(D31:O31)*SUP_CONTROL!$C$26</f>
        <v>0</v>
      </c>
      <c r="E76" s="77">
        <f>SUM(P31:AA31)*SUP_CONTROL!$C$26</f>
        <v>0</v>
      </c>
      <c r="F76" s="77">
        <f>SUM(AB31:AM31)*SUP_CONTROL!$C$26</f>
        <v>0</v>
      </c>
      <c r="G76" s="77">
        <f>SUM(AN31:AY31)*SUP_CONTROL!$C$26</f>
        <v>0</v>
      </c>
      <c r="H76" s="77">
        <f>SUM(AZ31:BK31)*SUP_CONTROL!$C$26</f>
        <v>0</v>
      </c>
      <c r="I76" s="77">
        <f>SUM(BL31:BW31)*SUP_CONTROL!$C$26</f>
        <v>390778.03506865696</v>
      </c>
      <c r="J76" s="77">
        <f>SUM(BX31:CI31)*SUP_CONTROL!$C$26</f>
        <v>441334.9160453353</v>
      </c>
      <c r="K76" s="77">
        <f>SUM(CJ31:CU31)*SUP_CONTROL!$C$26</f>
        <v>440460.9855185129</v>
      </c>
      <c r="L76" s="77">
        <f>SUM(CV31:DG31)*SUP_CONTROL!$C$26</f>
        <v>440460.9855185129</v>
      </c>
      <c r="M76" s="77">
        <f>SUM(DH31:DS31)*SUP_CONTROL!$C$26</f>
        <v>440460.9855185129</v>
      </c>
      <c r="N76" s="72">
        <f t="shared" si="5"/>
        <v>2153495.9076695307</v>
      </c>
    </row>
    <row r="77" spans="1:14" ht="15" customHeight="1" x14ac:dyDescent="0.2">
      <c r="A77" s="88">
        <v>35</v>
      </c>
      <c r="B77" s="37" t="str">
        <f t="shared" si="4"/>
        <v>D</v>
      </c>
      <c r="D77" s="77">
        <f>SUM(D32:O32)*SUP_CONTROL!$C$26</f>
        <v>0</v>
      </c>
      <c r="E77" s="77">
        <f>SUM(P32:AA32)*SUP_CONTROL!$C$26</f>
        <v>0</v>
      </c>
      <c r="F77" s="77">
        <f>SUM(AB32:AM32)*SUP_CONTROL!$C$26</f>
        <v>0</v>
      </c>
      <c r="G77" s="77">
        <f>SUM(AN32:AY32)*SUP_CONTROL!$C$26</f>
        <v>0</v>
      </c>
      <c r="H77" s="77">
        <f>SUM(AZ32:BK32)*SUP_CONTROL!$C$26</f>
        <v>0</v>
      </c>
      <c r="I77" s="77">
        <f>SUM(BL32:BW32)*SUP_CONTROL!$C$26</f>
        <v>458107.82768137526</v>
      </c>
      <c r="J77" s="77">
        <f>SUM(BX32:CI32)*SUP_CONTROL!$C$26</f>
        <v>573735.39085893612</v>
      </c>
      <c r="K77" s="77">
        <f>SUM(CJ32:CU32)*SUP_CONTROL!$C$26</f>
        <v>572599.28117406694</v>
      </c>
      <c r="L77" s="77">
        <f>SUM(CV32:DG32)*SUP_CONTROL!$C$26</f>
        <v>572599.28117406694</v>
      </c>
      <c r="M77" s="77">
        <f>SUM(DH32:DS32)*SUP_CONTROL!$C$26</f>
        <v>572599.28117406694</v>
      </c>
      <c r="N77" s="72">
        <f t="shared" si="5"/>
        <v>2749641.0620625122</v>
      </c>
    </row>
    <row r="78" spans="1:14" ht="15" customHeight="1" x14ac:dyDescent="0.2">
      <c r="A78" s="88">
        <v>36</v>
      </c>
      <c r="B78" s="37" t="str">
        <f t="shared" si="4"/>
        <v>V</v>
      </c>
      <c r="D78" s="77">
        <f>SUM(D33:O33)*SUP_CONTROL!$C$26</f>
        <v>0</v>
      </c>
      <c r="E78" s="77">
        <f>SUM(P33:AA33)*SUP_CONTROL!$C$26</f>
        <v>0</v>
      </c>
      <c r="F78" s="77">
        <f>SUM(AB33:AM33)*SUP_CONTROL!$C$26</f>
        <v>0</v>
      </c>
      <c r="G78" s="77">
        <f>SUM(AN33:AY33)*SUP_CONTROL!$C$26</f>
        <v>0</v>
      </c>
      <c r="H78" s="77">
        <f>SUM(AZ33:BK33)*SUP_CONTROL!$C$26</f>
        <v>0</v>
      </c>
      <c r="I78" s="77">
        <f>SUM(BL33:BW33)*SUP_CONTROL!$C$26</f>
        <v>314068.7830768167</v>
      </c>
      <c r="J78" s="77">
        <f>SUM(BX33:CI33)*SUP_CONTROL!$C$26</f>
        <v>441334.9160453353</v>
      </c>
      <c r="K78" s="77">
        <f>SUM(CJ33:CU33)*SUP_CONTROL!$C$26</f>
        <v>440460.9855185129</v>
      </c>
      <c r="L78" s="77">
        <f>SUM(CV33:DG33)*SUP_CONTROL!$C$26</f>
        <v>440460.9855185129</v>
      </c>
      <c r="M78" s="77">
        <f>SUM(DH33:DS33)*SUP_CONTROL!$C$26</f>
        <v>440460.9855185129</v>
      </c>
      <c r="N78" s="72">
        <f t="shared" si="5"/>
        <v>2076786.6556776906</v>
      </c>
    </row>
    <row r="79" spans="1:14" ht="15" customHeight="1" x14ac:dyDescent="0.2">
      <c r="A79" s="88">
        <v>37</v>
      </c>
      <c r="B79" s="37" t="str">
        <f t="shared" si="4"/>
        <v>V</v>
      </c>
      <c r="D79" s="77">
        <f>SUM(D34:O34)*SUP_CONTROL!$C$26</f>
        <v>0</v>
      </c>
      <c r="E79" s="77">
        <f>SUM(P34:AA34)*SUP_CONTROL!$C$26</f>
        <v>0</v>
      </c>
      <c r="F79" s="77">
        <f>SUM(AB34:AM34)*SUP_CONTROL!$C$26</f>
        <v>0</v>
      </c>
      <c r="G79" s="77">
        <f>SUM(AN34:AY34)*SUP_CONTROL!$C$26</f>
        <v>0</v>
      </c>
      <c r="H79" s="77">
        <f>SUM(AZ34:BK34)*SUP_CONTROL!$C$26</f>
        <v>0</v>
      </c>
      <c r="I79" s="77">
        <f>SUM(BL34:BW34)*SUP_CONTROL!$C$26</f>
        <v>275845.24665991991</v>
      </c>
      <c r="J79" s="77">
        <f>SUM(BX34:CI34)*SUP_CONTROL!$C$26</f>
        <v>441334.9160453353</v>
      </c>
      <c r="K79" s="77">
        <f>SUM(CJ34:CU34)*SUP_CONTROL!$C$26</f>
        <v>440460.9855185129</v>
      </c>
      <c r="L79" s="77">
        <f>SUM(CV34:DG34)*SUP_CONTROL!$C$26</f>
        <v>440460.9855185129</v>
      </c>
      <c r="M79" s="77">
        <f>SUM(DH34:DS34)*SUP_CONTROL!$C$26</f>
        <v>440460.9855185129</v>
      </c>
      <c r="N79" s="72">
        <f t="shared" si="5"/>
        <v>2038563.1192607936</v>
      </c>
    </row>
    <row r="80" spans="1:14" ht="15" customHeight="1" x14ac:dyDescent="0.2">
      <c r="A80" s="88">
        <v>38</v>
      </c>
      <c r="B80" s="37" t="str">
        <f t="shared" si="4"/>
        <v>V</v>
      </c>
      <c r="D80" s="77">
        <f>SUM(D35:O35)*SUP_CONTROL!$C$26</f>
        <v>0</v>
      </c>
      <c r="E80" s="77">
        <f>SUM(P35:AA35)*SUP_CONTROL!$C$26</f>
        <v>0</v>
      </c>
      <c r="F80" s="77">
        <f>SUM(AB35:AM35)*SUP_CONTROL!$C$26</f>
        <v>0</v>
      </c>
      <c r="G80" s="77">
        <f>SUM(AN35:AY35)*SUP_CONTROL!$C$26</f>
        <v>0</v>
      </c>
      <c r="H80" s="77">
        <f>SUM(AZ35:BK35)*SUP_CONTROL!$C$26</f>
        <v>0</v>
      </c>
      <c r="I80" s="77">
        <f>SUM(BL35:BW35)*SUP_CONTROL!$C$26</f>
        <v>238047.75137484915</v>
      </c>
      <c r="J80" s="77">
        <f>SUM(BX35:CI35)*SUP_CONTROL!$C$26</f>
        <v>441334.9160453353</v>
      </c>
      <c r="K80" s="77">
        <f>SUM(CJ35:CU35)*SUP_CONTROL!$C$26</f>
        <v>440460.9855185129</v>
      </c>
      <c r="L80" s="77">
        <f>SUM(CV35:DG35)*SUP_CONTROL!$C$26</f>
        <v>440460.9855185129</v>
      </c>
      <c r="M80" s="77">
        <f>SUM(DH35:DS35)*SUP_CONTROL!$C$26</f>
        <v>440460.9855185129</v>
      </c>
      <c r="N80" s="72">
        <f t="shared" si="5"/>
        <v>2000765.6239757231</v>
      </c>
    </row>
    <row r="81" spans="1:14" ht="15" customHeight="1" x14ac:dyDescent="0.2">
      <c r="A81" s="88">
        <v>39</v>
      </c>
      <c r="B81" s="37" t="str">
        <f t="shared" si="4"/>
        <v>D</v>
      </c>
      <c r="D81" s="77">
        <f>SUM(D36:O36)*SUP_CONTROL!$C$26</f>
        <v>0</v>
      </c>
      <c r="E81" s="77">
        <f>SUM(P36:AA36)*SUP_CONTROL!$C$26</f>
        <v>0</v>
      </c>
      <c r="F81" s="77">
        <f>SUM(AB36:AM36)*SUP_CONTROL!$C$26</f>
        <v>0</v>
      </c>
      <c r="G81" s="77">
        <f>SUM(AN36:AY36)*SUP_CONTROL!$C$26</f>
        <v>0</v>
      </c>
      <c r="H81" s="77">
        <f>SUM(AZ36:BK36)*SUP_CONTROL!$C$26</f>
        <v>0</v>
      </c>
      <c r="I81" s="77">
        <f>SUM(BL36:BW36)*SUP_CONTROL!$C$26</f>
        <v>260325.33291671181</v>
      </c>
      <c r="J81" s="77">
        <f>SUM(BX36:CI36)*SUP_CONTROL!$C$26</f>
        <v>573735.39085893612</v>
      </c>
      <c r="K81" s="77">
        <f>SUM(CJ36:CU36)*SUP_CONTROL!$C$26</f>
        <v>572599.28117406694</v>
      </c>
      <c r="L81" s="77">
        <f>SUM(CV36:DG36)*SUP_CONTROL!$C$26</f>
        <v>572599.28117406694</v>
      </c>
      <c r="M81" s="77">
        <f>SUM(DH36:DS36)*SUP_CONTROL!$C$26</f>
        <v>572599.28117406694</v>
      </c>
      <c r="N81" s="72">
        <f t="shared" si="5"/>
        <v>2551858.5672978489</v>
      </c>
    </row>
    <row r="82" spans="1:14" ht="15" customHeight="1" x14ac:dyDescent="0.2">
      <c r="A82" s="88">
        <v>40</v>
      </c>
      <c r="B82" s="37" t="str">
        <f t="shared" si="4"/>
        <v>F</v>
      </c>
      <c r="D82" s="77">
        <f>SUM(D37:O37)*SUP_CONTROL!$C$26</f>
        <v>0</v>
      </c>
      <c r="E82" s="77">
        <f>SUM(P37:AA37)*SUP_CONTROL!$C$26</f>
        <v>0</v>
      </c>
      <c r="F82" s="77">
        <f>SUM(AB37:AM37)*SUP_CONTROL!$C$26</f>
        <v>0</v>
      </c>
      <c r="G82" s="77">
        <f>SUM(AN37:AY37)*SUP_CONTROL!$C$26</f>
        <v>0</v>
      </c>
      <c r="H82" s="77">
        <f>SUM(AZ37:BK37)*SUP_CONTROL!$C$26</f>
        <v>0</v>
      </c>
      <c r="I82" s="77">
        <f>SUM(BL37:BW37)*SUP_CONTROL!$C$26</f>
        <v>325036.61118843837</v>
      </c>
      <c r="J82" s="77">
        <f>SUM(BX37:CI37)*SUP_CONTROL!$C$26</f>
        <v>882669.83209067059</v>
      </c>
      <c r="K82" s="77">
        <f>SUM(CJ37:CU37)*SUP_CONTROL!$C$26</f>
        <v>880921.9710370258</v>
      </c>
      <c r="L82" s="77">
        <f>SUM(CV37:DG37)*SUP_CONTROL!$C$26</f>
        <v>880921.9710370258</v>
      </c>
      <c r="M82" s="77">
        <f>SUM(DH37:DS37)*SUP_CONTROL!$C$26</f>
        <v>880921.9710370258</v>
      </c>
      <c r="N82" s="72">
        <f t="shared" si="5"/>
        <v>3850472.3563901866</v>
      </c>
    </row>
    <row r="83" spans="1:14" ht="15" customHeight="1" x14ac:dyDescent="0.2">
      <c r="A83" s="88">
        <v>41</v>
      </c>
      <c r="B83" s="37" t="str">
        <f t="shared" si="4"/>
        <v>V</v>
      </c>
      <c r="D83" s="77">
        <f>SUM(D38:O38)*SUP_CONTROL!$C$26</f>
        <v>0</v>
      </c>
      <c r="E83" s="77">
        <f>SUM(P38:AA38)*SUP_CONTROL!$C$26</f>
        <v>0</v>
      </c>
      <c r="F83" s="77">
        <f>SUM(AB38:AM38)*SUP_CONTROL!$C$26</f>
        <v>0</v>
      </c>
      <c r="G83" s="77">
        <f>SUM(AN38:AY38)*SUP_CONTROL!$C$26</f>
        <v>0</v>
      </c>
      <c r="H83" s="77">
        <f>SUM(AZ38:BK38)*SUP_CONTROL!$C$26</f>
        <v>0</v>
      </c>
      <c r="I83" s="77">
        <f>SUM(BL38:BW38)*SUP_CONTROL!$C$26</f>
        <v>124851.89988817174</v>
      </c>
      <c r="J83" s="77">
        <f>SUM(BX38:CI38)*SUP_CONTROL!$C$26</f>
        <v>441334.9160453353</v>
      </c>
      <c r="K83" s="77">
        <f>SUM(CJ38:CU38)*SUP_CONTROL!$C$26</f>
        <v>440460.9855185129</v>
      </c>
      <c r="L83" s="77">
        <f>SUM(CV38:DG38)*SUP_CONTROL!$C$26</f>
        <v>440460.9855185129</v>
      </c>
      <c r="M83" s="77">
        <f>SUM(DH38:DS38)*SUP_CONTROL!$C$26</f>
        <v>440460.9855185129</v>
      </c>
      <c r="N83" s="72">
        <f t="shared" si="5"/>
        <v>1887569.7724890457</v>
      </c>
    </row>
    <row r="84" spans="1:14" ht="15" customHeight="1" x14ac:dyDescent="0.2">
      <c r="A84" s="88">
        <v>42</v>
      </c>
      <c r="B84" s="37" t="str">
        <f t="shared" si="4"/>
        <v>V</v>
      </c>
      <c r="D84" s="77">
        <f>SUM(D39:O39)*SUP_CONTROL!$C$26</f>
        <v>0</v>
      </c>
      <c r="E84" s="77">
        <f>SUM(P39:AA39)*SUP_CONTROL!$C$26</f>
        <v>0</v>
      </c>
      <c r="F84" s="77">
        <f>SUM(AB39:AM39)*SUP_CONTROL!$C$26</f>
        <v>0</v>
      </c>
      <c r="G84" s="77">
        <f>SUM(AN39:AY39)*SUP_CONTROL!$C$26</f>
        <v>0</v>
      </c>
      <c r="H84" s="77">
        <f>SUM(AZ39:BK39)*SUP_CONTROL!$C$26</f>
        <v>0</v>
      </c>
      <c r="I84" s="77">
        <f>SUM(BL39:BW39)*SUP_CONTROL!$C$26</f>
        <v>87283.811366391834</v>
      </c>
      <c r="J84" s="77">
        <f>SUM(BX39:CI39)*SUP_CONTROL!$C$26</f>
        <v>441334.9160453353</v>
      </c>
      <c r="K84" s="77">
        <f>SUM(CJ39:CU39)*SUP_CONTROL!$C$26</f>
        <v>440460.9855185129</v>
      </c>
      <c r="L84" s="77">
        <f>SUM(CV39:DG39)*SUP_CONTROL!$C$26</f>
        <v>440460.9855185129</v>
      </c>
      <c r="M84" s="77">
        <f>SUM(DH39:DS39)*SUP_CONTROL!$C$26</f>
        <v>440460.9855185129</v>
      </c>
      <c r="N84" s="72">
        <f t="shared" si="5"/>
        <v>1850001.6839672658</v>
      </c>
    </row>
    <row r="85" spans="1:14" ht="15" customHeight="1" x14ac:dyDescent="0.2">
      <c r="A85" s="88">
        <v>43</v>
      </c>
      <c r="B85" s="37" t="str">
        <f t="shared" si="4"/>
        <v>V</v>
      </c>
      <c r="D85" s="77">
        <f>SUM(D40:O40)*SUP_CONTROL!$C$26</f>
        <v>0</v>
      </c>
      <c r="E85" s="77">
        <f>SUM(P40:AA40)*SUP_CONTROL!$C$26</f>
        <v>0</v>
      </c>
      <c r="F85" s="77">
        <f>SUM(AB40:AM40)*SUP_CONTROL!$C$26</f>
        <v>0</v>
      </c>
      <c r="G85" s="77">
        <f>SUM(AN40:AY40)*SUP_CONTROL!$C$26</f>
        <v>0</v>
      </c>
      <c r="H85" s="77">
        <f>SUM(AZ40:BK40)*SUP_CONTROL!$C$26</f>
        <v>0</v>
      </c>
      <c r="I85" s="77">
        <f>SUM(BL40:BW40)*SUP_CONTROL!$C$26</f>
        <v>53855.968715433264</v>
      </c>
      <c r="J85" s="77">
        <f>SUM(BX40:CI40)*SUP_CONTROL!$C$26</f>
        <v>437620.71130633989</v>
      </c>
      <c r="K85" s="77">
        <f>SUM(CJ40:CU40)*SUP_CONTROL!$C$26</f>
        <v>440460.9855185129</v>
      </c>
      <c r="L85" s="77">
        <f>SUM(CV40:DG40)*SUP_CONTROL!$C$26</f>
        <v>440460.9855185129</v>
      </c>
      <c r="M85" s="77">
        <f>SUM(DH40:DS40)*SUP_CONTROL!$C$26</f>
        <v>440460.9855185129</v>
      </c>
      <c r="N85" s="72">
        <f t="shared" si="5"/>
        <v>1812859.6365773119</v>
      </c>
    </row>
    <row r="86" spans="1:14" ht="15" customHeight="1" x14ac:dyDescent="0.2">
      <c r="A86" s="88">
        <v>44</v>
      </c>
      <c r="B86" s="37" t="str">
        <f t="shared" si="4"/>
        <v>D</v>
      </c>
      <c r="D86" s="77">
        <f>SUM(D41:O41)*SUP_CONTROL!$C$26</f>
        <v>0</v>
      </c>
      <c r="E86" s="77">
        <f>SUM(P41:AA41)*SUP_CONTROL!$C$26</f>
        <v>0</v>
      </c>
      <c r="F86" s="77">
        <f>SUM(AB41:AM41)*SUP_CONTROL!$C$26</f>
        <v>0</v>
      </c>
      <c r="G86" s="77">
        <f>SUM(AN41:AY41)*SUP_CONTROL!$C$26</f>
        <v>0</v>
      </c>
      <c r="H86" s="77">
        <f>SUM(AZ41:BK41)*SUP_CONTROL!$C$26</f>
        <v>0</v>
      </c>
      <c r="I86" s="77">
        <f>SUM(BL41:BW41)*SUP_CONTROL!$C$26</f>
        <v>31385.03004451111</v>
      </c>
      <c r="J86" s="77">
        <f>SUM(BX41:CI41)*SUP_CONTROL!$C$26</f>
        <v>559249.99237685406</v>
      </c>
      <c r="K86" s="77">
        <f>SUM(CJ41:CU41)*SUP_CONTROL!$C$26</f>
        <v>572599.28117406694</v>
      </c>
      <c r="L86" s="77">
        <f>SUM(CV41:DG41)*SUP_CONTROL!$C$26</f>
        <v>572599.28117406694</v>
      </c>
      <c r="M86" s="77">
        <f>SUM(DH41:DS41)*SUP_CONTROL!$C$26</f>
        <v>572599.28117406694</v>
      </c>
      <c r="N86" s="72">
        <f t="shared" si="5"/>
        <v>2308432.865943566</v>
      </c>
    </row>
    <row r="87" spans="1:14" ht="15" customHeight="1" x14ac:dyDescent="0.2">
      <c r="A87" s="88">
        <v>45</v>
      </c>
      <c r="B87" s="37" t="str">
        <f t="shared" si="4"/>
        <v>V</v>
      </c>
      <c r="D87" s="77">
        <f>SUM(D42:O42)*SUP_CONTROL!$C$26</f>
        <v>0</v>
      </c>
      <c r="E87" s="77">
        <f>SUM(P42:AA42)*SUP_CONTROL!$C$26</f>
        <v>0</v>
      </c>
      <c r="F87" s="77">
        <f>SUM(AB42:AM42)*SUP_CONTROL!$C$26</f>
        <v>0</v>
      </c>
      <c r="G87" s="77">
        <f>SUM(AN42:AY42)*SUP_CONTROL!$C$26</f>
        <v>0</v>
      </c>
      <c r="H87" s="77">
        <f>SUM(AZ42:BK42)*SUP_CONTROL!$C$26</f>
        <v>0</v>
      </c>
      <c r="I87" s="77">
        <f>SUM(BL42:BW42)*SUP_CONTROL!$C$26</f>
        <v>0</v>
      </c>
      <c r="J87" s="77">
        <f>SUM(BX42:CI42)*SUP_CONTROL!$C$26</f>
        <v>417236.28176820633</v>
      </c>
      <c r="K87" s="77">
        <f>SUM(CJ42:CU42)*SUP_CONTROL!$C$26</f>
        <v>440460.9855185129</v>
      </c>
      <c r="L87" s="77">
        <f>SUM(CV42:DG42)*SUP_CONTROL!$C$26</f>
        <v>440460.9855185129</v>
      </c>
      <c r="M87" s="77">
        <f>SUM(DH42:DS42)*SUP_CONTROL!$C$26</f>
        <v>440460.9855185129</v>
      </c>
      <c r="N87" s="72">
        <f t="shared" si="5"/>
        <v>1738619.2383237449</v>
      </c>
    </row>
    <row r="88" spans="1:14" ht="15" customHeight="1" x14ac:dyDescent="0.2">
      <c r="A88" s="88">
        <v>46</v>
      </c>
      <c r="B88" s="37" t="str">
        <f t="shared" si="4"/>
        <v>V</v>
      </c>
      <c r="D88" s="77">
        <f>SUM(D43:O43)*SUP_CONTROL!$C$26</f>
        <v>0</v>
      </c>
      <c r="E88" s="77">
        <f>SUM(P43:AA43)*SUP_CONTROL!$C$26</f>
        <v>0</v>
      </c>
      <c r="F88" s="77">
        <f>SUM(AB43:AM43)*SUP_CONTROL!$C$26</f>
        <v>0</v>
      </c>
      <c r="G88" s="77">
        <f>SUM(AN43:AY43)*SUP_CONTROL!$C$26</f>
        <v>0</v>
      </c>
      <c r="H88" s="77">
        <f>SUM(AZ43:BK43)*SUP_CONTROL!$C$26</f>
        <v>0</v>
      </c>
      <c r="I88" s="77">
        <f>SUM(BL43:BW43)*SUP_CONTROL!$C$26</f>
        <v>0</v>
      </c>
      <c r="J88" s="77">
        <f>SUM(BX43:CI43)*SUP_CONTROL!$C$26</f>
        <v>380181.62743093463</v>
      </c>
      <c r="K88" s="77">
        <f>SUM(CJ43:CU43)*SUP_CONTROL!$C$26</f>
        <v>440460.9855185129</v>
      </c>
      <c r="L88" s="77">
        <f>SUM(CV43:DG43)*SUP_CONTROL!$C$26</f>
        <v>440460.9855185129</v>
      </c>
      <c r="M88" s="77">
        <f>SUM(DH43:DS43)*SUP_CONTROL!$C$26</f>
        <v>440460.9855185129</v>
      </c>
      <c r="N88" s="72">
        <f t="shared" si="5"/>
        <v>1701564.5839864733</v>
      </c>
    </row>
    <row r="89" spans="1:14" ht="15" customHeight="1" x14ac:dyDescent="0.2">
      <c r="A89" s="88">
        <v>47</v>
      </c>
      <c r="B89" s="37" t="str">
        <f t="shared" si="4"/>
        <v>V</v>
      </c>
      <c r="D89" s="77">
        <f>SUM(D44:O44)*SUP_CONTROL!$C$26</f>
        <v>0</v>
      </c>
      <c r="E89" s="77">
        <f>SUM(P44:AA44)*SUP_CONTROL!$C$26</f>
        <v>0</v>
      </c>
      <c r="F89" s="77">
        <f>SUM(AB44:AM44)*SUP_CONTROL!$C$26</f>
        <v>0</v>
      </c>
      <c r="G89" s="77">
        <f>SUM(AN44:AY44)*SUP_CONTROL!$C$26</f>
        <v>0</v>
      </c>
      <c r="H89" s="77">
        <f>SUM(AZ44:BK44)*SUP_CONTROL!$C$26</f>
        <v>0</v>
      </c>
      <c r="I89" s="77">
        <f>SUM(BL44:BW44)*SUP_CONTROL!$C$26</f>
        <v>0</v>
      </c>
      <c r="J89" s="77">
        <f>SUM(BX44:CI44)*SUP_CONTROL!$C$26</f>
        <v>343192.51788317465</v>
      </c>
      <c r="K89" s="77">
        <f>SUM(CJ44:CU44)*SUP_CONTROL!$C$26</f>
        <v>440460.9855185129</v>
      </c>
      <c r="L89" s="77">
        <f>SUM(CV44:DG44)*SUP_CONTROL!$C$26</f>
        <v>440460.9855185129</v>
      </c>
      <c r="M89" s="77">
        <f>SUM(DH44:DS44)*SUP_CONTROL!$C$26</f>
        <v>440460.9855185129</v>
      </c>
      <c r="N89" s="72">
        <f t="shared" si="5"/>
        <v>1664575.4744387134</v>
      </c>
    </row>
    <row r="90" spans="1:14" ht="15" customHeight="1" x14ac:dyDescent="0.2">
      <c r="A90" s="88">
        <v>48</v>
      </c>
      <c r="B90" s="37" t="str">
        <f t="shared" si="4"/>
        <v>D</v>
      </c>
      <c r="D90" s="77">
        <f>SUM(D45:O45)*SUP_CONTROL!$C$26</f>
        <v>0</v>
      </c>
      <c r="E90" s="77">
        <f>SUM(P45:AA45)*SUP_CONTROL!$C$26</f>
        <v>0</v>
      </c>
      <c r="F90" s="77">
        <f>SUM(AB45:AM45)*SUP_CONTROL!$C$26</f>
        <v>0</v>
      </c>
      <c r="G90" s="77">
        <f>SUM(AN45:AY45)*SUP_CONTROL!$C$26</f>
        <v>0</v>
      </c>
      <c r="H90" s="77">
        <f>SUM(AZ45:BK45)*SUP_CONTROL!$C$26</f>
        <v>0</v>
      </c>
      <c r="I90" s="77">
        <f>SUM(BL45:BW45)*SUP_CONTROL!$C$26</f>
        <v>0</v>
      </c>
      <c r="J90" s="77">
        <f>SUM(BX45:CI45)*SUP_CONTROL!$C$26</f>
        <v>398433.66648362146</v>
      </c>
      <c r="K90" s="77">
        <f>SUM(CJ45:CU45)*SUP_CONTROL!$C$26</f>
        <v>572599.28117406694</v>
      </c>
      <c r="L90" s="77">
        <f>SUM(CV45:DG45)*SUP_CONTROL!$C$26</f>
        <v>572599.28117406694</v>
      </c>
      <c r="M90" s="77">
        <f>SUM(DH45:DS45)*SUP_CONTROL!$C$26</f>
        <v>572599.28117406694</v>
      </c>
      <c r="N90" s="72">
        <f t="shared" si="5"/>
        <v>2116231.5100058224</v>
      </c>
    </row>
    <row r="91" spans="1:14" ht="15" customHeight="1" x14ac:dyDescent="0.2">
      <c r="A91" s="88">
        <v>49</v>
      </c>
      <c r="B91" s="37" t="str">
        <f t="shared" si="4"/>
        <v>V</v>
      </c>
      <c r="D91" s="77">
        <f>SUM(D46:O46)*SUP_CONTROL!$C$26</f>
        <v>0</v>
      </c>
      <c r="E91" s="77">
        <f>SUM(P46:AA46)*SUP_CONTROL!$C$26</f>
        <v>0</v>
      </c>
      <c r="F91" s="77">
        <f>SUM(AB46:AM46)*SUP_CONTROL!$C$26</f>
        <v>0</v>
      </c>
      <c r="G91" s="77">
        <f>SUM(AN46:AY46)*SUP_CONTROL!$C$26</f>
        <v>0</v>
      </c>
      <c r="H91" s="77">
        <f>SUM(AZ46:BK46)*SUP_CONTROL!$C$26</f>
        <v>0</v>
      </c>
      <c r="I91" s="77">
        <f>SUM(BL46:BW46)*SUP_CONTROL!$C$26</f>
        <v>0</v>
      </c>
      <c r="J91" s="77">
        <f>SUM(BX46:CI46)*SUP_CONTROL!$C$26</f>
        <v>269782.35363008914</v>
      </c>
      <c r="K91" s="77">
        <f>SUM(CJ46:CU46)*SUP_CONTROL!$C$26</f>
        <v>440460.9855185129</v>
      </c>
      <c r="L91" s="77">
        <f>SUM(CV46:DG46)*SUP_CONTROL!$C$26</f>
        <v>440460.9855185129</v>
      </c>
      <c r="M91" s="77">
        <f>SUM(DH46:DS46)*SUP_CONTROL!$C$26</f>
        <v>440460.9855185129</v>
      </c>
      <c r="N91" s="72">
        <f t="shared" si="5"/>
        <v>1591165.3101856275</v>
      </c>
    </row>
    <row r="92" spans="1:14" ht="15" customHeight="1" x14ac:dyDescent="0.2">
      <c r="A92" s="88">
        <v>50</v>
      </c>
      <c r="B92" s="37" t="str">
        <f t="shared" si="4"/>
        <v>V</v>
      </c>
      <c r="D92" s="77">
        <f>SUM(D47:O47)*SUP_CONTROL!$C$26</f>
        <v>0</v>
      </c>
      <c r="E92" s="77">
        <f>SUM(P47:AA47)*SUP_CONTROL!$C$26</f>
        <v>0</v>
      </c>
      <c r="F92" s="77">
        <f>SUM(AB47:AM47)*SUP_CONTROL!$C$26</f>
        <v>0</v>
      </c>
      <c r="G92" s="77">
        <f>SUM(AN47:AY47)*SUP_CONTROL!$C$26</f>
        <v>0</v>
      </c>
      <c r="H92" s="77">
        <f>SUM(AZ47:BK47)*SUP_CONTROL!$C$26</f>
        <v>0</v>
      </c>
      <c r="I92" s="77">
        <f>SUM(BL47:BW47)*SUP_CONTROL!$C$26</f>
        <v>0</v>
      </c>
      <c r="J92" s="77">
        <f>SUM(BX47:CI47)*SUP_CONTROL!$C$26</f>
        <v>343192.51788317465</v>
      </c>
      <c r="K92" s="77">
        <f>SUM(CJ47:CU47)*SUP_CONTROL!$C$26</f>
        <v>440460.9855185129</v>
      </c>
      <c r="L92" s="77">
        <f>SUM(CV47:DG47)*SUP_CONTROL!$C$26</f>
        <v>440460.9855185129</v>
      </c>
      <c r="M92" s="77">
        <f>SUM(DH47:DS47)*SUP_CONTROL!$C$26</f>
        <v>440460.9855185129</v>
      </c>
      <c r="N92" s="72">
        <f t="shared" si="5"/>
        <v>1664575.4744387134</v>
      </c>
    </row>
    <row r="93" spans="1:14" ht="15" customHeight="1" x14ac:dyDescent="0.2">
      <c r="B93" s="20" t="s">
        <v>1062</v>
      </c>
      <c r="D93" s="72">
        <f t="shared" ref="D93:N93" si="6">SUM(D53:D92)</f>
        <v>0</v>
      </c>
      <c r="E93" s="72">
        <f t="shared" si="6"/>
        <v>745025.77411613555</v>
      </c>
      <c r="F93" s="72">
        <f t="shared" si="6"/>
        <v>2553313.6616250076</v>
      </c>
      <c r="G93" s="72">
        <f t="shared" si="6"/>
        <v>6322610.981031293</v>
      </c>
      <c r="H93" s="72">
        <f t="shared" si="6"/>
        <v>8704640.8138780482</v>
      </c>
      <c r="I93" s="72">
        <f t="shared" si="6"/>
        <v>14100804.597903823</v>
      </c>
      <c r="J93" s="72">
        <f t="shared" si="6"/>
        <v>19081080.137999002</v>
      </c>
      <c r="K93" s="72">
        <f t="shared" si="6"/>
        <v>19688606.052677527</v>
      </c>
      <c r="L93" s="72">
        <f t="shared" si="6"/>
        <v>19688606.052677527</v>
      </c>
      <c r="M93" s="72">
        <f t="shared" si="6"/>
        <v>19688606.052677527</v>
      </c>
      <c r="N93" s="72">
        <f t="shared" si="6"/>
        <v>110573294.12458585</v>
      </c>
    </row>
    <row r="96" spans="1:14" ht="15" customHeight="1" x14ac:dyDescent="0.2">
      <c r="A96" s="25" t="s">
        <v>1063</v>
      </c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</row>
    <row r="97" spans="1:14" ht="15" customHeight="1" x14ac:dyDescent="0.2">
      <c r="A97" s="20" t="s">
        <v>339</v>
      </c>
      <c r="B97" s="20" t="s">
        <v>974</v>
      </c>
      <c r="D97" s="20" t="s">
        <v>1052</v>
      </c>
      <c r="E97" s="20" t="s">
        <v>1053</v>
      </c>
      <c r="F97" s="20" t="s">
        <v>1054</v>
      </c>
      <c r="G97" s="20" t="s">
        <v>1055</v>
      </c>
      <c r="H97" s="20" t="s">
        <v>1056</v>
      </c>
      <c r="I97" s="20" t="s">
        <v>1057</v>
      </c>
      <c r="J97" s="20" t="s">
        <v>1058</v>
      </c>
      <c r="K97" s="20" t="s">
        <v>1059</v>
      </c>
      <c r="L97" s="20" t="s">
        <v>1060</v>
      </c>
      <c r="M97" s="20" t="s">
        <v>1061</v>
      </c>
      <c r="N97" s="20" t="s">
        <v>1062</v>
      </c>
    </row>
    <row r="98" spans="1:14" ht="15" customHeight="1" x14ac:dyDescent="0.2">
      <c r="A98" s="88">
        <v>11</v>
      </c>
      <c r="B98" s="37" t="str">
        <f t="shared" ref="B98:B137" si="7">B8</f>
        <v>V</v>
      </c>
      <c r="D98" s="77">
        <f>SUM(D8:O8)*SUP_CONTROL!$C$27</f>
        <v>0</v>
      </c>
      <c r="E98" s="77">
        <f>SUM(P8:AA8)*SUP_CONTROL!$C$27</f>
        <v>150114.1996164977</v>
      </c>
      <c r="F98" s="77">
        <f>SUM(AB8:AM8)*SUP_CONTROL!$C$27</f>
        <v>237936.11231730584</v>
      </c>
      <c r="G98" s="77">
        <f>SUM(AN8:AY8)*SUP_CONTROL!$C$27</f>
        <v>231604.76512259644</v>
      </c>
      <c r="H98" s="77">
        <f>SUM(AZ8:BK8)*SUP_CONTROL!$C$27</f>
        <v>223128.92936193704</v>
      </c>
      <c r="I98" s="77">
        <f>SUM(BL8:BW8)*SUP_CONTROL!$C$27</f>
        <v>212304.36802904677</v>
      </c>
      <c r="J98" s="77">
        <f>SUM(BX8:CI8)*SUP_CONTROL!$C$27</f>
        <v>206279.37634375869</v>
      </c>
      <c r="K98" s="77">
        <f>SUM(CJ8:CU8)*SUP_CONTROL!$C$27</f>
        <v>205870.90233119679</v>
      </c>
      <c r="L98" s="77">
        <f>SUM(CV8:DG8)*SUP_CONTROL!$C$27</f>
        <v>205870.90233119679</v>
      </c>
      <c r="M98" s="77">
        <f>SUM(DH8:DS8)*SUP_CONTROL!$C$27</f>
        <v>205870.90233119679</v>
      </c>
      <c r="N98" s="72">
        <f t="shared" ref="N98:N137" si="8">SUM(D98:M98)</f>
        <v>1878980.4577847328</v>
      </c>
    </row>
    <row r="99" spans="1:14" ht="15" customHeight="1" x14ac:dyDescent="0.2">
      <c r="A99" s="88">
        <v>12</v>
      </c>
      <c r="B99" s="37" t="str">
        <f t="shared" si="7"/>
        <v>V</v>
      </c>
      <c r="D99" s="77">
        <f>SUM(D9:O9)*SUP_CONTROL!$C$27</f>
        <v>0</v>
      </c>
      <c r="E99" s="77">
        <f>SUM(P9:AA9)*SUP_CONTROL!$C$27</f>
        <v>109266.79836030785</v>
      </c>
      <c r="F99" s="77">
        <f>SUM(AB9:AM9)*SUP_CONTROL!$C$27</f>
        <v>237936.11231730584</v>
      </c>
      <c r="G99" s="77">
        <f>SUM(AN9:AY9)*SUP_CONTROL!$C$27</f>
        <v>231604.76512259644</v>
      </c>
      <c r="H99" s="77">
        <f>SUM(AZ9:BK9)*SUP_CONTROL!$C$27</f>
        <v>223128.92936193704</v>
      </c>
      <c r="I99" s="77">
        <f>SUM(BL9:BW9)*SUP_CONTROL!$C$27</f>
        <v>212304.36802904677</v>
      </c>
      <c r="J99" s="77">
        <f>SUM(BX9:CI9)*SUP_CONTROL!$C$27</f>
        <v>206279.37634375869</v>
      </c>
      <c r="K99" s="77">
        <f>SUM(CJ9:CU9)*SUP_CONTROL!$C$27</f>
        <v>205870.90233119679</v>
      </c>
      <c r="L99" s="77">
        <f>SUM(CV9:DG9)*SUP_CONTROL!$C$27</f>
        <v>205870.90233119679</v>
      </c>
      <c r="M99" s="77">
        <f>SUM(DH9:DS9)*SUP_CONTROL!$C$27</f>
        <v>205870.90233119679</v>
      </c>
      <c r="N99" s="72">
        <f t="shared" si="8"/>
        <v>1838133.0565285429</v>
      </c>
    </row>
    <row r="100" spans="1:14" ht="15" customHeight="1" x14ac:dyDescent="0.2">
      <c r="A100" s="88">
        <v>13</v>
      </c>
      <c r="B100" s="37" t="str">
        <f t="shared" si="7"/>
        <v>V</v>
      </c>
      <c r="D100" s="77">
        <f>SUM(D10:O10)*SUP_CONTROL!$C$27</f>
        <v>0</v>
      </c>
      <c r="E100" s="77">
        <f>SUM(P10:AA10)*SUP_CONTROL!$C$27</f>
        <v>88843.097732212933</v>
      </c>
      <c r="F100" s="77">
        <f>SUM(AB10:AM10)*SUP_CONTROL!$C$27</f>
        <v>237936.11231730584</v>
      </c>
      <c r="G100" s="77">
        <f>SUM(AN10:AY10)*SUP_CONTROL!$C$27</f>
        <v>231604.76512259644</v>
      </c>
      <c r="H100" s="77">
        <f>SUM(AZ10:BK10)*SUP_CONTROL!$C$27</f>
        <v>223128.92936193704</v>
      </c>
      <c r="I100" s="77">
        <f>SUM(BL10:BW10)*SUP_CONTROL!$C$27</f>
        <v>212304.36802904677</v>
      </c>
      <c r="J100" s="77">
        <f>SUM(BX10:CI10)*SUP_CONTROL!$C$27</f>
        <v>206279.37634375869</v>
      </c>
      <c r="K100" s="77">
        <f>SUM(CJ10:CU10)*SUP_CONTROL!$C$27</f>
        <v>205870.90233119679</v>
      </c>
      <c r="L100" s="77">
        <f>SUM(CV10:DG10)*SUP_CONTROL!$C$27</f>
        <v>205870.90233119679</v>
      </c>
      <c r="M100" s="77">
        <f>SUM(DH10:DS10)*SUP_CONTROL!$C$27</f>
        <v>205870.90233119679</v>
      </c>
      <c r="N100" s="72">
        <f t="shared" si="8"/>
        <v>1817709.355900448</v>
      </c>
    </row>
    <row r="101" spans="1:14" ht="15" customHeight="1" x14ac:dyDescent="0.2">
      <c r="A101" s="88">
        <v>14</v>
      </c>
      <c r="B101" s="37" t="str">
        <f t="shared" si="7"/>
        <v>D</v>
      </c>
      <c r="D101" s="77">
        <f>SUM(D11:O11)*SUP_CONTROL!$C$27</f>
        <v>0</v>
      </c>
      <c r="E101" s="77">
        <f>SUM(P11:AA11)*SUP_CONTROL!$C$27</f>
        <v>0</v>
      </c>
      <c r="F101" s="77">
        <f>SUM(AB11:AM11)*SUP_CONTROL!$C$27</f>
        <v>187966.46517557744</v>
      </c>
      <c r="G101" s="77">
        <f>SUM(AN11:AY11)*SUP_CONTROL!$C$27</f>
        <v>301086.19465937535</v>
      </c>
      <c r="H101" s="77">
        <f>SUM(AZ11:BK11)*SUP_CONTROL!$C$27</f>
        <v>290067.60817051813</v>
      </c>
      <c r="I101" s="77">
        <f>SUM(BL11:BW11)*SUP_CONTROL!$C$27</f>
        <v>275995.67843776086</v>
      </c>
      <c r="J101" s="77">
        <f>SUM(BX11:CI11)*SUP_CONTROL!$C$27</f>
        <v>268163.18924688641</v>
      </c>
      <c r="K101" s="77">
        <f>SUM(CJ11:CU11)*SUP_CONTROL!$C$27</f>
        <v>267632.17303055595</v>
      </c>
      <c r="L101" s="77">
        <f>SUM(CV11:DG11)*SUP_CONTROL!$C$27</f>
        <v>267632.17303055595</v>
      </c>
      <c r="M101" s="77">
        <f>SUM(DH11:DS11)*SUP_CONTROL!$C$27</f>
        <v>267632.17303055595</v>
      </c>
      <c r="N101" s="72">
        <f t="shared" si="8"/>
        <v>2126175.6547817858</v>
      </c>
    </row>
    <row r="102" spans="1:14" ht="15" customHeight="1" x14ac:dyDescent="0.2">
      <c r="A102" s="88">
        <v>15</v>
      </c>
      <c r="B102" s="37" t="str">
        <f t="shared" si="7"/>
        <v>V</v>
      </c>
      <c r="D102" s="77">
        <f>SUM(D12:O12)*SUP_CONTROL!$C$27</f>
        <v>0</v>
      </c>
      <c r="E102" s="77">
        <f>SUM(P12:AA12)*SUP_CONTROL!$C$27</f>
        <v>0</v>
      </c>
      <c r="F102" s="77">
        <f>SUM(AB12:AM12)*SUP_CONTROL!$C$27</f>
        <v>124778.59898734595</v>
      </c>
      <c r="G102" s="77">
        <f>SUM(AN12:AY12)*SUP_CONTROL!$C$27</f>
        <v>231604.76512259644</v>
      </c>
      <c r="H102" s="77">
        <f>SUM(AZ12:BK12)*SUP_CONTROL!$C$27</f>
        <v>223128.92936193704</v>
      </c>
      <c r="I102" s="77">
        <f>SUM(BL12:BW12)*SUP_CONTROL!$C$27</f>
        <v>212304.36802904677</v>
      </c>
      <c r="J102" s="77">
        <f>SUM(BX12:CI12)*SUP_CONTROL!$C$27</f>
        <v>206279.37634375869</v>
      </c>
      <c r="K102" s="77">
        <f>SUM(CJ12:CU12)*SUP_CONTROL!$C$27</f>
        <v>205870.90233119679</v>
      </c>
      <c r="L102" s="77">
        <f>SUM(CV12:DG12)*SUP_CONTROL!$C$27</f>
        <v>205870.90233119679</v>
      </c>
      <c r="M102" s="77">
        <f>SUM(DH12:DS12)*SUP_CONTROL!$C$27</f>
        <v>205870.90233119679</v>
      </c>
      <c r="N102" s="72">
        <f t="shared" si="8"/>
        <v>1615708.744838275</v>
      </c>
    </row>
    <row r="103" spans="1:14" ht="15" customHeight="1" x14ac:dyDescent="0.2">
      <c r="A103" s="88">
        <v>16</v>
      </c>
      <c r="B103" s="37" t="str">
        <f t="shared" si="7"/>
        <v>V</v>
      </c>
      <c r="D103" s="77">
        <f>SUM(D13:O13)*SUP_CONTROL!$C$27</f>
        <v>0</v>
      </c>
      <c r="E103" s="77">
        <f>SUM(P13:AA13)*SUP_CONTROL!$C$27</f>
        <v>0</v>
      </c>
      <c r="F103" s="77">
        <f>SUM(AB13:AM13)*SUP_CONTROL!$C$27</f>
        <v>85156.619768841803</v>
      </c>
      <c r="G103" s="77">
        <f>SUM(AN13:AY13)*SUP_CONTROL!$C$27</f>
        <v>231604.76512259644</v>
      </c>
      <c r="H103" s="77">
        <f>SUM(AZ13:BK13)*SUP_CONTROL!$C$27</f>
        <v>223128.92936193704</v>
      </c>
      <c r="I103" s="77">
        <f>SUM(BL13:BW13)*SUP_CONTROL!$C$27</f>
        <v>212304.36802904677</v>
      </c>
      <c r="J103" s="77">
        <f>SUM(BX13:CI13)*SUP_CONTROL!$C$27</f>
        <v>206279.37634375869</v>
      </c>
      <c r="K103" s="77">
        <f>SUM(CJ13:CU13)*SUP_CONTROL!$C$27</f>
        <v>205870.90233119679</v>
      </c>
      <c r="L103" s="77">
        <f>SUM(CV13:DG13)*SUP_CONTROL!$C$27</f>
        <v>205870.90233119679</v>
      </c>
      <c r="M103" s="77">
        <f>SUM(DH13:DS13)*SUP_CONTROL!$C$27</f>
        <v>205870.90233119679</v>
      </c>
      <c r="N103" s="72">
        <f t="shared" si="8"/>
        <v>1576086.7656197709</v>
      </c>
    </row>
    <row r="104" spans="1:14" ht="15" customHeight="1" x14ac:dyDescent="0.2">
      <c r="A104" s="88">
        <v>17</v>
      </c>
      <c r="B104" s="37" t="str">
        <f t="shared" si="7"/>
        <v>V</v>
      </c>
      <c r="D104" s="77">
        <f>SUM(D14:O14)*SUP_CONTROL!$C$27</f>
        <v>0</v>
      </c>
      <c r="E104" s="77">
        <f>SUM(P14:AA14)*SUP_CONTROL!$C$27</f>
        <v>0</v>
      </c>
      <c r="F104" s="77">
        <f>SUM(AB14:AM14)*SUP_CONTROL!$C$27</f>
        <v>65396.689411159947</v>
      </c>
      <c r="G104" s="77">
        <f>SUM(AN14:AY14)*SUP_CONTROL!$C$27</f>
        <v>231604.76512259644</v>
      </c>
      <c r="H104" s="77">
        <f>SUM(AZ14:BK14)*SUP_CONTROL!$C$27</f>
        <v>223128.92936193704</v>
      </c>
      <c r="I104" s="77">
        <f>SUM(BL14:BW14)*SUP_CONTROL!$C$27</f>
        <v>212304.36802904677</v>
      </c>
      <c r="J104" s="77">
        <f>SUM(BX14:CI14)*SUP_CONTROL!$C$27</f>
        <v>206279.37634375869</v>
      </c>
      <c r="K104" s="77">
        <f>SUM(CJ14:CU14)*SUP_CONTROL!$C$27</f>
        <v>205870.90233119679</v>
      </c>
      <c r="L104" s="77">
        <f>SUM(CV14:DG14)*SUP_CONTROL!$C$27</f>
        <v>205870.90233119679</v>
      </c>
      <c r="M104" s="77">
        <f>SUM(DH14:DS14)*SUP_CONTROL!$C$27</f>
        <v>205870.90233119679</v>
      </c>
      <c r="N104" s="72">
        <f t="shared" si="8"/>
        <v>1556326.835262089</v>
      </c>
    </row>
    <row r="105" spans="1:14" ht="15" customHeight="1" x14ac:dyDescent="0.2">
      <c r="A105" s="88">
        <v>18</v>
      </c>
      <c r="B105" s="37" t="str">
        <f t="shared" si="7"/>
        <v>D</v>
      </c>
      <c r="D105" s="77">
        <f>SUM(D15:O15)*SUP_CONTROL!$C$27</f>
        <v>0</v>
      </c>
      <c r="E105" s="77">
        <f>SUM(P15:AA15)*SUP_CONTROL!$C$27</f>
        <v>0</v>
      </c>
      <c r="F105" s="77">
        <f>SUM(AB15:AM15)*SUP_CONTROL!$C$27</f>
        <v>16308.8355440495</v>
      </c>
      <c r="G105" s="77">
        <f>SUM(AN15:AY15)*SUP_CONTROL!$C$27</f>
        <v>293559.03979289095</v>
      </c>
      <c r="H105" s="77">
        <f>SUM(AZ15:BK15)*SUP_CONTROL!$C$27</f>
        <v>290067.60817051813</v>
      </c>
      <c r="I105" s="77">
        <f>SUM(BL15:BW15)*SUP_CONTROL!$C$27</f>
        <v>275995.67843776086</v>
      </c>
      <c r="J105" s="77">
        <f>SUM(BX15:CI15)*SUP_CONTROL!$C$27</f>
        <v>268163.18924688641</v>
      </c>
      <c r="K105" s="77">
        <f>SUM(CJ15:CU15)*SUP_CONTROL!$C$27</f>
        <v>267632.17303055595</v>
      </c>
      <c r="L105" s="77">
        <f>SUM(CV15:DG15)*SUP_CONTROL!$C$27</f>
        <v>267632.17303055595</v>
      </c>
      <c r="M105" s="77">
        <f>SUM(DH15:DS15)*SUP_CONTROL!$C$27</f>
        <v>267632.17303055595</v>
      </c>
      <c r="N105" s="72">
        <f t="shared" si="8"/>
        <v>1946990.8702837736</v>
      </c>
    </row>
    <row r="106" spans="1:14" ht="15" customHeight="1" x14ac:dyDescent="0.2">
      <c r="A106" s="88">
        <v>19</v>
      </c>
      <c r="B106" s="37" t="str">
        <f t="shared" si="7"/>
        <v>V</v>
      </c>
      <c r="D106" s="77">
        <f>SUM(D16:O16)*SUP_CONTROL!$C$27</f>
        <v>0</v>
      </c>
      <c r="E106" s="77">
        <f>SUM(P16:AA16)*SUP_CONTROL!$C$27</f>
        <v>0</v>
      </c>
      <c r="F106" s="77">
        <f>SUM(AB16:AM16)*SUP_CONTROL!$C$27</f>
        <v>0</v>
      </c>
      <c r="G106" s="77">
        <f>SUM(AN16:AY16)*SUP_CONTROL!$C$27</f>
        <v>219059.5070117891</v>
      </c>
      <c r="H106" s="77">
        <f>SUM(AZ16:BK16)*SUP_CONTROL!$C$27</f>
        <v>223128.92936193704</v>
      </c>
      <c r="I106" s="77">
        <f>SUM(BL16:BW16)*SUP_CONTROL!$C$27</f>
        <v>212304.36802904677</v>
      </c>
      <c r="J106" s="77">
        <f>SUM(BX16:CI16)*SUP_CONTROL!$C$27</f>
        <v>206279.37634375869</v>
      </c>
      <c r="K106" s="77">
        <f>SUM(CJ16:CU16)*SUP_CONTROL!$C$27</f>
        <v>205870.90233119679</v>
      </c>
      <c r="L106" s="77">
        <f>SUM(CV16:DG16)*SUP_CONTROL!$C$27</f>
        <v>205870.90233119679</v>
      </c>
      <c r="M106" s="77">
        <f>SUM(DH16:DS16)*SUP_CONTROL!$C$27</f>
        <v>205870.90233119679</v>
      </c>
      <c r="N106" s="72">
        <f t="shared" si="8"/>
        <v>1478384.8877401217</v>
      </c>
    </row>
    <row r="107" spans="1:14" ht="15" customHeight="1" x14ac:dyDescent="0.2">
      <c r="A107" s="88">
        <v>20</v>
      </c>
      <c r="B107" s="37" t="str">
        <f t="shared" si="7"/>
        <v>V</v>
      </c>
      <c r="D107" s="77">
        <f>SUM(D17:O17)*SUP_CONTROL!$C$27</f>
        <v>0</v>
      </c>
      <c r="E107" s="77">
        <f>SUM(P17:AA17)*SUP_CONTROL!$C$27</f>
        <v>0</v>
      </c>
      <c r="F107" s="77">
        <f>SUM(AB17:AM17)*SUP_CONTROL!$C$27</f>
        <v>0</v>
      </c>
      <c r="G107" s="77">
        <f>SUM(AN17:AY17)*SUP_CONTROL!$C$27</f>
        <v>199759.10991823941</v>
      </c>
      <c r="H107" s="77">
        <f>SUM(AZ17:BK17)*SUP_CONTROL!$C$27</f>
        <v>223128.92936193704</v>
      </c>
      <c r="I107" s="77">
        <f>SUM(BL17:BW17)*SUP_CONTROL!$C$27</f>
        <v>212304.36802904677</v>
      </c>
      <c r="J107" s="77">
        <f>SUM(BX17:CI17)*SUP_CONTROL!$C$27</f>
        <v>206279.37634375869</v>
      </c>
      <c r="K107" s="77">
        <f>SUM(CJ17:CU17)*SUP_CONTROL!$C$27</f>
        <v>205870.90233119679</v>
      </c>
      <c r="L107" s="77">
        <f>SUM(CV17:DG17)*SUP_CONTROL!$C$27</f>
        <v>205870.90233119679</v>
      </c>
      <c r="M107" s="77">
        <f>SUM(DH17:DS17)*SUP_CONTROL!$C$27</f>
        <v>205870.90233119679</v>
      </c>
      <c r="N107" s="72">
        <f t="shared" si="8"/>
        <v>1459084.4906465721</v>
      </c>
    </row>
    <row r="108" spans="1:14" ht="15" customHeight="1" x14ac:dyDescent="0.2">
      <c r="A108" s="88">
        <v>21</v>
      </c>
      <c r="B108" s="37" t="str">
        <f t="shared" si="7"/>
        <v>V</v>
      </c>
      <c r="D108" s="77">
        <f>SUM(D18:O18)*SUP_CONTROL!$C$27</f>
        <v>0</v>
      </c>
      <c r="E108" s="77">
        <f>SUM(P18:AA18)*SUP_CONTROL!$C$27</f>
        <v>0</v>
      </c>
      <c r="F108" s="77">
        <f>SUM(AB18:AM18)*SUP_CONTROL!$C$27</f>
        <v>0</v>
      </c>
      <c r="G108" s="77">
        <f>SUM(AN18:AY18)*SUP_CONTROL!$C$27</f>
        <v>180458.71282468969</v>
      </c>
      <c r="H108" s="77">
        <f>SUM(AZ18:BK18)*SUP_CONTROL!$C$27</f>
        <v>223128.92936193704</v>
      </c>
      <c r="I108" s="77">
        <f>SUM(BL18:BW18)*SUP_CONTROL!$C$27</f>
        <v>212304.36802904677</v>
      </c>
      <c r="J108" s="77">
        <f>SUM(BX18:CI18)*SUP_CONTROL!$C$27</f>
        <v>206279.37634375869</v>
      </c>
      <c r="K108" s="77">
        <f>SUM(CJ18:CU18)*SUP_CONTROL!$C$27</f>
        <v>205870.90233119679</v>
      </c>
      <c r="L108" s="77">
        <f>SUM(CV18:DG18)*SUP_CONTROL!$C$27</f>
        <v>205870.90233119679</v>
      </c>
      <c r="M108" s="77">
        <f>SUM(DH18:DS18)*SUP_CONTROL!$C$27</f>
        <v>205870.90233119679</v>
      </c>
      <c r="N108" s="72">
        <f t="shared" si="8"/>
        <v>1439784.0935530225</v>
      </c>
    </row>
    <row r="109" spans="1:14" ht="15" customHeight="1" x14ac:dyDescent="0.2">
      <c r="A109" s="88">
        <v>22</v>
      </c>
      <c r="B109" s="37" t="str">
        <f t="shared" si="7"/>
        <v>D</v>
      </c>
      <c r="D109" s="77">
        <f>SUM(D19:O19)*SUP_CONTROL!$C$27</f>
        <v>0</v>
      </c>
      <c r="E109" s="77">
        <f>SUM(P19:AA19)*SUP_CONTROL!$C$27</f>
        <v>0</v>
      </c>
      <c r="F109" s="77">
        <f>SUM(AB19:AM19)*SUP_CONTROL!$C$27</f>
        <v>0</v>
      </c>
      <c r="G109" s="77">
        <f>SUM(AN19:AY19)*SUP_CONTROL!$C$27</f>
        <v>184415.29422886742</v>
      </c>
      <c r="H109" s="77">
        <f>SUM(AZ19:BK19)*SUP_CONTROL!$C$27</f>
        <v>290067.60817051813</v>
      </c>
      <c r="I109" s="77">
        <f>SUM(BL19:BW19)*SUP_CONTROL!$C$27</f>
        <v>275995.67843776086</v>
      </c>
      <c r="J109" s="77">
        <f>SUM(BX19:CI19)*SUP_CONTROL!$C$27</f>
        <v>268163.18924688641</v>
      </c>
      <c r="K109" s="77">
        <f>SUM(CJ19:CU19)*SUP_CONTROL!$C$27</f>
        <v>267632.17303055595</v>
      </c>
      <c r="L109" s="77">
        <f>SUM(CV19:DG19)*SUP_CONTROL!$C$27</f>
        <v>267632.17303055595</v>
      </c>
      <c r="M109" s="77">
        <f>SUM(DH19:DS19)*SUP_CONTROL!$C$27</f>
        <v>267632.17303055595</v>
      </c>
      <c r="N109" s="72">
        <f t="shared" si="8"/>
        <v>1821538.2891757006</v>
      </c>
    </row>
    <row r="110" spans="1:14" ht="15" customHeight="1" x14ac:dyDescent="0.2">
      <c r="A110" s="88">
        <v>23</v>
      </c>
      <c r="B110" s="37" t="str">
        <f t="shared" si="7"/>
        <v>V</v>
      </c>
      <c r="D110" s="77">
        <f>SUM(D20:O20)*SUP_CONTROL!$C$27</f>
        <v>0</v>
      </c>
      <c r="E110" s="77">
        <f>SUM(P20:AA20)*SUP_CONTROL!$C$27</f>
        <v>0</v>
      </c>
      <c r="F110" s="77">
        <f>SUM(AB20:AM20)*SUP_CONTROL!$C$27</f>
        <v>0</v>
      </c>
      <c r="G110" s="77">
        <f>SUM(AN20:AY20)*SUP_CONTROL!$C$27</f>
        <v>103257.12445049091</v>
      </c>
      <c r="H110" s="77">
        <f>SUM(AZ20:BK20)*SUP_CONTROL!$C$27</f>
        <v>223128.92936193704</v>
      </c>
      <c r="I110" s="77">
        <f>SUM(BL20:BW20)*SUP_CONTROL!$C$27</f>
        <v>212304.36802904677</v>
      </c>
      <c r="J110" s="77">
        <f>SUM(BX20:CI20)*SUP_CONTROL!$C$27</f>
        <v>206279.37634375869</v>
      </c>
      <c r="K110" s="77">
        <f>SUM(CJ20:CU20)*SUP_CONTROL!$C$27</f>
        <v>205870.90233119679</v>
      </c>
      <c r="L110" s="77">
        <f>SUM(CV20:DG20)*SUP_CONTROL!$C$27</f>
        <v>205870.90233119679</v>
      </c>
      <c r="M110" s="77">
        <f>SUM(DH20:DS20)*SUP_CONTROL!$C$27</f>
        <v>205870.90233119679</v>
      </c>
      <c r="N110" s="72">
        <f t="shared" si="8"/>
        <v>1362582.5051788236</v>
      </c>
    </row>
    <row r="111" spans="1:14" ht="15" customHeight="1" x14ac:dyDescent="0.2">
      <c r="A111" s="88">
        <v>24</v>
      </c>
      <c r="B111" s="37" t="str">
        <f t="shared" si="7"/>
        <v>V</v>
      </c>
      <c r="D111" s="77">
        <f>SUM(D21:O21)*SUP_CONTROL!$C$27</f>
        <v>0</v>
      </c>
      <c r="E111" s="77">
        <f>SUM(P21:AA21)*SUP_CONTROL!$C$27</f>
        <v>0</v>
      </c>
      <c r="F111" s="77">
        <f>SUM(AB21:AM21)*SUP_CONTROL!$C$27</f>
        <v>0</v>
      </c>
      <c r="G111" s="77">
        <f>SUM(AN21:AY21)*SUP_CONTROL!$C$27</f>
        <v>83956.727356941221</v>
      </c>
      <c r="H111" s="77">
        <f>SUM(AZ21:BK21)*SUP_CONTROL!$C$27</f>
        <v>223128.92936193704</v>
      </c>
      <c r="I111" s="77">
        <f>SUM(BL21:BW21)*SUP_CONTROL!$C$27</f>
        <v>212304.36802904677</v>
      </c>
      <c r="J111" s="77">
        <f>SUM(BX21:CI21)*SUP_CONTROL!$C$27</f>
        <v>206279.37634375869</v>
      </c>
      <c r="K111" s="77">
        <f>SUM(CJ21:CU21)*SUP_CONTROL!$C$27</f>
        <v>205870.90233119679</v>
      </c>
      <c r="L111" s="77">
        <f>SUM(CV21:DG21)*SUP_CONTROL!$C$27</f>
        <v>205870.90233119679</v>
      </c>
      <c r="M111" s="77">
        <f>SUM(DH21:DS21)*SUP_CONTROL!$C$27</f>
        <v>205870.90233119679</v>
      </c>
      <c r="N111" s="72">
        <f t="shared" si="8"/>
        <v>1343282.108085274</v>
      </c>
    </row>
    <row r="112" spans="1:14" ht="15" customHeight="1" x14ac:dyDescent="0.2">
      <c r="A112" s="88">
        <v>25</v>
      </c>
      <c r="B112" s="37" t="str">
        <f t="shared" si="7"/>
        <v>F</v>
      </c>
      <c r="D112" s="77">
        <f>SUM(D22:O22)*SUP_CONTROL!$C$27</f>
        <v>0</v>
      </c>
      <c r="E112" s="77">
        <f>SUM(P22:AA22)*SUP_CONTROL!$C$27</f>
        <v>0</v>
      </c>
      <c r="F112" s="77">
        <f>SUM(AB22:AM22)*SUP_CONTROL!$C$27</f>
        <v>0</v>
      </c>
      <c r="G112" s="77">
        <f>SUM(AN22:AY22)*SUP_CONTROL!$C$27</f>
        <v>0</v>
      </c>
      <c r="H112" s="77">
        <f>SUM(AZ22:BK22)*SUP_CONTROL!$C$27</f>
        <v>270573.18592100154</v>
      </c>
      <c r="I112" s="77">
        <f>SUM(BL22:BW22)*SUP_CONTROL!$C$27</f>
        <v>424608.73605809355</v>
      </c>
      <c r="J112" s="77">
        <f>SUM(BX22:CI22)*SUP_CONTROL!$C$27</f>
        <v>412558.75268751738</v>
      </c>
      <c r="K112" s="77">
        <f>SUM(CJ22:CU22)*SUP_CONTROL!$C$27</f>
        <v>411741.80466239358</v>
      </c>
      <c r="L112" s="77">
        <f>SUM(CV22:DG22)*SUP_CONTROL!$C$27</f>
        <v>411741.80466239358</v>
      </c>
      <c r="M112" s="77">
        <f>SUM(DH22:DS22)*SUP_CONTROL!$C$27</f>
        <v>411741.80466239358</v>
      </c>
      <c r="N112" s="72">
        <f t="shared" si="8"/>
        <v>2342966.0886537931</v>
      </c>
    </row>
    <row r="113" spans="1:14" ht="15" customHeight="1" x14ac:dyDescent="0.2">
      <c r="A113" s="88">
        <v>26</v>
      </c>
      <c r="B113" s="37" t="str">
        <f t="shared" si="7"/>
        <v>V</v>
      </c>
      <c r="D113" s="77">
        <f>SUM(D23:O23)*SUP_CONTROL!$C$27</f>
        <v>0</v>
      </c>
      <c r="E113" s="77">
        <f>SUM(P23:AA23)*SUP_CONTROL!$C$27</f>
        <v>0</v>
      </c>
      <c r="F113" s="77">
        <f>SUM(AB23:AM23)*SUP_CONTROL!$C$27</f>
        <v>0</v>
      </c>
      <c r="G113" s="77">
        <f>SUM(AN23:AY23)*SUP_CONTROL!$C$27</f>
        <v>0</v>
      </c>
      <c r="H113" s="77">
        <f>SUM(AZ23:BK23)*SUP_CONTROL!$C$27</f>
        <v>116578.48318516582</v>
      </c>
      <c r="I113" s="77">
        <f>SUM(BL23:BW23)*SUP_CONTROL!$C$27</f>
        <v>212304.36802904677</v>
      </c>
      <c r="J113" s="77">
        <f>SUM(BX23:CI23)*SUP_CONTROL!$C$27</f>
        <v>206279.37634375869</v>
      </c>
      <c r="K113" s="77">
        <f>SUM(CJ23:CU23)*SUP_CONTROL!$C$27</f>
        <v>205870.90233119679</v>
      </c>
      <c r="L113" s="77">
        <f>SUM(CV23:DG23)*SUP_CONTROL!$C$27</f>
        <v>205870.90233119679</v>
      </c>
      <c r="M113" s="77">
        <f>SUM(DH23:DS23)*SUP_CONTROL!$C$27</f>
        <v>205870.90233119679</v>
      </c>
      <c r="N113" s="72">
        <f t="shared" si="8"/>
        <v>1152774.9345515617</v>
      </c>
    </row>
    <row r="114" spans="1:14" ht="15" customHeight="1" x14ac:dyDescent="0.2">
      <c r="A114" s="88">
        <v>27</v>
      </c>
      <c r="B114" s="37" t="str">
        <f t="shared" si="7"/>
        <v>D</v>
      </c>
      <c r="D114" s="77">
        <f>SUM(D24:O24)*SUP_CONTROL!$C$27</f>
        <v>0</v>
      </c>
      <c r="E114" s="77">
        <f>SUM(P24:AA24)*SUP_CONTROL!$C$27</f>
        <v>0</v>
      </c>
      <c r="F114" s="77">
        <f>SUM(AB24:AM24)*SUP_CONTROL!$C$27</f>
        <v>0</v>
      </c>
      <c r="G114" s="77">
        <f>SUM(AN24:AY24)*SUP_CONTROL!$C$27</f>
        <v>0</v>
      </c>
      <c r="H114" s="77">
        <f>SUM(AZ24:BK24)*SUP_CONTROL!$C$27</f>
        <v>127311.13786522973</v>
      </c>
      <c r="I114" s="77">
        <f>SUM(BL24:BW24)*SUP_CONTROL!$C$27</f>
        <v>275995.67843776086</v>
      </c>
      <c r="J114" s="77">
        <f>SUM(BX24:CI24)*SUP_CONTROL!$C$27</f>
        <v>268163.18924688641</v>
      </c>
      <c r="K114" s="77">
        <f>SUM(CJ24:CU24)*SUP_CONTROL!$C$27</f>
        <v>267632.17303055595</v>
      </c>
      <c r="L114" s="77">
        <f>SUM(CV24:DG24)*SUP_CONTROL!$C$27</f>
        <v>267632.17303055595</v>
      </c>
      <c r="M114" s="77">
        <f>SUM(DH24:DS24)*SUP_CONTROL!$C$27</f>
        <v>267632.17303055595</v>
      </c>
      <c r="N114" s="72">
        <f t="shared" si="8"/>
        <v>1474366.5246415448</v>
      </c>
    </row>
    <row r="115" spans="1:14" ht="15" customHeight="1" x14ac:dyDescent="0.2">
      <c r="A115" s="88">
        <v>28</v>
      </c>
      <c r="B115" s="37" t="str">
        <f t="shared" si="7"/>
        <v>V</v>
      </c>
      <c r="D115" s="77">
        <f>SUM(D25:O25)*SUP_CONTROL!$C$27</f>
        <v>0</v>
      </c>
      <c r="E115" s="77">
        <f>SUM(P25:AA25)*SUP_CONTROL!$C$27</f>
        <v>0</v>
      </c>
      <c r="F115" s="77">
        <f>SUM(AB25:AM25)*SUP_CONTROL!$C$27</f>
        <v>0</v>
      </c>
      <c r="G115" s="77">
        <f>SUM(AN25:AY25)*SUP_CONTROL!$C$27</f>
        <v>0</v>
      </c>
      <c r="H115" s="77">
        <f>SUM(AZ25:BK25)*SUP_CONTROL!$C$27</f>
        <v>79550.313946429727</v>
      </c>
      <c r="I115" s="77">
        <f>SUM(BL25:BW25)*SUP_CONTROL!$C$27</f>
        <v>212304.36802904677</v>
      </c>
      <c r="J115" s="77">
        <f>SUM(BX25:CI25)*SUP_CONTROL!$C$27</f>
        <v>206279.37634375869</v>
      </c>
      <c r="K115" s="77">
        <f>SUM(CJ25:CU25)*SUP_CONTROL!$C$27</f>
        <v>205870.90233119679</v>
      </c>
      <c r="L115" s="77">
        <f>SUM(CV25:DG25)*SUP_CONTROL!$C$27</f>
        <v>205870.90233119679</v>
      </c>
      <c r="M115" s="77">
        <f>SUM(DH25:DS25)*SUP_CONTROL!$C$27</f>
        <v>205870.90233119679</v>
      </c>
      <c r="N115" s="72">
        <f t="shared" si="8"/>
        <v>1115746.7653128256</v>
      </c>
    </row>
    <row r="116" spans="1:14" ht="15" customHeight="1" x14ac:dyDescent="0.2">
      <c r="A116" s="88">
        <v>29</v>
      </c>
      <c r="B116" s="37" t="str">
        <f t="shared" si="7"/>
        <v>V</v>
      </c>
      <c r="D116" s="77">
        <f>SUM(D26:O26)*SUP_CONTROL!$C$27</f>
        <v>0</v>
      </c>
      <c r="E116" s="77">
        <f>SUM(P26:AA26)*SUP_CONTROL!$C$27</f>
        <v>0</v>
      </c>
      <c r="F116" s="77">
        <f>SUM(AB26:AM26)*SUP_CONTROL!$C$27</f>
        <v>0</v>
      </c>
      <c r="G116" s="77">
        <f>SUM(AN26:AY26)*SUP_CONTROL!$C$27</f>
        <v>0</v>
      </c>
      <c r="H116" s="77">
        <f>SUM(AZ26:BK26)*SUP_CONTROL!$C$27</f>
        <v>61168.983381144302</v>
      </c>
      <c r="I116" s="77">
        <f>SUM(BL26:BW26)*SUP_CONTROL!$C$27</f>
        <v>212304.36802904677</v>
      </c>
      <c r="J116" s="77">
        <f>SUM(BX26:CI26)*SUP_CONTROL!$C$27</f>
        <v>206279.37634375869</v>
      </c>
      <c r="K116" s="77">
        <f>SUM(CJ26:CU26)*SUP_CONTROL!$C$27</f>
        <v>205870.90233119679</v>
      </c>
      <c r="L116" s="77">
        <f>SUM(CV26:DG26)*SUP_CONTROL!$C$27</f>
        <v>205870.90233119679</v>
      </c>
      <c r="M116" s="77">
        <f>SUM(DH26:DS26)*SUP_CONTROL!$C$27</f>
        <v>205870.90233119679</v>
      </c>
      <c r="N116" s="72">
        <f t="shared" si="8"/>
        <v>1097365.4347475402</v>
      </c>
    </row>
    <row r="117" spans="1:14" ht="15" customHeight="1" x14ac:dyDescent="0.2">
      <c r="A117" s="88">
        <v>30</v>
      </c>
      <c r="B117" s="37" t="str">
        <f t="shared" si="7"/>
        <v>V</v>
      </c>
      <c r="D117" s="77">
        <f>SUM(D27:O27)*SUP_CONTROL!$C$27</f>
        <v>0</v>
      </c>
      <c r="E117" s="77">
        <f>SUM(P27:AA27)*SUP_CONTROL!$C$27</f>
        <v>0</v>
      </c>
      <c r="F117" s="77">
        <f>SUM(AB27:AM27)*SUP_CONTROL!$C$27</f>
        <v>0</v>
      </c>
      <c r="G117" s="77">
        <f>SUM(AN27:AY27)*SUP_CONTROL!$C$27</f>
        <v>0</v>
      </c>
      <c r="H117" s="77">
        <f>SUM(AZ27:BK27)*SUP_CONTROL!$C$27</f>
        <v>42828.500217115055</v>
      </c>
      <c r="I117" s="77">
        <f>SUM(BL27:BW27)*SUP_CONTROL!$C$27</f>
        <v>212304.36802904677</v>
      </c>
      <c r="J117" s="77">
        <f>SUM(BX27:CI27)*SUP_CONTROL!$C$27</f>
        <v>206279.37634375869</v>
      </c>
      <c r="K117" s="77">
        <f>SUM(CJ27:CU27)*SUP_CONTROL!$C$27</f>
        <v>205870.90233119679</v>
      </c>
      <c r="L117" s="77">
        <f>SUM(CV27:DG27)*SUP_CONTROL!$C$27</f>
        <v>205870.90233119679</v>
      </c>
      <c r="M117" s="77">
        <f>SUM(DH27:DS27)*SUP_CONTROL!$C$27</f>
        <v>205870.90233119679</v>
      </c>
      <c r="N117" s="72">
        <f t="shared" si="8"/>
        <v>1079024.951583511</v>
      </c>
    </row>
    <row r="118" spans="1:14" ht="15" customHeight="1" x14ac:dyDescent="0.2">
      <c r="A118" s="88">
        <v>31</v>
      </c>
      <c r="B118" s="37" t="str">
        <f t="shared" si="7"/>
        <v>D</v>
      </c>
      <c r="D118" s="77">
        <f>SUM(D28:O28)*SUP_CONTROL!$C$27</f>
        <v>0</v>
      </c>
      <c r="E118" s="77">
        <f>SUM(P28:AA28)*SUP_CONTROL!$C$27</f>
        <v>0</v>
      </c>
      <c r="F118" s="77">
        <f>SUM(AB28:AM28)*SUP_CONTROL!$C$27</f>
        <v>0</v>
      </c>
      <c r="G118" s="77">
        <f>SUM(AN28:AY28)*SUP_CONTROL!$C$27</f>
        <v>0</v>
      </c>
      <c r="H118" s="77">
        <f>SUM(AZ28:BK28)*SUP_CONTROL!$C$27</f>
        <v>34223.995142498672</v>
      </c>
      <c r="I118" s="77">
        <f>SUM(BL28:BW28)*SUP_CONTROL!$C$27</f>
        <v>273659.20708590676</v>
      </c>
      <c r="J118" s="77">
        <f>SUM(BX28:CI28)*SUP_CONTROL!$C$27</f>
        <v>268163.18924688641</v>
      </c>
      <c r="K118" s="77">
        <f>SUM(CJ28:CU28)*SUP_CONTROL!$C$27</f>
        <v>267632.17303055595</v>
      </c>
      <c r="L118" s="77">
        <f>SUM(CV28:DG28)*SUP_CONTROL!$C$27</f>
        <v>267632.17303055595</v>
      </c>
      <c r="M118" s="77">
        <f>SUM(DH28:DS28)*SUP_CONTROL!$C$27</f>
        <v>267632.17303055595</v>
      </c>
      <c r="N118" s="72">
        <f t="shared" si="8"/>
        <v>1378942.9105669598</v>
      </c>
    </row>
    <row r="119" spans="1:14" ht="15" customHeight="1" x14ac:dyDescent="0.2">
      <c r="A119" s="88">
        <v>32</v>
      </c>
      <c r="B119" s="37" t="str">
        <f t="shared" si="7"/>
        <v>V</v>
      </c>
      <c r="D119" s="77">
        <f>SUM(D29:O29)*SUP_CONTROL!$C$27</f>
        <v>0</v>
      </c>
      <c r="E119" s="77">
        <f>SUM(P29:AA29)*SUP_CONTROL!$C$27</f>
        <v>0</v>
      </c>
      <c r="F119" s="77">
        <f>SUM(AB29:AM29)*SUP_CONTROL!$C$27</f>
        <v>0</v>
      </c>
      <c r="G119" s="77">
        <f>SUM(AN29:AY29)*SUP_CONTROL!$C$27</f>
        <v>0</v>
      </c>
      <c r="H119" s="77">
        <f>SUM(AZ29:BK29)*SUP_CONTROL!$C$27</f>
        <v>11682.356759270298</v>
      </c>
      <c r="I119" s="77">
        <f>SUM(BL29:BW29)*SUP_CONTROL!$C$27</f>
        <v>206912.5110632297</v>
      </c>
      <c r="J119" s="77">
        <f>SUM(BX29:CI29)*SUP_CONTROL!$C$27</f>
        <v>206279.37634375869</v>
      </c>
      <c r="K119" s="77">
        <f>SUM(CJ29:CU29)*SUP_CONTROL!$C$27</f>
        <v>205870.90233119679</v>
      </c>
      <c r="L119" s="77">
        <f>SUM(CV29:DG29)*SUP_CONTROL!$C$27</f>
        <v>205870.90233119679</v>
      </c>
      <c r="M119" s="77">
        <f>SUM(DH29:DS29)*SUP_CONTROL!$C$27</f>
        <v>205870.90233119679</v>
      </c>
      <c r="N119" s="72">
        <f t="shared" si="8"/>
        <v>1042486.9511598492</v>
      </c>
    </row>
    <row r="120" spans="1:14" ht="15" customHeight="1" x14ac:dyDescent="0.2">
      <c r="A120" s="88">
        <v>33</v>
      </c>
      <c r="B120" s="37" t="str">
        <f t="shared" si="7"/>
        <v>V</v>
      </c>
      <c r="D120" s="77">
        <f>SUM(D30:O30)*SUP_CONTROL!$C$27</f>
        <v>0</v>
      </c>
      <c r="E120" s="77">
        <f>SUM(P30:AA30)*SUP_CONTROL!$C$27</f>
        <v>0</v>
      </c>
      <c r="F120" s="77">
        <f>SUM(AB30:AM30)*SUP_CONTROL!$C$27</f>
        <v>0</v>
      </c>
      <c r="G120" s="77">
        <f>SUM(AN30:AY30)*SUP_CONTROL!$C$27</f>
        <v>0</v>
      </c>
      <c r="H120" s="77">
        <f>SUM(AZ30:BK30)*SUP_CONTROL!$C$27</f>
        <v>0</v>
      </c>
      <c r="I120" s="77">
        <f>SUM(BL30:BW30)*SUP_CONTROL!$C$27</f>
        <v>200622.01126977647</v>
      </c>
      <c r="J120" s="77">
        <f>SUM(BX30:CI30)*SUP_CONTROL!$C$27</f>
        <v>206279.37634375869</v>
      </c>
      <c r="K120" s="77">
        <f>SUM(CJ30:CU30)*SUP_CONTROL!$C$27</f>
        <v>205870.90233119679</v>
      </c>
      <c r="L120" s="77">
        <f>SUM(CV30:DG30)*SUP_CONTROL!$C$27</f>
        <v>205870.90233119679</v>
      </c>
      <c r="M120" s="77">
        <f>SUM(DH30:DS30)*SUP_CONTROL!$C$27</f>
        <v>205870.90233119679</v>
      </c>
      <c r="N120" s="72">
        <f t="shared" si="8"/>
        <v>1024514.0946071256</v>
      </c>
    </row>
    <row r="121" spans="1:14" ht="15" customHeight="1" x14ac:dyDescent="0.2">
      <c r="A121" s="88">
        <v>34</v>
      </c>
      <c r="B121" s="37" t="str">
        <f t="shared" si="7"/>
        <v>V</v>
      </c>
      <c r="D121" s="77">
        <f>SUM(D31:O31)*SUP_CONTROL!$C$27</f>
        <v>0</v>
      </c>
      <c r="E121" s="77">
        <f>SUM(P31:AA31)*SUP_CONTROL!$C$27</f>
        <v>0</v>
      </c>
      <c r="F121" s="77">
        <f>SUM(AB31:AM31)*SUP_CONTROL!$C$27</f>
        <v>0</v>
      </c>
      <c r="G121" s="77">
        <f>SUM(AN31:AY31)*SUP_CONTROL!$C$27</f>
        <v>0</v>
      </c>
      <c r="H121" s="77">
        <f>SUM(AZ31:BK31)*SUP_CONTROL!$C$27</f>
        <v>0</v>
      </c>
      <c r="I121" s="77">
        <f>SUM(BL31:BW31)*SUP_CONTROL!$C$27</f>
        <v>182649.15471705294</v>
      </c>
      <c r="J121" s="77">
        <f>SUM(BX31:CI31)*SUP_CONTROL!$C$27</f>
        <v>206279.37634375869</v>
      </c>
      <c r="K121" s="77">
        <f>SUM(CJ31:CU31)*SUP_CONTROL!$C$27</f>
        <v>205870.90233119679</v>
      </c>
      <c r="L121" s="77">
        <f>SUM(CV31:DG31)*SUP_CONTROL!$C$27</f>
        <v>205870.90233119679</v>
      </c>
      <c r="M121" s="77">
        <f>SUM(DH31:DS31)*SUP_CONTROL!$C$27</f>
        <v>205870.90233119679</v>
      </c>
      <c r="N121" s="72">
        <f t="shared" si="8"/>
        <v>1006541.2380544021</v>
      </c>
    </row>
    <row r="122" spans="1:14" ht="15" customHeight="1" x14ac:dyDescent="0.2">
      <c r="A122" s="88">
        <v>35</v>
      </c>
      <c r="B122" s="37" t="str">
        <f t="shared" si="7"/>
        <v>D</v>
      </c>
      <c r="D122" s="77">
        <f>SUM(D32:O32)*SUP_CONTROL!$C$27</f>
        <v>0</v>
      </c>
      <c r="E122" s="77">
        <f>SUM(P32:AA32)*SUP_CONTROL!$C$27</f>
        <v>0</v>
      </c>
      <c r="F122" s="77">
        <f>SUM(AB32:AM32)*SUP_CONTROL!$C$27</f>
        <v>0</v>
      </c>
      <c r="G122" s="77">
        <f>SUM(AN32:AY32)*SUP_CONTROL!$C$27</f>
        <v>0</v>
      </c>
      <c r="H122" s="77">
        <f>SUM(AZ32:BK32)*SUP_CONTROL!$C$27</f>
        <v>0</v>
      </c>
      <c r="I122" s="77">
        <f>SUM(BL32:BW32)*SUP_CONTROL!$C$27</f>
        <v>214119.01382985301</v>
      </c>
      <c r="J122" s="77">
        <f>SUM(BX32:CI32)*SUP_CONTROL!$C$27</f>
        <v>268163.18924688641</v>
      </c>
      <c r="K122" s="77">
        <f>SUM(CJ32:CU32)*SUP_CONTROL!$C$27</f>
        <v>267632.17303055595</v>
      </c>
      <c r="L122" s="77">
        <f>SUM(CV32:DG32)*SUP_CONTROL!$C$27</f>
        <v>267632.17303055595</v>
      </c>
      <c r="M122" s="77">
        <f>SUM(DH32:DS32)*SUP_CONTROL!$C$27</f>
        <v>267632.17303055595</v>
      </c>
      <c r="N122" s="72">
        <f t="shared" si="8"/>
        <v>1285178.7221684074</v>
      </c>
    </row>
    <row r="123" spans="1:14" ht="15" customHeight="1" x14ac:dyDescent="0.2">
      <c r="A123" s="88">
        <v>36</v>
      </c>
      <c r="B123" s="37" t="str">
        <f t="shared" si="7"/>
        <v>V</v>
      </c>
      <c r="D123" s="77">
        <f>SUM(D33:O33)*SUP_CONTROL!$C$27</f>
        <v>0</v>
      </c>
      <c r="E123" s="77">
        <f>SUM(P33:AA33)*SUP_CONTROL!$C$27</f>
        <v>0</v>
      </c>
      <c r="F123" s="77">
        <f>SUM(AB33:AM33)*SUP_CONTROL!$C$27</f>
        <v>0</v>
      </c>
      <c r="G123" s="77">
        <f>SUM(AN33:AY33)*SUP_CONTROL!$C$27</f>
        <v>0</v>
      </c>
      <c r="H123" s="77">
        <f>SUM(AZ33:BK33)*SUP_CONTROL!$C$27</f>
        <v>0</v>
      </c>
      <c r="I123" s="77">
        <f>SUM(BL33:BW33)*SUP_CONTROL!$C$27</f>
        <v>146795.34826443231</v>
      </c>
      <c r="J123" s="77">
        <f>SUM(BX33:CI33)*SUP_CONTROL!$C$27</f>
        <v>206279.37634375869</v>
      </c>
      <c r="K123" s="77">
        <f>SUM(CJ33:CU33)*SUP_CONTROL!$C$27</f>
        <v>205870.90233119679</v>
      </c>
      <c r="L123" s="77">
        <f>SUM(CV33:DG33)*SUP_CONTROL!$C$27</f>
        <v>205870.90233119679</v>
      </c>
      <c r="M123" s="77">
        <f>SUM(DH33:DS33)*SUP_CONTROL!$C$27</f>
        <v>205870.90233119679</v>
      </c>
      <c r="N123" s="72">
        <f t="shared" si="8"/>
        <v>970687.4316017814</v>
      </c>
    </row>
    <row r="124" spans="1:14" ht="15" customHeight="1" x14ac:dyDescent="0.2">
      <c r="A124" s="88">
        <v>37</v>
      </c>
      <c r="B124" s="37" t="str">
        <f t="shared" si="7"/>
        <v>V</v>
      </c>
      <c r="D124" s="77">
        <f>SUM(D34:O34)*SUP_CONTROL!$C$27</f>
        <v>0</v>
      </c>
      <c r="E124" s="77">
        <f>SUM(P34:AA34)*SUP_CONTROL!$C$27</f>
        <v>0</v>
      </c>
      <c r="F124" s="77">
        <f>SUM(AB34:AM34)*SUP_CONTROL!$C$27</f>
        <v>0</v>
      </c>
      <c r="G124" s="77">
        <f>SUM(AN34:AY34)*SUP_CONTROL!$C$27</f>
        <v>0</v>
      </c>
      <c r="H124" s="77">
        <f>SUM(AZ34:BK34)*SUP_CONTROL!$C$27</f>
        <v>0</v>
      </c>
      <c r="I124" s="77">
        <f>SUM(BL34:BW34)*SUP_CONTROL!$C$27</f>
        <v>128929.71614000623</v>
      </c>
      <c r="J124" s="77">
        <f>SUM(BX34:CI34)*SUP_CONTROL!$C$27</f>
        <v>206279.37634375869</v>
      </c>
      <c r="K124" s="77">
        <f>SUM(CJ34:CU34)*SUP_CONTROL!$C$27</f>
        <v>205870.90233119679</v>
      </c>
      <c r="L124" s="77">
        <f>SUM(CV34:DG34)*SUP_CONTROL!$C$27</f>
        <v>205870.90233119679</v>
      </c>
      <c r="M124" s="77">
        <f>SUM(DH34:DS34)*SUP_CONTROL!$C$27</f>
        <v>205870.90233119679</v>
      </c>
      <c r="N124" s="72">
        <f t="shared" si="8"/>
        <v>952821.79947735532</v>
      </c>
    </row>
    <row r="125" spans="1:14" ht="15" customHeight="1" x14ac:dyDescent="0.2">
      <c r="A125" s="88">
        <v>38</v>
      </c>
      <c r="B125" s="37" t="str">
        <f t="shared" si="7"/>
        <v>V</v>
      </c>
      <c r="D125" s="77">
        <f>SUM(D35:O35)*SUP_CONTROL!$C$27</f>
        <v>0</v>
      </c>
      <c r="E125" s="77">
        <f>SUM(P35:AA35)*SUP_CONTROL!$C$27</f>
        <v>0</v>
      </c>
      <c r="F125" s="77">
        <f>SUM(AB35:AM35)*SUP_CONTROL!$C$27</f>
        <v>0</v>
      </c>
      <c r="G125" s="77">
        <f>SUM(AN35:AY35)*SUP_CONTROL!$C$27</f>
        <v>0</v>
      </c>
      <c r="H125" s="77">
        <f>SUM(AZ35:BK35)*SUP_CONTROL!$C$27</f>
        <v>0</v>
      </c>
      <c r="I125" s="77">
        <f>SUM(BL35:BW35)*SUP_CONTROL!$C$27</f>
        <v>111263.21509670414</v>
      </c>
      <c r="J125" s="77">
        <f>SUM(BX35:CI35)*SUP_CONTROL!$C$27</f>
        <v>206279.37634375869</v>
      </c>
      <c r="K125" s="77">
        <f>SUM(CJ35:CU35)*SUP_CONTROL!$C$27</f>
        <v>205870.90233119679</v>
      </c>
      <c r="L125" s="77">
        <f>SUM(CV35:DG35)*SUP_CONTROL!$C$27</f>
        <v>205870.90233119679</v>
      </c>
      <c r="M125" s="77">
        <f>SUM(DH35:DS35)*SUP_CONTROL!$C$27</f>
        <v>205870.90233119679</v>
      </c>
      <c r="N125" s="72">
        <f t="shared" si="8"/>
        <v>935155.29843405331</v>
      </c>
    </row>
    <row r="126" spans="1:14" ht="15" customHeight="1" x14ac:dyDescent="0.2">
      <c r="A126" s="88">
        <v>39</v>
      </c>
      <c r="B126" s="37" t="str">
        <f t="shared" si="7"/>
        <v>D</v>
      </c>
      <c r="D126" s="77">
        <f>SUM(D36:O36)*SUP_CONTROL!$C$27</f>
        <v>0</v>
      </c>
      <c r="E126" s="77">
        <f>SUM(P36:AA36)*SUP_CONTROL!$C$27</f>
        <v>0</v>
      </c>
      <c r="F126" s="77">
        <f>SUM(AB36:AM36)*SUP_CONTROL!$C$27</f>
        <v>0</v>
      </c>
      <c r="G126" s="77">
        <f>SUM(AN36:AY36)*SUP_CONTROL!$C$27</f>
        <v>0</v>
      </c>
      <c r="H126" s="77">
        <f>SUM(AZ36:BK36)*SUP_CONTROL!$C$27</f>
        <v>0</v>
      </c>
      <c r="I126" s="77">
        <f>SUM(BL36:BW36)*SUP_CONTROL!$C$27</f>
        <v>121675.72826942262</v>
      </c>
      <c r="J126" s="77">
        <f>SUM(BX36:CI36)*SUP_CONTROL!$C$27</f>
        <v>268163.18924688641</v>
      </c>
      <c r="K126" s="77">
        <f>SUM(CJ36:CU36)*SUP_CONTROL!$C$27</f>
        <v>267632.17303055595</v>
      </c>
      <c r="L126" s="77">
        <f>SUM(CV36:DG36)*SUP_CONTROL!$C$27</f>
        <v>267632.17303055595</v>
      </c>
      <c r="M126" s="77">
        <f>SUM(DH36:DS36)*SUP_CONTROL!$C$27</f>
        <v>267632.17303055595</v>
      </c>
      <c r="N126" s="72">
        <f t="shared" si="8"/>
        <v>1192735.4366079769</v>
      </c>
    </row>
    <row r="127" spans="1:14" ht="15" customHeight="1" x14ac:dyDescent="0.2">
      <c r="A127" s="88">
        <v>40</v>
      </c>
      <c r="B127" s="37" t="str">
        <f t="shared" si="7"/>
        <v>F</v>
      </c>
      <c r="D127" s="77">
        <f>SUM(D37:O37)*SUP_CONTROL!$C$27</f>
        <v>0</v>
      </c>
      <c r="E127" s="77">
        <f>SUM(P37:AA37)*SUP_CONTROL!$C$27</f>
        <v>0</v>
      </c>
      <c r="F127" s="77">
        <f>SUM(AB37:AM37)*SUP_CONTROL!$C$27</f>
        <v>0</v>
      </c>
      <c r="G127" s="77">
        <f>SUM(AN37:AY37)*SUP_CONTROL!$C$27</f>
        <v>0</v>
      </c>
      <c r="H127" s="77">
        <f>SUM(AZ37:BK37)*SUP_CONTROL!$C$27</f>
        <v>0</v>
      </c>
      <c r="I127" s="77">
        <f>SUM(BL37:BW37)*SUP_CONTROL!$C$27</f>
        <v>151921.69712208409</v>
      </c>
      <c r="J127" s="77">
        <f>SUM(BX37:CI37)*SUP_CONTROL!$C$27</f>
        <v>412558.75268751738</v>
      </c>
      <c r="K127" s="77">
        <f>SUM(CJ37:CU37)*SUP_CONTROL!$C$27</f>
        <v>411741.80466239358</v>
      </c>
      <c r="L127" s="77">
        <f>SUM(CV37:DG37)*SUP_CONTROL!$C$27</f>
        <v>411741.80466239358</v>
      </c>
      <c r="M127" s="77">
        <f>SUM(DH37:DS37)*SUP_CONTROL!$C$27</f>
        <v>411741.80466239358</v>
      </c>
      <c r="N127" s="72">
        <f t="shared" si="8"/>
        <v>1799705.8637967824</v>
      </c>
    </row>
    <row r="128" spans="1:14" ht="15" customHeight="1" x14ac:dyDescent="0.2">
      <c r="A128" s="88">
        <v>41</v>
      </c>
      <c r="B128" s="37" t="str">
        <f t="shared" si="7"/>
        <v>V</v>
      </c>
      <c r="D128" s="77">
        <f>SUM(D38:O38)*SUP_CONTROL!$C$27</f>
        <v>0</v>
      </c>
      <c r="E128" s="77">
        <f>SUM(P38:AA38)*SUP_CONTROL!$C$27</f>
        <v>0</v>
      </c>
      <c r="F128" s="77">
        <f>SUM(AB38:AM38)*SUP_CONTROL!$C$27</f>
        <v>0</v>
      </c>
      <c r="G128" s="77">
        <f>SUM(AN38:AY38)*SUP_CONTROL!$C$27</f>
        <v>0</v>
      </c>
      <c r="H128" s="77">
        <f>SUM(AZ38:BK38)*SUP_CONTROL!$C$27</f>
        <v>0</v>
      </c>
      <c r="I128" s="77">
        <f>SUM(BL38:BW38)*SUP_CONTROL!$C$27</f>
        <v>58355.61861962422</v>
      </c>
      <c r="J128" s="77">
        <f>SUM(BX38:CI38)*SUP_CONTROL!$C$27</f>
        <v>206279.37634375869</v>
      </c>
      <c r="K128" s="77">
        <f>SUM(CJ38:CU38)*SUP_CONTROL!$C$27</f>
        <v>205870.90233119679</v>
      </c>
      <c r="L128" s="77">
        <f>SUM(CV38:DG38)*SUP_CONTROL!$C$27</f>
        <v>205870.90233119679</v>
      </c>
      <c r="M128" s="77">
        <f>SUM(DH38:DS38)*SUP_CONTROL!$C$27</f>
        <v>205870.90233119679</v>
      </c>
      <c r="N128" s="72">
        <f t="shared" si="8"/>
        <v>882247.70195697329</v>
      </c>
    </row>
    <row r="129" spans="1:14" ht="15" customHeight="1" x14ac:dyDescent="0.2">
      <c r="A129" s="88">
        <v>42</v>
      </c>
      <c r="B129" s="37" t="str">
        <f t="shared" si="7"/>
        <v>V</v>
      </c>
      <c r="D129" s="77">
        <f>SUM(D39:O39)*SUP_CONTROL!$C$27</f>
        <v>0</v>
      </c>
      <c r="E129" s="77">
        <f>SUM(P39:AA39)*SUP_CONTROL!$C$27</f>
        <v>0</v>
      </c>
      <c r="F129" s="77">
        <f>SUM(AB39:AM39)*SUP_CONTROL!$C$27</f>
        <v>0</v>
      </c>
      <c r="G129" s="77">
        <f>SUM(AN39:AY39)*SUP_CONTROL!$C$27</f>
        <v>0</v>
      </c>
      <c r="H129" s="77">
        <f>SUM(AZ39:BK39)*SUP_CONTROL!$C$27</f>
        <v>0</v>
      </c>
      <c r="I129" s="77">
        <f>SUM(BL39:BW39)*SUP_CONTROL!$C$27</f>
        <v>40796.342004619612</v>
      </c>
      <c r="J129" s="77">
        <f>SUM(BX39:CI39)*SUP_CONTROL!$C$27</f>
        <v>206279.37634375869</v>
      </c>
      <c r="K129" s="77">
        <f>SUM(CJ39:CU39)*SUP_CONTROL!$C$27</f>
        <v>205870.90233119679</v>
      </c>
      <c r="L129" s="77">
        <f>SUM(CV39:DG39)*SUP_CONTROL!$C$27</f>
        <v>205870.90233119679</v>
      </c>
      <c r="M129" s="77">
        <f>SUM(DH39:DS39)*SUP_CONTROL!$C$27</f>
        <v>205870.90233119679</v>
      </c>
      <c r="N129" s="72">
        <f t="shared" si="8"/>
        <v>864688.42534196877</v>
      </c>
    </row>
    <row r="130" spans="1:14" ht="15" customHeight="1" x14ac:dyDescent="0.2">
      <c r="A130" s="88">
        <v>43</v>
      </c>
      <c r="B130" s="37" t="str">
        <f t="shared" si="7"/>
        <v>V</v>
      </c>
      <c r="D130" s="77">
        <f>SUM(D40:O40)*SUP_CONTROL!$C$27</f>
        <v>0</v>
      </c>
      <c r="E130" s="77">
        <f>SUM(P40:AA40)*SUP_CONTROL!$C$27</f>
        <v>0</v>
      </c>
      <c r="F130" s="77">
        <f>SUM(AB40:AM40)*SUP_CONTROL!$C$27</f>
        <v>0</v>
      </c>
      <c r="G130" s="77">
        <f>SUM(AN40:AY40)*SUP_CONTROL!$C$27</f>
        <v>0</v>
      </c>
      <c r="H130" s="77">
        <f>SUM(AZ40:BK40)*SUP_CONTROL!$C$27</f>
        <v>0</v>
      </c>
      <c r="I130" s="77">
        <f>SUM(BL40:BW40)*SUP_CONTROL!$C$27</f>
        <v>25172.211024126998</v>
      </c>
      <c r="J130" s="77">
        <f>SUM(BX40:CI40)*SUP_CONTROL!$C$27</f>
        <v>204543.3617903706</v>
      </c>
      <c r="K130" s="77">
        <f>SUM(CJ40:CU40)*SUP_CONTROL!$C$27</f>
        <v>205870.90233119679</v>
      </c>
      <c r="L130" s="77">
        <f>SUM(CV40:DG40)*SUP_CONTROL!$C$27</f>
        <v>205870.90233119679</v>
      </c>
      <c r="M130" s="77">
        <f>SUM(DH40:DS40)*SUP_CONTROL!$C$27</f>
        <v>205870.90233119679</v>
      </c>
      <c r="N130" s="72">
        <f t="shared" si="8"/>
        <v>847328.27980808797</v>
      </c>
    </row>
    <row r="131" spans="1:14" ht="15" customHeight="1" x14ac:dyDescent="0.2">
      <c r="A131" s="88">
        <v>44</v>
      </c>
      <c r="B131" s="37" t="str">
        <f t="shared" si="7"/>
        <v>D</v>
      </c>
      <c r="D131" s="77">
        <f>SUM(D41:O41)*SUP_CONTROL!$C$27</f>
        <v>0</v>
      </c>
      <c r="E131" s="77">
        <f>SUM(P41:AA41)*SUP_CONTROL!$C$27</f>
        <v>0</v>
      </c>
      <c r="F131" s="77">
        <f>SUM(AB41:AM41)*SUP_CONTROL!$C$27</f>
        <v>0</v>
      </c>
      <c r="G131" s="77">
        <f>SUM(AN41:AY41)*SUP_CONTROL!$C$27</f>
        <v>0</v>
      </c>
      <c r="H131" s="77">
        <f>SUM(AZ41:BK41)*SUP_CONTROL!$C$27</f>
        <v>0</v>
      </c>
      <c r="I131" s="77">
        <f>SUM(BL41:BW41)*SUP_CONTROL!$C$27</f>
        <v>14669.322976129182</v>
      </c>
      <c r="J131" s="77">
        <f>SUM(BX41:CI41)*SUP_CONTROL!$C$27</f>
        <v>261392.73248867289</v>
      </c>
      <c r="K131" s="77">
        <f>SUM(CJ41:CU41)*SUP_CONTROL!$C$27</f>
        <v>267632.17303055595</v>
      </c>
      <c r="L131" s="77">
        <f>SUM(CV41:DG41)*SUP_CONTROL!$C$27</f>
        <v>267632.17303055595</v>
      </c>
      <c r="M131" s="77">
        <f>SUM(DH41:DS41)*SUP_CONTROL!$C$27</f>
        <v>267632.17303055595</v>
      </c>
      <c r="N131" s="72">
        <f t="shared" si="8"/>
        <v>1078958.5745564699</v>
      </c>
    </row>
    <row r="132" spans="1:14" ht="15" customHeight="1" x14ac:dyDescent="0.2">
      <c r="A132" s="88">
        <v>45</v>
      </c>
      <c r="B132" s="37" t="str">
        <f t="shared" si="7"/>
        <v>V</v>
      </c>
      <c r="D132" s="77">
        <f>SUM(D42:O42)*SUP_CONTROL!$C$27</f>
        <v>0</v>
      </c>
      <c r="E132" s="77">
        <f>SUM(P42:AA42)*SUP_CONTROL!$C$27</f>
        <v>0</v>
      </c>
      <c r="F132" s="77">
        <f>SUM(AB42:AM42)*SUP_CONTROL!$C$27</f>
        <v>0</v>
      </c>
      <c r="G132" s="77">
        <f>SUM(AN42:AY42)*SUP_CONTROL!$C$27</f>
        <v>0</v>
      </c>
      <c r="H132" s="77">
        <f>SUM(AZ42:BK42)*SUP_CONTROL!$C$27</f>
        <v>0</v>
      </c>
      <c r="I132" s="77">
        <f>SUM(BL42:BW42)*SUP_CONTROL!$C$27</f>
        <v>0</v>
      </c>
      <c r="J132" s="77">
        <f>SUM(BX42:CI42)*SUP_CONTROL!$C$27</f>
        <v>195015.70544736434</v>
      </c>
      <c r="K132" s="77">
        <f>SUM(CJ42:CU42)*SUP_CONTROL!$C$27</f>
        <v>205870.90233119679</v>
      </c>
      <c r="L132" s="77">
        <f>SUM(CV42:DG42)*SUP_CONTROL!$C$27</f>
        <v>205870.90233119679</v>
      </c>
      <c r="M132" s="77">
        <f>SUM(DH42:DS42)*SUP_CONTROL!$C$27</f>
        <v>205870.90233119679</v>
      </c>
      <c r="N132" s="72">
        <f t="shared" si="8"/>
        <v>812628.41244095471</v>
      </c>
    </row>
    <row r="133" spans="1:14" ht="15" customHeight="1" x14ac:dyDescent="0.2">
      <c r="A133" s="88">
        <v>46</v>
      </c>
      <c r="B133" s="37" t="str">
        <f t="shared" si="7"/>
        <v>V</v>
      </c>
      <c r="D133" s="77">
        <f>SUM(D43:O43)*SUP_CONTROL!$C$27</f>
        <v>0</v>
      </c>
      <c r="E133" s="77">
        <f>SUM(P43:AA43)*SUP_CONTROL!$C$27</f>
        <v>0</v>
      </c>
      <c r="F133" s="77">
        <f>SUM(AB43:AM43)*SUP_CONTROL!$C$27</f>
        <v>0</v>
      </c>
      <c r="G133" s="77">
        <f>SUM(AN43:AY43)*SUP_CONTROL!$C$27</f>
        <v>0</v>
      </c>
      <c r="H133" s="77">
        <f>SUM(AZ43:BK43)*SUP_CONTROL!$C$27</f>
        <v>0</v>
      </c>
      <c r="I133" s="77">
        <f>SUM(BL43:BW43)*SUP_CONTROL!$C$27</f>
        <v>0</v>
      </c>
      <c r="J133" s="77">
        <f>SUM(BX43:CI43)*SUP_CONTROL!$C$27</f>
        <v>177696.40731473986</v>
      </c>
      <c r="K133" s="77">
        <f>SUM(CJ43:CU43)*SUP_CONTROL!$C$27</f>
        <v>205870.90233119679</v>
      </c>
      <c r="L133" s="77">
        <f>SUM(CV43:DG43)*SUP_CONTROL!$C$27</f>
        <v>205870.90233119679</v>
      </c>
      <c r="M133" s="77">
        <f>SUM(DH43:DS43)*SUP_CONTROL!$C$27</f>
        <v>205870.90233119679</v>
      </c>
      <c r="N133" s="72">
        <f t="shared" si="8"/>
        <v>795309.11430833023</v>
      </c>
    </row>
    <row r="134" spans="1:14" ht="15" customHeight="1" x14ac:dyDescent="0.2">
      <c r="A134" s="88">
        <v>47</v>
      </c>
      <c r="B134" s="37" t="str">
        <f t="shared" si="7"/>
        <v>V</v>
      </c>
      <c r="D134" s="77">
        <f>SUM(D44:O44)*SUP_CONTROL!$C$27</f>
        <v>0</v>
      </c>
      <c r="E134" s="77">
        <f>SUM(P44:AA44)*SUP_CONTROL!$C$27</f>
        <v>0</v>
      </c>
      <c r="F134" s="77">
        <f>SUM(AB44:AM44)*SUP_CONTROL!$C$27</f>
        <v>0</v>
      </c>
      <c r="G134" s="77">
        <f>SUM(AN44:AY44)*SUP_CONTROL!$C$27</f>
        <v>0</v>
      </c>
      <c r="H134" s="77">
        <f>SUM(AZ44:BK44)*SUP_CONTROL!$C$27</f>
        <v>0</v>
      </c>
      <c r="I134" s="77">
        <f>SUM(BL44:BW44)*SUP_CONTROL!$C$27</f>
        <v>0</v>
      </c>
      <c r="J134" s="77">
        <f>SUM(BX44:CI44)*SUP_CONTROL!$C$27</f>
        <v>160407.74473305751</v>
      </c>
      <c r="K134" s="77">
        <f>SUM(CJ44:CU44)*SUP_CONTROL!$C$27</f>
        <v>205870.90233119679</v>
      </c>
      <c r="L134" s="77">
        <f>SUM(CV44:DG44)*SUP_CONTROL!$C$27</f>
        <v>205870.90233119679</v>
      </c>
      <c r="M134" s="77">
        <f>SUM(DH44:DS44)*SUP_CONTROL!$C$27</f>
        <v>205870.90233119679</v>
      </c>
      <c r="N134" s="72">
        <f t="shared" si="8"/>
        <v>778020.45172664791</v>
      </c>
    </row>
    <row r="135" spans="1:14" ht="15" customHeight="1" x14ac:dyDescent="0.2">
      <c r="A135" s="88">
        <v>48</v>
      </c>
      <c r="B135" s="37" t="str">
        <f t="shared" si="7"/>
        <v>D</v>
      </c>
      <c r="D135" s="77">
        <f>SUM(D45:O45)*SUP_CONTROL!$C$27</f>
        <v>0</v>
      </c>
      <c r="E135" s="77">
        <f>SUM(P45:AA45)*SUP_CONTROL!$C$27</f>
        <v>0</v>
      </c>
      <c r="F135" s="77">
        <f>SUM(AB45:AM45)*SUP_CONTROL!$C$27</f>
        <v>0</v>
      </c>
      <c r="G135" s="77">
        <f>SUM(AN45:AY45)*SUP_CONTROL!$C$27</f>
        <v>0</v>
      </c>
      <c r="H135" s="77">
        <f>SUM(AZ45:BK45)*SUP_CONTROL!$C$27</f>
        <v>0</v>
      </c>
      <c r="I135" s="77">
        <f>SUM(BL45:BW45)*SUP_CONTROL!$C$27</f>
        <v>0</v>
      </c>
      <c r="J135" s="77">
        <f>SUM(BX45:CI45)*SUP_CONTROL!$C$27</f>
        <v>186227.38706709511</v>
      </c>
      <c r="K135" s="77">
        <f>SUM(CJ45:CU45)*SUP_CONTROL!$C$27</f>
        <v>267632.17303055595</v>
      </c>
      <c r="L135" s="77">
        <f>SUM(CV45:DG45)*SUP_CONTROL!$C$27</f>
        <v>267632.17303055595</v>
      </c>
      <c r="M135" s="77">
        <f>SUM(DH45:DS45)*SUP_CONTROL!$C$27</f>
        <v>267632.17303055595</v>
      </c>
      <c r="N135" s="72">
        <f t="shared" si="8"/>
        <v>989123.90615876298</v>
      </c>
    </row>
    <row r="136" spans="1:14" ht="15" customHeight="1" x14ac:dyDescent="0.2">
      <c r="A136" s="88">
        <v>49</v>
      </c>
      <c r="B136" s="37" t="str">
        <f t="shared" si="7"/>
        <v>V</v>
      </c>
      <c r="D136" s="77">
        <f>SUM(D46:O46)*SUP_CONTROL!$C$27</f>
        <v>0</v>
      </c>
      <c r="E136" s="77">
        <f>SUM(P46:AA46)*SUP_CONTROL!$C$27</f>
        <v>0</v>
      </c>
      <c r="F136" s="77">
        <f>SUM(AB46:AM46)*SUP_CONTROL!$C$27</f>
        <v>0</v>
      </c>
      <c r="G136" s="77">
        <f>SUM(AN46:AY46)*SUP_CONTROL!$C$27</f>
        <v>0</v>
      </c>
      <c r="H136" s="77">
        <f>SUM(AZ46:BK46)*SUP_CONTROL!$C$27</f>
        <v>0</v>
      </c>
      <c r="I136" s="77">
        <f>SUM(BL46:BW46)*SUP_CONTROL!$C$27</f>
        <v>0</v>
      </c>
      <c r="J136" s="77">
        <f>SUM(BX46:CI46)*SUP_CONTROL!$C$27</f>
        <v>126095.92767785804</v>
      </c>
      <c r="K136" s="77">
        <f>SUM(CJ46:CU46)*SUP_CONTROL!$C$27</f>
        <v>205870.90233119679</v>
      </c>
      <c r="L136" s="77">
        <f>SUM(CV46:DG46)*SUP_CONTROL!$C$27</f>
        <v>205870.90233119679</v>
      </c>
      <c r="M136" s="77">
        <f>SUM(DH46:DS46)*SUP_CONTROL!$C$27</f>
        <v>205870.90233119679</v>
      </c>
      <c r="N136" s="72">
        <f t="shared" si="8"/>
        <v>743708.6346714485</v>
      </c>
    </row>
    <row r="137" spans="1:14" ht="15" customHeight="1" x14ac:dyDescent="0.2">
      <c r="A137" s="88">
        <v>50</v>
      </c>
      <c r="B137" s="37" t="str">
        <f t="shared" si="7"/>
        <v>V</v>
      </c>
      <c r="D137" s="77">
        <f>SUM(D47:O47)*SUP_CONTROL!$C$27</f>
        <v>0</v>
      </c>
      <c r="E137" s="77">
        <f>SUM(P47:AA47)*SUP_CONTROL!$C$27</f>
        <v>0</v>
      </c>
      <c r="F137" s="77">
        <f>SUM(AB47:AM47)*SUP_CONTROL!$C$27</f>
        <v>0</v>
      </c>
      <c r="G137" s="77">
        <f>SUM(AN47:AY47)*SUP_CONTROL!$C$27</f>
        <v>0</v>
      </c>
      <c r="H137" s="77">
        <f>SUM(AZ47:BK47)*SUP_CONTROL!$C$27</f>
        <v>0</v>
      </c>
      <c r="I137" s="77">
        <f>SUM(BL47:BW47)*SUP_CONTROL!$C$27</f>
        <v>0</v>
      </c>
      <c r="J137" s="77">
        <f>SUM(BX47:CI47)*SUP_CONTROL!$C$27</f>
        <v>160407.74473305751</v>
      </c>
      <c r="K137" s="77">
        <f>SUM(CJ47:CU47)*SUP_CONTROL!$C$27</f>
        <v>205870.90233119679</v>
      </c>
      <c r="L137" s="77">
        <f>SUM(CV47:DG47)*SUP_CONTROL!$C$27</f>
        <v>205870.90233119679</v>
      </c>
      <c r="M137" s="77">
        <f>SUM(DH47:DS47)*SUP_CONTROL!$C$27</f>
        <v>205870.90233119679</v>
      </c>
      <c r="N137" s="72">
        <f t="shared" si="8"/>
        <v>778020.45172664791</v>
      </c>
    </row>
    <row r="138" spans="1:14" ht="15" customHeight="1" x14ac:dyDescent="0.2">
      <c r="B138" s="20" t="s">
        <v>1062</v>
      </c>
      <c r="D138" s="72">
        <f t="shared" ref="D138:N138" si="9">SUM(D98:D137)</f>
        <v>0</v>
      </c>
      <c r="E138" s="72">
        <f t="shared" si="9"/>
        <v>348224.09570901847</v>
      </c>
      <c r="F138" s="72">
        <f t="shared" si="9"/>
        <v>1193415.545838892</v>
      </c>
      <c r="G138" s="72">
        <f t="shared" si="9"/>
        <v>2955180.3009788631</v>
      </c>
      <c r="H138" s="72">
        <f t="shared" si="9"/>
        <v>4068538.0039107171</v>
      </c>
      <c r="I138" s="72">
        <f t="shared" si="9"/>
        <v>6590698.067727807</v>
      </c>
      <c r="J138" s="72">
        <f t="shared" si="9"/>
        <v>8918472.4972619079</v>
      </c>
      <c r="K138" s="72">
        <f t="shared" si="9"/>
        <v>9202429.3342044987</v>
      </c>
      <c r="L138" s="72">
        <f t="shared" si="9"/>
        <v>9202429.3342044987</v>
      </c>
      <c r="M138" s="72">
        <f t="shared" si="9"/>
        <v>9202429.3342044987</v>
      </c>
      <c r="N138" s="72">
        <f t="shared" si="9"/>
        <v>51681816.514040686</v>
      </c>
    </row>
    <row r="141" spans="1:14" ht="15" customHeight="1" x14ac:dyDescent="0.2">
      <c r="A141" s="25" t="s">
        <v>1064</v>
      </c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</row>
    <row r="142" spans="1:14" ht="15" customHeight="1" x14ac:dyDescent="0.2">
      <c r="A142" s="20" t="s">
        <v>339</v>
      </c>
      <c r="B142" s="20" t="s">
        <v>974</v>
      </c>
      <c r="D142" s="20" t="s">
        <v>1052</v>
      </c>
      <c r="E142" s="20" t="s">
        <v>1053</v>
      </c>
      <c r="F142" s="20" t="s">
        <v>1054</v>
      </c>
      <c r="G142" s="20" t="s">
        <v>1055</v>
      </c>
      <c r="H142" s="20" t="s">
        <v>1056</v>
      </c>
      <c r="I142" s="20" t="s">
        <v>1057</v>
      </c>
      <c r="J142" s="20" t="s">
        <v>1058</v>
      </c>
      <c r="K142" s="20" t="s">
        <v>1059</v>
      </c>
      <c r="L142" s="20" t="s">
        <v>1060</v>
      </c>
      <c r="M142" s="20" t="s">
        <v>1061</v>
      </c>
      <c r="N142" s="20" t="s">
        <v>1062</v>
      </c>
    </row>
    <row r="143" spans="1:14" ht="15" customHeight="1" x14ac:dyDescent="0.2">
      <c r="A143" s="88">
        <v>11</v>
      </c>
      <c r="B143" s="37" t="str">
        <f t="shared" ref="B143:B182" si="10">B8</f>
        <v>V</v>
      </c>
      <c r="D143" s="88">
        <f>SUM(D8:O8)*SUP_CONTROL!$C$28</f>
        <v>0</v>
      </c>
      <c r="E143" s="88">
        <f>SUM(P8:AA8)*SUP_CONTROL!$C$28</f>
        <v>49494.9</v>
      </c>
      <c r="F143" s="88">
        <f>SUM(AB8:AM8)*SUP_CONTROL!$C$28</f>
        <v>78451.099999999991</v>
      </c>
      <c r="G143" s="88">
        <f>SUM(AN8:AY8)*SUP_CONTROL!$C$28</f>
        <v>76363.56</v>
      </c>
      <c r="H143" s="88">
        <f>SUM(AZ8:BK8)*SUP_CONTROL!$C$28</f>
        <v>73568.95</v>
      </c>
      <c r="I143" s="88">
        <f>SUM(BL8:BW8)*SUP_CONTROL!$C$28</f>
        <v>69999.930000000008</v>
      </c>
      <c r="J143" s="88">
        <f>SUM(BX8:CI8)*SUP_CONTROL!$C$28</f>
        <v>68013.39999999998</v>
      </c>
      <c r="K143" s="88">
        <f>SUM(CJ8:CU8)*SUP_CONTROL!$C$28</f>
        <v>67878.719999999987</v>
      </c>
      <c r="L143" s="88">
        <f>SUM(CV8:DG8)*SUP_CONTROL!$C$28</f>
        <v>67878.719999999987</v>
      </c>
      <c r="M143" s="88">
        <f>SUM(DH8:DS8)*SUP_CONTROL!$C$28</f>
        <v>67878.719999999987</v>
      </c>
      <c r="N143" s="83">
        <f t="shared" ref="N143:N182" si="11">SUM(D143:M143)</f>
        <v>619527.99999999988</v>
      </c>
    </row>
    <row r="144" spans="1:14" ht="15" customHeight="1" x14ac:dyDescent="0.2">
      <c r="A144" s="88">
        <v>12</v>
      </c>
      <c r="B144" s="37" t="str">
        <f t="shared" si="10"/>
        <v>V</v>
      </c>
      <c r="D144" s="88">
        <f>SUM(D9:O9)*SUP_CONTROL!$C$28</f>
        <v>0</v>
      </c>
      <c r="E144" s="88">
        <f>SUM(P9:AA9)*SUP_CONTROL!$C$28</f>
        <v>36026.9</v>
      </c>
      <c r="F144" s="88">
        <f>SUM(AB9:AM9)*SUP_CONTROL!$C$28</f>
        <v>78451.099999999991</v>
      </c>
      <c r="G144" s="88">
        <f>SUM(AN9:AY9)*SUP_CONTROL!$C$28</f>
        <v>76363.56</v>
      </c>
      <c r="H144" s="88">
        <f>SUM(AZ9:BK9)*SUP_CONTROL!$C$28</f>
        <v>73568.95</v>
      </c>
      <c r="I144" s="88">
        <f>SUM(BL9:BW9)*SUP_CONTROL!$C$28</f>
        <v>69999.930000000008</v>
      </c>
      <c r="J144" s="88">
        <f>SUM(BX9:CI9)*SUP_CONTROL!$C$28</f>
        <v>68013.39999999998</v>
      </c>
      <c r="K144" s="88">
        <f>SUM(CJ9:CU9)*SUP_CONTROL!$C$28</f>
        <v>67878.719999999987</v>
      </c>
      <c r="L144" s="88">
        <f>SUM(CV9:DG9)*SUP_CONTROL!$C$28</f>
        <v>67878.719999999987</v>
      </c>
      <c r="M144" s="88">
        <f>SUM(DH9:DS9)*SUP_CONTROL!$C$28</f>
        <v>67878.719999999987</v>
      </c>
      <c r="N144" s="83">
        <f t="shared" si="11"/>
        <v>606059.99999999988</v>
      </c>
    </row>
    <row r="145" spans="1:14" ht="15" customHeight="1" x14ac:dyDescent="0.2">
      <c r="A145" s="88">
        <v>13</v>
      </c>
      <c r="B145" s="37" t="str">
        <f t="shared" si="10"/>
        <v>V</v>
      </c>
      <c r="D145" s="88">
        <f>SUM(D10:O10)*SUP_CONTROL!$C$28</f>
        <v>0</v>
      </c>
      <c r="E145" s="88">
        <f>SUM(P10:AA10)*SUP_CONTROL!$C$28</f>
        <v>29292.9</v>
      </c>
      <c r="F145" s="88">
        <f>SUM(AB10:AM10)*SUP_CONTROL!$C$28</f>
        <v>78451.099999999991</v>
      </c>
      <c r="G145" s="88">
        <f>SUM(AN10:AY10)*SUP_CONTROL!$C$28</f>
        <v>76363.56</v>
      </c>
      <c r="H145" s="88">
        <f>SUM(AZ10:BK10)*SUP_CONTROL!$C$28</f>
        <v>73568.95</v>
      </c>
      <c r="I145" s="88">
        <f>SUM(BL10:BW10)*SUP_CONTROL!$C$28</f>
        <v>69999.930000000008</v>
      </c>
      <c r="J145" s="88">
        <f>SUM(BX10:CI10)*SUP_CONTROL!$C$28</f>
        <v>68013.39999999998</v>
      </c>
      <c r="K145" s="88">
        <f>SUM(CJ10:CU10)*SUP_CONTROL!$C$28</f>
        <v>67878.719999999987</v>
      </c>
      <c r="L145" s="88">
        <f>SUM(CV10:DG10)*SUP_CONTROL!$C$28</f>
        <v>67878.719999999987</v>
      </c>
      <c r="M145" s="88">
        <f>SUM(DH10:DS10)*SUP_CONTROL!$C$28</f>
        <v>67878.719999999987</v>
      </c>
      <c r="N145" s="83">
        <f t="shared" si="11"/>
        <v>599325.99999999988</v>
      </c>
    </row>
    <row r="146" spans="1:14" ht="15" customHeight="1" x14ac:dyDescent="0.2">
      <c r="A146" s="88">
        <v>14</v>
      </c>
      <c r="B146" s="37" t="str">
        <f t="shared" si="10"/>
        <v>D</v>
      </c>
      <c r="D146" s="88">
        <f>SUM(D11:O11)*SUP_CONTROL!$C$28</f>
        <v>0</v>
      </c>
      <c r="E146" s="88">
        <f>SUM(P11:AA11)*SUP_CONTROL!$C$28</f>
        <v>0</v>
      </c>
      <c r="F146" s="88">
        <f>SUM(AB11:AM11)*SUP_CONTROL!$C$28</f>
        <v>61975.358900000007</v>
      </c>
      <c r="G146" s="88">
        <f>SUM(AN11:AY11)*SUP_CONTROL!$C$28</f>
        <v>99272.627999999982</v>
      </c>
      <c r="H146" s="88">
        <f>SUM(AZ11:BK11)*SUP_CONTROL!$C$28</f>
        <v>95639.634999999995</v>
      </c>
      <c r="I146" s="88">
        <f>SUM(BL11:BW11)*SUP_CONTROL!$C$28</f>
        <v>90999.909000000029</v>
      </c>
      <c r="J146" s="88">
        <f>SUM(BX11:CI11)*SUP_CONTROL!$C$28</f>
        <v>88417.420000000013</v>
      </c>
      <c r="K146" s="88">
        <f>SUM(CJ11:CU11)*SUP_CONTROL!$C$28</f>
        <v>88242.33600000001</v>
      </c>
      <c r="L146" s="88">
        <f>SUM(CV11:DG11)*SUP_CONTROL!$C$28</f>
        <v>88242.33600000001</v>
      </c>
      <c r="M146" s="88">
        <f>SUM(DH11:DS11)*SUP_CONTROL!$C$28</f>
        <v>88242.33600000001</v>
      </c>
      <c r="N146" s="83">
        <f t="shared" si="11"/>
        <v>701031.95890000009</v>
      </c>
    </row>
    <row r="147" spans="1:14" ht="15" customHeight="1" x14ac:dyDescent="0.2">
      <c r="A147" s="88">
        <v>15</v>
      </c>
      <c r="B147" s="37" t="str">
        <f t="shared" si="10"/>
        <v>V</v>
      </c>
      <c r="D147" s="88">
        <f>SUM(D12:O12)*SUP_CONTROL!$C$28</f>
        <v>0</v>
      </c>
      <c r="E147" s="88">
        <f>SUM(P12:AA12)*SUP_CONTROL!$C$28</f>
        <v>0</v>
      </c>
      <c r="F147" s="88">
        <f>SUM(AB12:AM12)*SUP_CONTROL!$C$28</f>
        <v>41141.373</v>
      </c>
      <c r="G147" s="88">
        <f>SUM(AN12:AY12)*SUP_CONTROL!$C$28</f>
        <v>76363.56</v>
      </c>
      <c r="H147" s="88">
        <f>SUM(AZ12:BK12)*SUP_CONTROL!$C$28</f>
        <v>73568.95</v>
      </c>
      <c r="I147" s="88">
        <f>SUM(BL12:BW12)*SUP_CONTROL!$C$28</f>
        <v>69999.930000000008</v>
      </c>
      <c r="J147" s="88">
        <f>SUM(BX12:CI12)*SUP_CONTROL!$C$28</f>
        <v>68013.39999999998</v>
      </c>
      <c r="K147" s="88">
        <f>SUM(CJ12:CU12)*SUP_CONTROL!$C$28</f>
        <v>67878.719999999987</v>
      </c>
      <c r="L147" s="88">
        <f>SUM(CV12:DG12)*SUP_CONTROL!$C$28</f>
        <v>67878.719999999987</v>
      </c>
      <c r="M147" s="88">
        <f>SUM(DH12:DS12)*SUP_CONTROL!$C$28</f>
        <v>67878.719999999987</v>
      </c>
      <c r="N147" s="83">
        <f t="shared" si="11"/>
        <v>532723.37299999991</v>
      </c>
    </row>
    <row r="148" spans="1:14" ht="15" customHeight="1" x14ac:dyDescent="0.2">
      <c r="A148" s="88">
        <v>16</v>
      </c>
      <c r="B148" s="37" t="str">
        <f t="shared" si="10"/>
        <v>V</v>
      </c>
      <c r="D148" s="88">
        <f>SUM(D13:O13)*SUP_CONTROL!$C$28</f>
        <v>0</v>
      </c>
      <c r="E148" s="88">
        <f>SUM(P13:AA13)*SUP_CONTROL!$C$28</f>
        <v>0</v>
      </c>
      <c r="F148" s="88">
        <f>SUM(AB13:AM13)*SUP_CONTROL!$C$28</f>
        <v>28077.413000000004</v>
      </c>
      <c r="G148" s="88">
        <f>SUM(AN13:AY13)*SUP_CONTROL!$C$28</f>
        <v>76363.56</v>
      </c>
      <c r="H148" s="88">
        <f>SUM(AZ13:BK13)*SUP_CONTROL!$C$28</f>
        <v>73568.95</v>
      </c>
      <c r="I148" s="88">
        <f>SUM(BL13:BW13)*SUP_CONTROL!$C$28</f>
        <v>69999.930000000008</v>
      </c>
      <c r="J148" s="88">
        <f>SUM(BX13:CI13)*SUP_CONTROL!$C$28</f>
        <v>68013.39999999998</v>
      </c>
      <c r="K148" s="88">
        <f>SUM(CJ13:CU13)*SUP_CONTROL!$C$28</f>
        <v>67878.719999999987</v>
      </c>
      <c r="L148" s="88">
        <f>SUM(CV13:DG13)*SUP_CONTROL!$C$28</f>
        <v>67878.719999999987</v>
      </c>
      <c r="M148" s="88">
        <f>SUM(DH13:DS13)*SUP_CONTROL!$C$28</f>
        <v>67878.719999999987</v>
      </c>
      <c r="N148" s="83">
        <f t="shared" si="11"/>
        <v>519659.41299999988</v>
      </c>
    </row>
    <row r="149" spans="1:14" ht="15" customHeight="1" x14ac:dyDescent="0.2">
      <c r="A149" s="88">
        <v>17</v>
      </c>
      <c r="B149" s="37" t="str">
        <f t="shared" si="10"/>
        <v>V</v>
      </c>
      <c r="D149" s="88">
        <f>SUM(D14:O14)*SUP_CONTROL!$C$28</f>
        <v>0</v>
      </c>
      <c r="E149" s="88">
        <f>SUM(P14:AA14)*SUP_CONTROL!$C$28</f>
        <v>0</v>
      </c>
      <c r="F149" s="88">
        <f>SUM(AB14:AM14)*SUP_CONTROL!$C$28</f>
        <v>21562.268</v>
      </c>
      <c r="G149" s="88">
        <f>SUM(AN14:AY14)*SUP_CONTROL!$C$28</f>
        <v>76363.56</v>
      </c>
      <c r="H149" s="88">
        <f>SUM(AZ14:BK14)*SUP_CONTROL!$C$28</f>
        <v>73568.95</v>
      </c>
      <c r="I149" s="88">
        <f>SUM(BL14:BW14)*SUP_CONTROL!$C$28</f>
        <v>69999.930000000008</v>
      </c>
      <c r="J149" s="88">
        <f>SUM(BX14:CI14)*SUP_CONTROL!$C$28</f>
        <v>68013.39999999998</v>
      </c>
      <c r="K149" s="88">
        <f>SUM(CJ14:CU14)*SUP_CONTROL!$C$28</f>
        <v>67878.719999999987</v>
      </c>
      <c r="L149" s="88">
        <f>SUM(CV14:DG14)*SUP_CONTROL!$C$28</f>
        <v>67878.719999999987</v>
      </c>
      <c r="M149" s="88">
        <f>SUM(DH14:DS14)*SUP_CONTROL!$C$28</f>
        <v>67878.719999999987</v>
      </c>
      <c r="N149" s="83">
        <f t="shared" si="11"/>
        <v>513144.26799999987</v>
      </c>
    </row>
    <row r="150" spans="1:14" ht="15" customHeight="1" x14ac:dyDescent="0.2">
      <c r="A150" s="88">
        <v>18</v>
      </c>
      <c r="B150" s="37" t="str">
        <f t="shared" si="10"/>
        <v>D</v>
      </c>
      <c r="D150" s="88">
        <f>SUM(D15:O15)*SUP_CONTROL!$C$28</f>
        <v>0</v>
      </c>
      <c r="E150" s="88">
        <f>SUM(P15:AA15)*SUP_CONTROL!$C$28</f>
        <v>0</v>
      </c>
      <c r="F150" s="88">
        <f>SUM(AB15:AM15)*SUP_CONTROL!$C$28</f>
        <v>5377.2673500000001</v>
      </c>
      <c r="G150" s="88">
        <f>SUM(AN15:AY15)*SUP_CONTROL!$C$28</f>
        <v>96790.812299999991</v>
      </c>
      <c r="H150" s="88">
        <f>SUM(AZ15:BK15)*SUP_CONTROL!$C$28</f>
        <v>95639.634999999995</v>
      </c>
      <c r="I150" s="88">
        <f>SUM(BL15:BW15)*SUP_CONTROL!$C$28</f>
        <v>90999.909000000029</v>
      </c>
      <c r="J150" s="88">
        <f>SUM(BX15:CI15)*SUP_CONTROL!$C$28</f>
        <v>88417.420000000013</v>
      </c>
      <c r="K150" s="88">
        <f>SUM(CJ15:CU15)*SUP_CONTROL!$C$28</f>
        <v>88242.33600000001</v>
      </c>
      <c r="L150" s="88">
        <f>SUM(CV15:DG15)*SUP_CONTROL!$C$28</f>
        <v>88242.33600000001</v>
      </c>
      <c r="M150" s="88">
        <f>SUM(DH15:DS15)*SUP_CONTROL!$C$28</f>
        <v>88242.33600000001</v>
      </c>
      <c r="N150" s="83">
        <f t="shared" si="11"/>
        <v>641952.05165000004</v>
      </c>
    </row>
    <row r="151" spans="1:14" ht="15" customHeight="1" x14ac:dyDescent="0.2">
      <c r="A151" s="88">
        <v>19</v>
      </c>
      <c r="B151" s="37" t="str">
        <f t="shared" si="10"/>
        <v>V</v>
      </c>
      <c r="D151" s="88">
        <f>SUM(D16:O16)*SUP_CONTROL!$C$28</f>
        <v>0</v>
      </c>
      <c r="E151" s="88">
        <f>SUM(P16:AA16)*SUP_CONTROL!$C$28</f>
        <v>0</v>
      </c>
      <c r="F151" s="88">
        <f>SUM(AB16:AM16)*SUP_CONTROL!$C$28</f>
        <v>0</v>
      </c>
      <c r="G151" s="88">
        <f>SUM(AN16:AY16)*SUP_CONTROL!$C$28</f>
        <v>72227.200499999992</v>
      </c>
      <c r="H151" s="88">
        <f>SUM(AZ16:BK16)*SUP_CONTROL!$C$28</f>
        <v>73568.95</v>
      </c>
      <c r="I151" s="88">
        <f>SUM(BL16:BW16)*SUP_CONTROL!$C$28</f>
        <v>69999.930000000008</v>
      </c>
      <c r="J151" s="88">
        <f>SUM(BX16:CI16)*SUP_CONTROL!$C$28</f>
        <v>68013.39999999998</v>
      </c>
      <c r="K151" s="88">
        <f>SUM(CJ16:CU16)*SUP_CONTROL!$C$28</f>
        <v>67878.719999999987</v>
      </c>
      <c r="L151" s="88">
        <f>SUM(CV16:DG16)*SUP_CONTROL!$C$28</f>
        <v>67878.719999999987</v>
      </c>
      <c r="M151" s="88">
        <f>SUM(DH16:DS16)*SUP_CONTROL!$C$28</f>
        <v>67878.719999999987</v>
      </c>
      <c r="N151" s="83">
        <f t="shared" si="11"/>
        <v>487445.64049999986</v>
      </c>
    </row>
    <row r="152" spans="1:14" ht="15" customHeight="1" x14ac:dyDescent="0.2">
      <c r="A152" s="88">
        <v>20</v>
      </c>
      <c r="B152" s="37" t="str">
        <f t="shared" si="10"/>
        <v>V</v>
      </c>
      <c r="D152" s="88">
        <f>SUM(D17:O17)*SUP_CONTROL!$C$28</f>
        <v>0</v>
      </c>
      <c r="E152" s="88">
        <f>SUM(P17:AA17)*SUP_CONTROL!$C$28</f>
        <v>0</v>
      </c>
      <c r="F152" s="88">
        <f>SUM(AB17:AM17)*SUP_CONTROL!$C$28</f>
        <v>0</v>
      </c>
      <c r="G152" s="88">
        <f>SUM(AN17:AY17)*SUP_CONTROL!$C$28</f>
        <v>65863.570499999987</v>
      </c>
      <c r="H152" s="88">
        <f>SUM(AZ17:BK17)*SUP_CONTROL!$C$28</f>
        <v>73568.95</v>
      </c>
      <c r="I152" s="88">
        <f>SUM(BL17:BW17)*SUP_CONTROL!$C$28</f>
        <v>69999.930000000008</v>
      </c>
      <c r="J152" s="88">
        <f>SUM(BX17:CI17)*SUP_CONTROL!$C$28</f>
        <v>68013.39999999998</v>
      </c>
      <c r="K152" s="88">
        <f>SUM(CJ17:CU17)*SUP_CONTROL!$C$28</f>
        <v>67878.719999999987</v>
      </c>
      <c r="L152" s="88">
        <f>SUM(CV17:DG17)*SUP_CONTROL!$C$28</f>
        <v>67878.719999999987</v>
      </c>
      <c r="M152" s="88">
        <f>SUM(DH17:DS17)*SUP_CONTROL!$C$28</f>
        <v>67878.719999999987</v>
      </c>
      <c r="N152" s="83">
        <f t="shared" si="11"/>
        <v>481082.01049999986</v>
      </c>
    </row>
    <row r="153" spans="1:14" ht="15" customHeight="1" x14ac:dyDescent="0.2">
      <c r="A153" s="88">
        <v>21</v>
      </c>
      <c r="B153" s="37" t="str">
        <f t="shared" si="10"/>
        <v>V</v>
      </c>
      <c r="D153" s="88">
        <f>SUM(D18:O18)*SUP_CONTROL!$C$28</f>
        <v>0</v>
      </c>
      <c r="E153" s="88">
        <f>SUM(P18:AA18)*SUP_CONTROL!$C$28</f>
        <v>0</v>
      </c>
      <c r="F153" s="88">
        <f>SUM(AB18:AM18)*SUP_CONTROL!$C$28</f>
        <v>0</v>
      </c>
      <c r="G153" s="88">
        <f>SUM(AN18:AY18)*SUP_CONTROL!$C$28</f>
        <v>59499.94049999999</v>
      </c>
      <c r="H153" s="88">
        <f>SUM(AZ18:BK18)*SUP_CONTROL!$C$28</f>
        <v>73568.95</v>
      </c>
      <c r="I153" s="88">
        <f>SUM(BL18:BW18)*SUP_CONTROL!$C$28</f>
        <v>69999.930000000008</v>
      </c>
      <c r="J153" s="88">
        <f>SUM(BX18:CI18)*SUP_CONTROL!$C$28</f>
        <v>68013.39999999998</v>
      </c>
      <c r="K153" s="88">
        <f>SUM(CJ18:CU18)*SUP_CONTROL!$C$28</f>
        <v>67878.719999999987</v>
      </c>
      <c r="L153" s="88">
        <f>SUM(CV18:DG18)*SUP_CONTROL!$C$28</f>
        <v>67878.719999999987</v>
      </c>
      <c r="M153" s="88">
        <f>SUM(DH18:DS18)*SUP_CONTROL!$C$28</f>
        <v>67878.719999999987</v>
      </c>
      <c r="N153" s="83">
        <f t="shared" si="11"/>
        <v>474718.38049999985</v>
      </c>
    </row>
    <row r="154" spans="1:14" ht="15" customHeight="1" x14ac:dyDescent="0.2">
      <c r="A154" s="88">
        <v>22</v>
      </c>
      <c r="B154" s="37" t="str">
        <f t="shared" si="10"/>
        <v>D</v>
      </c>
      <c r="D154" s="88">
        <f>SUM(D19:O19)*SUP_CONTROL!$C$28</f>
        <v>0</v>
      </c>
      <c r="E154" s="88">
        <f>SUM(P19:AA19)*SUP_CONTROL!$C$28</f>
        <v>0</v>
      </c>
      <c r="F154" s="88">
        <f>SUM(AB19:AM19)*SUP_CONTROL!$C$28</f>
        <v>0</v>
      </c>
      <c r="G154" s="88">
        <f>SUM(AN19:AY19)*SUP_CONTROL!$C$28</f>
        <v>60804.484649999999</v>
      </c>
      <c r="H154" s="88">
        <f>SUM(AZ19:BK19)*SUP_CONTROL!$C$28</f>
        <v>95639.634999999995</v>
      </c>
      <c r="I154" s="88">
        <f>SUM(BL19:BW19)*SUP_CONTROL!$C$28</f>
        <v>90999.909000000029</v>
      </c>
      <c r="J154" s="88">
        <f>SUM(BX19:CI19)*SUP_CONTROL!$C$28</f>
        <v>88417.420000000013</v>
      </c>
      <c r="K154" s="88">
        <f>SUM(CJ19:CU19)*SUP_CONTROL!$C$28</f>
        <v>88242.33600000001</v>
      </c>
      <c r="L154" s="88">
        <f>SUM(CV19:DG19)*SUP_CONTROL!$C$28</f>
        <v>88242.33600000001</v>
      </c>
      <c r="M154" s="88">
        <f>SUM(DH19:DS19)*SUP_CONTROL!$C$28</f>
        <v>88242.33600000001</v>
      </c>
      <c r="N154" s="83">
        <f t="shared" si="11"/>
        <v>600588.45665000007</v>
      </c>
    </row>
    <row r="155" spans="1:14" ht="15" customHeight="1" x14ac:dyDescent="0.2">
      <c r="A155" s="88">
        <v>23</v>
      </c>
      <c r="B155" s="37" t="str">
        <f t="shared" si="10"/>
        <v>V</v>
      </c>
      <c r="D155" s="88">
        <f>SUM(D20:O20)*SUP_CONTROL!$C$28</f>
        <v>0</v>
      </c>
      <c r="E155" s="88">
        <f>SUM(P20:AA20)*SUP_CONTROL!$C$28</f>
        <v>0</v>
      </c>
      <c r="F155" s="88">
        <f>SUM(AB20:AM20)*SUP_CONTROL!$C$28</f>
        <v>0</v>
      </c>
      <c r="G155" s="88">
        <f>SUM(AN20:AY20)*SUP_CONTROL!$C$28</f>
        <v>34045.4205</v>
      </c>
      <c r="H155" s="88">
        <f>SUM(AZ20:BK20)*SUP_CONTROL!$C$28</f>
        <v>73568.95</v>
      </c>
      <c r="I155" s="88">
        <f>SUM(BL20:BW20)*SUP_CONTROL!$C$28</f>
        <v>69999.930000000008</v>
      </c>
      <c r="J155" s="88">
        <f>SUM(BX20:CI20)*SUP_CONTROL!$C$28</f>
        <v>68013.39999999998</v>
      </c>
      <c r="K155" s="88">
        <f>SUM(CJ20:CU20)*SUP_CONTROL!$C$28</f>
        <v>67878.719999999987</v>
      </c>
      <c r="L155" s="88">
        <f>SUM(CV20:DG20)*SUP_CONTROL!$C$28</f>
        <v>67878.719999999987</v>
      </c>
      <c r="M155" s="88">
        <f>SUM(DH20:DS20)*SUP_CONTROL!$C$28</f>
        <v>67878.719999999987</v>
      </c>
      <c r="N155" s="83">
        <f t="shared" si="11"/>
        <v>449263.86049999989</v>
      </c>
    </row>
    <row r="156" spans="1:14" ht="15" customHeight="1" x14ac:dyDescent="0.2">
      <c r="A156" s="88">
        <v>24</v>
      </c>
      <c r="B156" s="37" t="str">
        <f t="shared" si="10"/>
        <v>V</v>
      </c>
      <c r="D156" s="88">
        <f>SUM(D21:O21)*SUP_CONTROL!$C$28</f>
        <v>0</v>
      </c>
      <c r="E156" s="88">
        <f>SUM(P21:AA21)*SUP_CONTROL!$C$28</f>
        <v>0</v>
      </c>
      <c r="F156" s="88">
        <f>SUM(AB21:AM21)*SUP_CONTROL!$C$28</f>
        <v>0</v>
      </c>
      <c r="G156" s="88">
        <f>SUM(AN21:AY21)*SUP_CONTROL!$C$28</f>
        <v>27681.790500000003</v>
      </c>
      <c r="H156" s="88">
        <f>SUM(AZ21:BK21)*SUP_CONTROL!$C$28</f>
        <v>73568.95</v>
      </c>
      <c r="I156" s="88">
        <f>SUM(BL21:BW21)*SUP_CONTROL!$C$28</f>
        <v>69999.930000000008</v>
      </c>
      <c r="J156" s="88">
        <f>SUM(BX21:CI21)*SUP_CONTROL!$C$28</f>
        <v>68013.39999999998</v>
      </c>
      <c r="K156" s="88">
        <f>SUM(CJ21:CU21)*SUP_CONTROL!$C$28</f>
        <v>67878.719999999987</v>
      </c>
      <c r="L156" s="88">
        <f>SUM(CV21:DG21)*SUP_CONTROL!$C$28</f>
        <v>67878.719999999987</v>
      </c>
      <c r="M156" s="88">
        <f>SUM(DH21:DS21)*SUP_CONTROL!$C$28</f>
        <v>67878.719999999987</v>
      </c>
      <c r="N156" s="83">
        <f t="shared" si="11"/>
        <v>442900.23049999989</v>
      </c>
    </row>
    <row r="157" spans="1:14" ht="15" customHeight="1" x14ac:dyDescent="0.2">
      <c r="A157" s="88">
        <v>25</v>
      </c>
      <c r="B157" s="37" t="str">
        <f t="shared" si="10"/>
        <v>F</v>
      </c>
      <c r="D157" s="88">
        <f>SUM(D22:O22)*SUP_CONTROL!$C$28</f>
        <v>0</v>
      </c>
      <c r="E157" s="88">
        <f>SUM(P22:AA22)*SUP_CONTROL!$C$28</f>
        <v>0</v>
      </c>
      <c r="F157" s="88">
        <f>SUM(AB22:AM22)*SUP_CONTROL!$C$28</f>
        <v>0</v>
      </c>
      <c r="G157" s="88">
        <f>SUM(AN22:AY22)*SUP_CONTROL!$C$28</f>
        <v>0</v>
      </c>
      <c r="H157" s="88">
        <f>SUM(AZ22:BK22)*SUP_CONTROL!$C$28</f>
        <v>89212.031999999992</v>
      </c>
      <c r="I157" s="88">
        <f>SUM(BL22:BW22)*SUP_CONTROL!$C$28</f>
        <v>139999.86000000002</v>
      </c>
      <c r="J157" s="88">
        <f>SUM(BX22:CI22)*SUP_CONTROL!$C$28</f>
        <v>136026.79999999996</v>
      </c>
      <c r="K157" s="88">
        <f>SUM(CJ22:CU22)*SUP_CONTROL!$C$28</f>
        <v>135757.43999999997</v>
      </c>
      <c r="L157" s="88">
        <f>SUM(CV22:DG22)*SUP_CONTROL!$C$28</f>
        <v>135757.43999999997</v>
      </c>
      <c r="M157" s="88">
        <f>SUM(DH22:DS22)*SUP_CONTROL!$C$28</f>
        <v>135757.43999999997</v>
      </c>
      <c r="N157" s="83">
        <f t="shared" si="11"/>
        <v>772511.01199999976</v>
      </c>
    </row>
    <row r="158" spans="1:14" ht="15" customHeight="1" x14ac:dyDescent="0.2">
      <c r="A158" s="88">
        <v>26</v>
      </c>
      <c r="B158" s="37" t="str">
        <f t="shared" si="10"/>
        <v>V</v>
      </c>
      <c r="D158" s="88">
        <f>SUM(D23:O23)*SUP_CONTROL!$C$28</f>
        <v>0</v>
      </c>
      <c r="E158" s="88">
        <f>SUM(P23:AA23)*SUP_CONTROL!$C$28</f>
        <v>0</v>
      </c>
      <c r="F158" s="88">
        <f>SUM(AB23:AM23)*SUP_CONTROL!$C$28</f>
        <v>0</v>
      </c>
      <c r="G158" s="88">
        <f>SUM(AN23:AY23)*SUP_CONTROL!$C$28</f>
        <v>0</v>
      </c>
      <c r="H158" s="88">
        <f>SUM(AZ23:BK23)*SUP_CONTROL!$C$28</f>
        <v>38437.671999999999</v>
      </c>
      <c r="I158" s="88">
        <f>SUM(BL23:BW23)*SUP_CONTROL!$C$28</f>
        <v>69999.930000000008</v>
      </c>
      <c r="J158" s="88">
        <f>SUM(BX23:CI23)*SUP_CONTROL!$C$28</f>
        <v>68013.39999999998</v>
      </c>
      <c r="K158" s="88">
        <f>SUM(CJ23:CU23)*SUP_CONTROL!$C$28</f>
        <v>67878.719999999987</v>
      </c>
      <c r="L158" s="88">
        <f>SUM(CV23:DG23)*SUP_CONTROL!$C$28</f>
        <v>67878.719999999987</v>
      </c>
      <c r="M158" s="88">
        <f>SUM(DH23:DS23)*SUP_CONTROL!$C$28</f>
        <v>67878.719999999987</v>
      </c>
      <c r="N158" s="83">
        <f t="shared" si="11"/>
        <v>380087.16199999989</v>
      </c>
    </row>
    <row r="159" spans="1:14" ht="15" customHeight="1" x14ac:dyDescent="0.2">
      <c r="A159" s="88">
        <v>27</v>
      </c>
      <c r="B159" s="37" t="str">
        <f t="shared" si="10"/>
        <v>D</v>
      </c>
      <c r="D159" s="88">
        <f>SUM(D24:O24)*SUP_CONTROL!$C$28</f>
        <v>0</v>
      </c>
      <c r="E159" s="88">
        <f>SUM(P24:AA24)*SUP_CONTROL!$C$28</f>
        <v>0</v>
      </c>
      <c r="F159" s="88">
        <f>SUM(AB24:AM24)*SUP_CONTROL!$C$28</f>
        <v>0</v>
      </c>
      <c r="G159" s="88">
        <f>SUM(AN24:AY24)*SUP_CONTROL!$C$28</f>
        <v>0</v>
      </c>
      <c r="H159" s="88">
        <f>SUM(AZ24:BK24)*SUP_CONTROL!$C$28</f>
        <v>41976.389000000003</v>
      </c>
      <c r="I159" s="88">
        <f>SUM(BL24:BW24)*SUP_CONTROL!$C$28</f>
        <v>90999.909000000029</v>
      </c>
      <c r="J159" s="88">
        <f>SUM(BX24:CI24)*SUP_CONTROL!$C$28</f>
        <v>88417.420000000013</v>
      </c>
      <c r="K159" s="88">
        <f>SUM(CJ24:CU24)*SUP_CONTROL!$C$28</f>
        <v>88242.33600000001</v>
      </c>
      <c r="L159" s="88">
        <f>SUM(CV24:DG24)*SUP_CONTROL!$C$28</f>
        <v>88242.33600000001</v>
      </c>
      <c r="M159" s="88">
        <f>SUM(DH24:DS24)*SUP_CONTROL!$C$28</f>
        <v>88242.33600000001</v>
      </c>
      <c r="N159" s="83">
        <f t="shared" si="11"/>
        <v>486120.72600000008</v>
      </c>
    </row>
    <row r="160" spans="1:14" ht="15" customHeight="1" x14ac:dyDescent="0.2">
      <c r="A160" s="88">
        <v>28</v>
      </c>
      <c r="B160" s="37" t="str">
        <f t="shared" si="10"/>
        <v>V</v>
      </c>
      <c r="D160" s="88">
        <f>SUM(D25:O25)*SUP_CONTROL!$C$28</f>
        <v>0</v>
      </c>
      <c r="E160" s="88">
        <f>SUM(P25:AA25)*SUP_CONTROL!$C$28</f>
        <v>0</v>
      </c>
      <c r="F160" s="88">
        <f>SUM(AB25:AM25)*SUP_CONTROL!$C$28</f>
        <v>0</v>
      </c>
      <c r="G160" s="88">
        <f>SUM(AN25:AY25)*SUP_CONTROL!$C$28</f>
        <v>0</v>
      </c>
      <c r="H160" s="88">
        <f>SUM(AZ25:BK25)*SUP_CONTROL!$C$28</f>
        <v>26228.93</v>
      </c>
      <c r="I160" s="88">
        <f>SUM(BL25:BW25)*SUP_CONTROL!$C$28</f>
        <v>69999.930000000008</v>
      </c>
      <c r="J160" s="88">
        <f>SUM(BX25:CI25)*SUP_CONTROL!$C$28</f>
        <v>68013.39999999998</v>
      </c>
      <c r="K160" s="88">
        <f>SUM(CJ25:CU25)*SUP_CONTROL!$C$28</f>
        <v>67878.719999999987</v>
      </c>
      <c r="L160" s="88">
        <f>SUM(CV25:DG25)*SUP_CONTROL!$C$28</f>
        <v>67878.719999999987</v>
      </c>
      <c r="M160" s="88">
        <f>SUM(DH25:DS25)*SUP_CONTROL!$C$28</f>
        <v>67878.719999999987</v>
      </c>
      <c r="N160" s="83">
        <f t="shared" si="11"/>
        <v>367878.41999999993</v>
      </c>
    </row>
    <row r="161" spans="1:14" ht="15" customHeight="1" x14ac:dyDescent="0.2">
      <c r="A161" s="88">
        <v>29</v>
      </c>
      <c r="B161" s="37" t="str">
        <f t="shared" si="10"/>
        <v>V</v>
      </c>
      <c r="D161" s="88">
        <f>SUM(D26:O26)*SUP_CONTROL!$C$28</f>
        <v>0</v>
      </c>
      <c r="E161" s="88">
        <f>SUM(P26:AA26)*SUP_CONTROL!$C$28</f>
        <v>0</v>
      </c>
      <c r="F161" s="88">
        <f>SUM(AB26:AM26)*SUP_CONTROL!$C$28</f>
        <v>0</v>
      </c>
      <c r="G161" s="88">
        <f>SUM(AN26:AY26)*SUP_CONTROL!$C$28</f>
        <v>0</v>
      </c>
      <c r="H161" s="88">
        <f>SUM(AZ26:BK26)*SUP_CONTROL!$C$28</f>
        <v>20168.330000000002</v>
      </c>
      <c r="I161" s="88">
        <f>SUM(BL26:BW26)*SUP_CONTROL!$C$28</f>
        <v>69999.930000000008</v>
      </c>
      <c r="J161" s="88">
        <f>SUM(BX26:CI26)*SUP_CONTROL!$C$28</f>
        <v>68013.39999999998</v>
      </c>
      <c r="K161" s="88">
        <f>SUM(CJ26:CU26)*SUP_CONTROL!$C$28</f>
        <v>67878.719999999987</v>
      </c>
      <c r="L161" s="88">
        <f>SUM(CV26:DG26)*SUP_CONTROL!$C$28</f>
        <v>67878.719999999987</v>
      </c>
      <c r="M161" s="88">
        <f>SUM(DH26:DS26)*SUP_CONTROL!$C$28</f>
        <v>67878.719999999987</v>
      </c>
      <c r="N161" s="83">
        <f t="shared" si="11"/>
        <v>361817.81999999989</v>
      </c>
    </row>
    <row r="162" spans="1:14" ht="15" customHeight="1" x14ac:dyDescent="0.2">
      <c r="A162" s="88">
        <v>30</v>
      </c>
      <c r="B162" s="37" t="str">
        <f t="shared" si="10"/>
        <v>V</v>
      </c>
      <c r="D162" s="88">
        <f>SUM(D27:O27)*SUP_CONTROL!$C$28</f>
        <v>0</v>
      </c>
      <c r="E162" s="88">
        <f>SUM(P27:AA27)*SUP_CONTROL!$C$28</f>
        <v>0</v>
      </c>
      <c r="F162" s="88">
        <f>SUM(AB27:AM27)*SUP_CONTROL!$C$28</f>
        <v>0</v>
      </c>
      <c r="G162" s="88">
        <f>SUM(AN27:AY27)*SUP_CONTROL!$C$28</f>
        <v>0</v>
      </c>
      <c r="H162" s="88">
        <f>SUM(AZ27:BK27)*SUP_CONTROL!$C$28</f>
        <v>14121.198</v>
      </c>
      <c r="I162" s="88">
        <f>SUM(BL27:BW27)*SUP_CONTROL!$C$28</f>
        <v>69999.930000000008</v>
      </c>
      <c r="J162" s="88">
        <f>SUM(BX27:CI27)*SUP_CONTROL!$C$28</f>
        <v>68013.39999999998</v>
      </c>
      <c r="K162" s="88">
        <f>SUM(CJ27:CU27)*SUP_CONTROL!$C$28</f>
        <v>67878.719999999987</v>
      </c>
      <c r="L162" s="88">
        <f>SUM(CV27:DG27)*SUP_CONTROL!$C$28</f>
        <v>67878.719999999987</v>
      </c>
      <c r="M162" s="88">
        <f>SUM(DH27:DS27)*SUP_CONTROL!$C$28</f>
        <v>67878.719999999987</v>
      </c>
      <c r="N162" s="83">
        <f t="shared" si="11"/>
        <v>355770.68799999991</v>
      </c>
    </row>
    <row r="163" spans="1:14" ht="15" customHeight="1" x14ac:dyDescent="0.2">
      <c r="A163" s="88">
        <v>31</v>
      </c>
      <c r="B163" s="37" t="str">
        <f t="shared" si="10"/>
        <v>D</v>
      </c>
      <c r="D163" s="88">
        <f>SUM(D28:O28)*SUP_CONTROL!$C$28</f>
        <v>0</v>
      </c>
      <c r="E163" s="88">
        <f>SUM(P28:AA28)*SUP_CONTROL!$C$28</f>
        <v>0</v>
      </c>
      <c r="F163" s="88">
        <f>SUM(AB28:AM28)*SUP_CONTROL!$C$28</f>
        <v>0</v>
      </c>
      <c r="G163" s="88">
        <f>SUM(AN28:AY28)*SUP_CONTROL!$C$28</f>
        <v>0</v>
      </c>
      <c r="H163" s="88">
        <f>SUM(AZ28:BK28)*SUP_CONTROL!$C$28</f>
        <v>11284.163800000002</v>
      </c>
      <c r="I163" s="88">
        <f>SUM(BL28:BW28)*SUP_CONTROL!$C$28</f>
        <v>90229.539400000023</v>
      </c>
      <c r="J163" s="88">
        <f>SUM(BX28:CI28)*SUP_CONTROL!$C$28</f>
        <v>88417.420000000013</v>
      </c>
      <c r="K163" s="88">
        <f>SUM(CJ28:CU28)*SUP_CONTROL!$C$28</f>
        <v>88242.33600000001</v>
      </c>
      <c r="L163" s="88">
        <f>SUM(CV28:DG28)*SUP_CONTROL!$C$28</f>
        <v>88242.33600000001</v>
      </c>
      <c r="M163" s="88">
        <f>SUM(DH28:DS28)*SUP_CONTROL!$C$28</f>
        <v>88242.33600000001</v>
      </c>
      <c r="N163" s="83">
        <f t="shared" si="11"/>
        <v>454658.13120000006</v>
      </c>
    </row>
    <row r="164" spans="1:14" ht="15" customHeight="1" x14ac:dyDescent="0.2">
      <c r="A164" s="88">
        <v>32</v>
      </c>
      <c r="B164" s="37" t="str">
        <f t="shared" si="10"/>
        <v>V</v>
      </c>
      <c r="D164" s="88">
        <f>SUM(D29:O29)*SUP_CONTROL!$C$28</f>
        <v>0</v>
      </c>
      <c r="E164" s="88">
        <f>SUM(P29:AA29)*SUP_CONTROL!$C$28</f>
        <v>0</v>
      </c>
      <c r="F164" s="88">
        <f>SUM(AB29:AM29)*SUP_CONTROL!$C$28</f>
        <v>0</v>
      </c>
      <c r="G164" s="88">
        <f>SUM(AN29:AY29)*SUP_CONTROL!$C$28</f>
        <v>0</v>
      </c>
      <c r="H164" s="88">
        <f>SUM(AZ29:BK29)*SUP_CONTROL!$C$28</f>
        <v>3851.8480000000004</v>
      </c>
      <c r="I164" s="88">
        <f>SUM(BL29:BW29)*SUP_CONTROL!$C$28</f>
        <v>68222.15400000001</v>
      </c>
      <c r="J164" s="88">
        <f>SUM(BX29:CI29)*SUP_CONTROL!$C$28</f>
        <v>68013.39999999998</v>
      </c>
      <c r="K164" s="88">
        <f>SUM(CJ29:CU29)*SUP_CONTROL!$C$28</f>
        <v>67878.719999999987</v>
      </c>
      <c r="L164" s="88">
        <f>SUM(CV29:DG29)*SUP_CONTROL!$C$28</f>
        <v>67878.719999999987</v>
      </c>
      <c r="M164" s="88">
        <f>SUM(DH29:DS29)*SUP_CONTROL!$C$28</f>
        <v>67878.719999999987</v>
      </c>
      <c r="N164" s="83">
        <f t="shared" si="11"/>
        <v>343723.56199999992</v>
      </c>
    </row>
    <row r="165" spans="1:14" ht="15" customHeight="1" x14ac:dyDescent="0.2">
      <c r="A165" s="88">
        <v>33</v>
      </c>
      <c r="B165" s="37" t="str">
        <f t="shared" si="10"/>
        <v>V</v>
      </c>
      <c r="D165" s="88">
        <f>SUM(D30:O30)*SUP_CONTROL!$C$28</f>
        <v>0</v>
      </c>
      <c r="E165" s="88">
        <f>SUM(P30:AA30)*SUP_CONTROL!$C$28</f>
        <v>0</v>
      </c>
      <c r="F165" s="88">
        <f>SUM(AB30:AM30)*SUP_CONTROL!$C$28</f>
        <v>0</v>
      </c>
      <c r="G165" s="88">
        <f>SUM(AN30:AY30)*SUP_CONTROL!$C$28</f>
        <v>0</v>
      </c>
      <c r="H165" s="88">
        <f>SUM(AZ30:BK30)*SUP_CONTROL!$C$28</f>
        <v>0</v>
      </c>
      <c r="I165" s="88">
        <f>SUM(BL30:BW30)*SUP_CONTROL!$C$28</f>
        <v>66148.082000000009</v>
      </c>
      <c r="J165" s="88">
        <f>SUM(BX30:CI30)*SUP_CONTROL!$C$28</f>
        <v>68013.39999999998</v>
      </c>
      <c r="K165" s="88">
        <f>SUM(CJ30:CU30)*SUP_CONTROL!$C$28</f>
        <v>67878.719999999987</v>
      </c>
      <c r="L165" s="88">
        <f>SUM(CV30:DG30)*SUP_CONTROL!$C$28</f>
        <v>67878.719999999987</v>
      </c>
      <c r="M165" s="88">
        <f>SUM(DH30:DS30)*SUP_CONTROL!$C$28</f>
        <v>67878.719999999987</v>
      </c>
      <c r="N165" s="83">
        <f t="shared" si="11"/>
        <v>337797.64199999993</v>
      </c>
    </row>
    <row r="166" spans="1:14" ht="15" customHeight="1" x14ac:dyDescent="0.2">
      <c r="A166" s="88">
        <v>34</v>
      </c>
      <c r="B166" s="37" t="str">
        <f t="shared" si="10"/>
        <v>V</v>
      </c>
      <c r="D166" s="88">
        <f>SUM(D31:O31)*SUP_CONTROL!$C$28</f>
        <v>0</v>
      </c>
      <c r="E166" s="88">
        <f>SUM(P31:AA31)*SUP_CONTROL!$C$28</f>
        <v>0</v>
      </c>
      <c r="F166" s="88">
        <f>SUM(AB31:AM31)*SUP_CONTROL!$C$28</f>
        <v>0</v>
      </c>
      <c r="G166" s="88">
        <f>SUM(AN31:AY31)*SUP_CONTROL!$C$28</f>
        <v>0</v>
      </c>
      <c r="H166" s="88">
        <f>SUM(AZ31:BK31)*SUP_CONTROL!$C$28</f>
        <v>0</v>
      </c>
      <c r="I166" s="88">
        <f>SUM(BL31:BW31)*SUP_CONTROL!$C$28</f>
        <v>60222.162000000004</v>
      </c>
      <c r="J166" s="88">
        <f>SUM(BX31:CI31)*SUP_CONTROL!$C$28</f>
        <v>68013.39999999998</v>
      </c>
      <c r="K166" s="88">
        <f>SUM(CJ31:CU31)*SUP_CONTROL!$C$28</f>
        <v>67878.719999999987</v>
      </c>
      <c r="L166" s="88">
        <f>SUM(CV31:DG31)*SUP_CONTROL!$C$28</f>
        <v>67878.719999999987</v>
      </c>
      <c r="M166" s="88">
        <f>SUM(DH31:DS31)*SUP_CONTROL!$C$28</f>
        <v>67878.719999999987</v>
      </c>
      <c r="N166" s="83">
        <f t="shared" si="11"/>
        <v>331871.72199999989</v>
      </c>
    </row>
    <row r="167" spans="1:14" ht="15" customHeight="1" x14ac:dyDescent="0.2">
      <c r="A167" s="88">
        <v>35</v>
      </c>
      <c r="B167" s="37" t="str">
        <f t="shared" si="10"/>
        <v>D</v>
      </c>
      <c r="D167" s="88">
        <f>SUM(D32:O32)*SUP_CONTROL!$C$28</f>
        <v>0</v>
      </c>
      <c r="E167" s="88">
        <f>SUM(P32:AA32)*SUP_CONTROL!$C$28</f>
        <v>0</v>
      </c>
      <c r="F167" s="88">
        <f>SUM(AB32:AM32)*SUP_CONTROL!$C$28</f>
        <v>0</v>
      </c>
      <c r="G167" s="88">
        <f>SUM(AN32:AY32)*SUP_CONTROL!$C$28</f>
        <v>0</v>
      </c>
      <c r="H167" s="88">
        <f>SUM(AZ32:BK32)*SUP_CONTROL!$C$28</f>
        <v>0</v>
      </c>
      <c r="I167" s="88">
        <f>SUM(BL32:BW32)*SUP_CONTROL!$C$28</f>
        <v>70598.245900000009</v>
      </c>
      <c r="J167" s="88">
        <f>SUM(BX32:CI32)*SUP_CONTROL!$C$28</f>
        <v>88417.420000000013</v>
      </c>
      <c r="K167" s="88">
        <f>SUM(CJ32:CU32)*SUP_CONTROL!$C$28</f>
        <v>88242.33600000001</v>
      </c>
      <c r="L167" s="88">
        <f>SUM(CV32:DG32)*SUP_CONTROL!$C$28</f>
        <v>88242.33600000001</v>
      </c>
      <c r="M167" s="88">
        <f>SUM(DH32:DS32)*SUP_CONTROL!$C$28</f>
        <v>88242.33600000001</v>
      </c>
      <c r="N167" s="83">
        <f t="shared" si="11"/>
        <v>423742.67390000005</v>
      </c>
    </row>
    <row r="168" spans="1:14" ht="15" customHeight="1" x14ac:dyDescent="0.2">
      <c r="A168" s="88">
        <v>36</v>
      </c>
      <c r="B168" s="37" t="str">
        <f t="shared" si="10"/>
        <v>V</v>
      </c>
      <c r="D168" s="88">
        <f>SUM(D33:O33)*SUP_CONTROL!$C$28</f>
        <v>0</v>
      </c>
      <c r="E168" s="88">
        <f>SUM(P33:AA33)*SUP_CONTROL!$C$28</f>
        <v>0</v>
      </c>
      <c r="F168" s="88">
        <f>SUM(AB33:AM33)*SUP_CONTROL!$C$28</f>
        <v>0</v>
      </c>
      <c r="G168" s="88">
        <f>SUM(AN33:AY33)*SUP_CONTROL!$C$28</f>
        <v>0</v>
      </c>
      <c r="H168" s="88">
        <f>SUM(AZ33:BK33)*SUP_CONTROL!$C$28</f>
        <v>0</v>
      </c>
      <c r="I168" s="88">
        <f>SUM(BL33:BW33)*SUP_CONTROL!$C$28</f>
        <v>48400.625000000007</v>
      </c>
      <c r="J168" s="88">
        <f>SUM(BX33:CI33)*SUP_CONTROL!$C$28</f>
        <v>68013.39999999998</v>
      </c>
      <c r="K168" s="88">
        <f>SUM(CJ33:CU33)*SUP_CONTROL!$C$28</f>
        <v>67878.719999999987</v>
      </c>
      <c r="L168" s="88">
        <f>SUM(CV33:DG33)*SUP_CONTROL!$C$28</f>
        <v>67878.719999999987</v>
      </c>
      <c r="M168" s="88">
        <f>SUM(DH33:DS33)*SUP_CONTROL!$C$28</f>
        <v>67878.719999999987</v>
      </c>
      <c r="N168" s="83">
        <f t="shared" si="11"/>
        <v>320050.18499999994</v>
      </c>
    </row>
    <row r="169" spans="1:14" ht="15" customHeight="1" x14ac:dyDescent="0.2">
      <c r="A169" s="88">
        <v>37</v>
      </c>
      <c r="B169" s="37" t="str">
        <f t="shared" si="10"/>
        <v>V</v>
      </c>
      <c r="D169" s="88">
        <f>SUM(D34:O34)*SUP_CONTROL!$C$28</f>
        <v>0</v>
      </c>
      <c r="E169" s="88">
        <f>SUM(P34:AA34)*SUP_CONTROL!$C$28</f>
        <v>0</v>
      </c>
      <c r="F169" s="88">
        <f>SUM(AB34:AM34)*SUP_CONTROL!$C$28</f>
        <v>0</v>
      </c>
      <c r="G169" s="88">
        <f>SUM(AN34:AY34)*SUP_CONTROL!$C$28</f>
        <v>0</v>
      </c>
      <c r="H169" s="88">
        <f>SUM(AZ34:BK34)*SUP_CONTROL!$C$28</f>
        <v>0</v>
      </c>
      <c r="I169" s="88">
        <f>SUM(BL34:BW34)*SUP_CONTROL!$C$28</f>
        <v>42510.058499999999</v>
      </c>
      <c r="J169" s="88">
        <f>SUM(BX34:CI34)*SUP_CONTROL!$C$28</f>
        <v>68013.39999999998</v>
      </c>
      <c r="K169" s="88">
        <f>SUM(CJ34:CU34)*SUP_CONTROL!$C$28</f>
        <v>67878.719999999987</v>
      </c>
      <c r="L169" s="88">
        <f>SUM(CV34:DG34)*SUP_CONTROL!$C$28</f>
        <v>67878.719999999987</v>
      </c>
      <c r="M169" s="88">
        <f>SUM(DH34:DS34)*SUP_CONTROL!$C$28</f>
        <v>67878.719999999987</v>
      </c>
      <c r="N169" s="83">
        <f t="shared" si="11"/>
        <v>314159.61849999992</v>
      </c>
    </row>
    <row r="170" spans="1:14" ht="15" customHeight="1" x14ac:dyDescent="0.2">
      <c r="A170" s="88">
        <v>38</v>
      </c>
      <c r="B170" s="37" t="str">
        <f t="shared" si="10"/>
        <v>V</v>
      </c>
      <c r="D170" s="88">
        <f>SUM(D35:O35)*SUP_CONTROL!$C$28</f>
        <v>0</v>
      </c>
      <c r="E170" s="88">
        <f>SUM(P35:AA35)*SUP_CONTROL!$C$28</f>
        <v>0</v>
      </c>
      <c r="F170" s="88">
        <f>SUM(AB35:AM35)*SUP_CONTROL!$C$28</f>
        <v>0</v>
      </c>
      <c r="G170" s="88">
        <f>SUM(AN35:AY35)*SUP_CONTROL!$C$28</f>
        <v>0</v>
      </c>
      <c r="H170" s="88">
        <f>SUM(AZ35:BK35)*SUP_CONTROL!$C$28</f>
        <v>0</v>
      </c>
      <c r="I170" s="88">
        <f>SUM(BL35:BW35)*SUP_CONTROL!$C$28</f>
        <v>36685.148500000003</v>
      </c>
      <c r="J170" s="88">
        <f>SUM(BX35:CI35)*SUP_CONTROL!$C$28</f>
        <v>68013.39999999998</v>
      </c>
      <c r="K170" s="88">
        <f>SUM(CJ35:CU35)*SUP_CONTROL!$C$28</f>
        <v>67878.719999999987</v>
      </c>
      <c r="L170" s="88">
        <f>SUM(CV35:DG35)*SUP_CONTROL!$C$28</f>
        <v>67878.719999999987</v>
      </c>
      <c r="M170" s="88">
        <f>SUM(DH35:DS35)*SUP_CONTROL!$C$28</f>
        <v>67878.719999999987</v>
      </c>
      <c r="N170" s="83">
        <f t="shared" si="11"/>
        <v>308334.70849999989</v>
      </c>
    </row>
    <row r="171" spans="1:14" ht="15" customHeight="1" x14ac:dyDescent="0.2">
      <c r="A171" s="88">
        <v>39</v>
      </c>
      <c r="B171" s="37" t="str">
        <f t="shared" si="10"/>
        <v>D</v>
      </c>
      <c r="D171" s="88">
        <f>SUM(D36:O36)*SUP_CONTROL!$C$28</f>
        <v>0</v>
      </c>
      <c r="E171" s="88">
        <f>SUM(P36:AA36)*SUP_CONTROL!$C$28</f>
        <v>0</v>
      </c>
      <c r="F171" s="88">
        <f>SUM(AB36:AM36)*SUP_CONTROL!$C$28</f>
        <v>0</v>
      </c>
      <c r="G171" s="88">
        <f>SUM(AN36:AY36)*SUP_CONTROL!$C$28</f>
        <v>0</v>
      </c>
      <c r="H171" s="88">
        <f>SUM(AZ36:BK36)*SUP_CONTROL!$C$28</f>
        <v>0</v>
      </c>
      <c r="I171" s="88">
        <f>SUM(BL36:BW36)*SUP_CONTROL!$C$28</f>
        <v>40118.31005</v>
      </c>
      <c r="J171" s="88">
        <f>SUM(BX36:CI36)*SUP_CONTROL!$C$28</f>
        <v>88417.420000000013</v>
      </c>
      <c r="K171" s="88">
        <f>SUM(CJ36:CU36)*SUP_CONTROL!$C$28</f>
        <v>88242.33600000001</v>
      </c>
      <c r="L171" s="88">
        <f>SUM(CV36:DG36)*SUP_CONTROL!$C$28</f>
        <v>88242.33600000001</v>
      </c>
      <c r="M171" s="88">
        <f>SUM(DH36:DS36)*SUP_CONTROL!$C$28</f>
        <v>88242.33600000001</v>
      </c>
      <c r="N171" s="83">
        <f t="shared" si="11"/>
        <v>393262.73805000004</v>
      </c>
    </row>
    <row r="172" spans="1:14" ht="15" customHeight="1" x14ac:dyDescent="0.2">
      <c r="A172" s="88">
        <v>40</v>
      </c>
      <c r="B172" s="37" t="str">
        <f t="shared" si="10"/>
        <v>F</v>
      </c>
      <c r="D172" s="88">
        <f>SUM(D37:O37)*SUP_CONTROL!$C$28</f>
        <v>0</v>
      </c>
      <c r="E172" s="88">
        <f>SUM(P37:AA37)*SUP_CONTROL!$C$28</f>
        <v>0</v>
      </c>
      <c r="F172" s="88">
        <f>SUM(AB37:AM37)*SUP_CONTROL!$C$28</f>
        <v>0</v>
      </c>
      <c r="G172" s="88">
        <f>SUM(AN37:AY37)*SUP_CONTROL!$C$28</f>
        <v>0</v>
      </c>
      <c r="H172" s="88">
        <f>SUM(AZ37:BK37)*SUP_CONTROL!$C$28</f>
        <v>0</v>
      </c>
      <c r="I172" s="88">
        <f>SUM(BL37:BW37)*SUP_CONTROL!$C$28</f>
        <v>50090.858999999997</v>
      </c>
      <c r="J172" s="88">
        <f>SUM(BX37:CI37)*SUP_CONTROL!$C$28</f>
        <v>136026.79999999996</v>
      </c>
      <c r="K172" s="88">
        <f>SUM(CJ37:CU37)*SUP_CONTROL!$C$28</f>
        <v>135757.43999999997</v>
      </c>
      <c r="L172" s="88">
        <f>SUM(CV37:DG37)*SUP_CONTROL!$C$28</f>
        <v>135757.43999999997</v>
      </c>
      <c r="M172" s="88">
        <f>SUM(DH37:DS37)*SUP_CONTROL!$C$28</f>
        <v>135757.43999999997</v>
      </c>
      <c r="N172" s="83">
        <f t="shared" si="11"/>
        <v>593389.97899999982</v>
      </c>
    </row>
    <row r="173" spans="1:14" ht="15" customHeight="1" x14ac:dyDescent="0.2">
      <c r="A173" s="88">
        <v>41</v>
      </c>
      <c r="B173" s="37" t="str">
        <f t="shared" si="10"/>
        <v>V</v>
      </c>
      <c r="D173" s="88">
        <f>SUM(D38:O38)*SUP_CONTROL!$C$28</f>
        <v>0</v>
      </c>
      <c r="E173" s="88">
        <f>SUM(P38:AA38)*SUP_CONTROL!$C$28</f>
        <v>0</v>
      </c>
      <c r="F173" s="88">
        <f>SUM(AB38:AM38)*SUP_CONTROL!$C$28</f>
        <v>0</v>
      </c>
      <c r="G173" s="88">
        <f>SUM(AN38:AY38)*SUP_CONTROL!$C$28</f>
        <v>0</v>
      </c>
      <c r="H173" s="88">
        <f>SUM(AZ38:BK38)*SUP_CONTROL!$C$28</f>
        <v>0</v>
      </c>
      <c r="I173" s="88">
        <f>SUM(BL38:BW38)*SUP_CONTROL!$C$28</f>
        <v>19240.7215</v>
      </c>
      <c r="J173" s="88">
        <f>SUM(BX38:CI38)*SUP_CONTROL!$C$28</f>
        <v>68013.39999999998</v>
      </c>
      <c r="K173" s="88">
        <f>SUM(CJ38:CU38)*SUP_CONTROL!$C$28</f>
        <v>67878.719999999987</v>
      </c>
      <c r="L173" s="88">
        <f>SUM(CV38:DG38)*SUP_CONTROL!$C$28</f>
        <v>67878.719999999987</v>
      </c>
      <c r="M173" s="88">
        <f>SUM(DH38:DS38)*SUP_CONTROL!$C$28</f>
        <v>67878.719999999987</v>
      </c>
      <c r="N173" s="83">
        <f t="shared" si="11"/>
        <v>290890.28149999992</v>
      </c>
    </row>
    <row r="174" spans="1:14" ht="15" customHeight="1" x14ac:dyDescent="0.2">
      <c r="A174" s="88">
        <v>42</v>
      </c>
      <c r="B174" s="37" t="str">
        <f t="shared" si="10"/>
        <v>V</v>
      </c>
      <c r="D174" s="88">
        <f>SUM(D39:O39)*SUP_CONTROL!$C$28</f>
        <v>0</v>
      </c>
      <c r="E174" s="88">
        <f>SUM(P39:AA39)*SUP_CONTROL!$C$28</f>
        <v>0</v>
      </c>
      <c r="F174" s="88">
        <f>SUM(AB39:AM39)*SUP_CONTROL!$C$28</f>
        <v>0</v>
      </c>
      <c r="G174" s="88">
        <f>SUM(AN39:AY39)*SUP_CONTROL!$C$28</f>
        <v>0</v>
      </c>
      <c r="H174" s="88">
        <f>SUM(AZ39:BK39)*SUP_CONTROL!$C$28</f>
        <v>0</v>
      </c>
      <c r="I174" s="88">
        <f>SUM(BL39:BW39)*SUP_CONTROL!$C$28</f>
        <v>13451.165000000001</v>
      </c>
      <c r="J174" s="88">
        <f>SUM(BX39:CI39)*SUP_CONTROL!$C$28</f>
        <v>68013.39999999998</v>
      </c>
      <c r="K174" s="88">
        <f>SUM(CJ39:CU39)*SUP_CONTROL!$C$28</f>
        <v>67878.719999999987</v>
      </c>
      <c r="L174" s="88">
        <f>SUM(CV39:DG39)*SUP_CONTROL!$C$28</f>
        <v>67878.719999999987</v>
      </c>
      <c r="M174" s="88">
        <f>SUM(DH39:DS39)*SUP_CONTROL!$C$28</f>
        <v>67878.719999999987</v>
      </c>
      <c r="N174" s="83">
        <f t="shared" si="11"/>
        <v>285100.72499999992</v>
      </c>
    </row>
    <row r="175" spans="1:14" ht="15" customHeight="1" x14ac:dyDescent="0.2">
      <c r="A175" s="88">
        <v>43</v>
      </c>
      <c r="B175" s="37" t="str">
        <f t="shared" si="10"/>
        <v>V</v>
      </c>
      <c r="D175" s="88">
        <f>SUM(D40:O40)*SUP_CONTROL!$C$28</f>
        <v>0</v>
      </c>
      <c r="E175" s="88">
        <f>SUM(P40:AA40)*SUP_CONTROL!$C$28</f>
        <v>0</v>
      </c>
      <c r="F175" s="88">
        <f>SUM(AB40:AM40)*SUP_CONTROL!$C$28</f>
        <v>0</v>
      </c>
      <c r="G175" s="88">
        <f>SUM(AN40:AY40)*SUP_CONTROL!$C$28</f>
        <v>0</v>
      </c>
      <c r="H175" s="88">
        <f>SUM(AZ40:BK40)*SUP_CONTROL!$C$28</f>
        <v>0</v>
      </c>
      <c r="I175" s="88">
        <f>SUM(BL40:BW40)*SUP_CONTROL!$C$28</f>
        <v>8299.6550000000007</v>
      </c>
      <c r="J175" s="88">
        <f>SUM(BX40:CI40)*SUP_CONTROL!$C$28</f>
        <v>67441.00999999998</v>
      </c>
      <c r="K175" s="88">
        <f>SUM(CJ40:CU40)*SUP_CONTROL!$C$28</f>
        <v>67878.719999999987</v>
      </c>
      <c r="L175" s="88">
        <f>SUM(CV40:DG40)*SUP_CONTROL!$C$28</f>
        <v>67878.719999999987</v>
      </c>
      <c r="M175" s="88">
        <f>SUM(DH40:DS40)*SUP_CONTROL!$C$28</f>
        <v>67878.719999999987</v>
      </c>
      <c r="N175" s="83">
        <f t="shared" si="11"/>
        <v>279376.8249999999</v>
      </c>
    </row>
    <row r="176" spans="1:14" ht="15" customHeight="1" x14ac:dyDescent="0.2">
      <c r="A176" s="88">
        <v>44</v>
      </c>
      <c r="B176" s="37" t="str">
        <f t="shared" si="10"/>
        <v>D</v>
      </c>
      <c r="D176" s="88">
        <f>SUM(D41:O41)*SUP_CONTROL!$C$28</f>
        <v>0</v>
      </c>
      <c r="E176" s="88">
        <f>SUM(P41:AA41)*SUP_CONTROL!$C$28</f>
        <v>0</v>
      </c>
      <c r="F176" s="88">
        <f>SUM(AB41:AM41)*SUP_CONTROL!$C$28</f>
        <v>0</v>
      </c>
      <c r="G176" s="88">
        <f>SUM(AN41:AY41)*SUP_CONTROL!$C$28</f>
        <v>0</v>
      </c>
      <c r="H176" s="88">
        <f>SUM(AZ41:BK41)*SUP_CONTROL!$C$28</f>
        <v>0</v>
      </c>
      <c r="I176" s="88">
        <f>SUM(BL41:BW41)*SUP_CONTROL!$C$28</f>
        <v>4836.6955000000007</v>
      </c>
      <c r="J176" s="88">
        <f>SUM(BX41:CI41)*SUP_CONTROL!$C$28</f>
        <v>86185.099000000002</v>
      </c>
      <c r="K176" s="88">
        <f>SUM(CJ41:CU41)*SUP_CONTROL!$C$28</f>
        <v>88242.33600000001</v>
      </c>
      <c r="L176" s="88">
        <f>SUM(CV41:DG41)*SUP_CONTROL!$C$28</f>
        <v>88242.33600000001</v>
      </c>
      <c r="M176" s="88">
        <f>SUM(DH41:DS41)*SUP_CONTROL!$C$28</f>
        <v>88242.33600000001</v>
      </c>
      <c r="N176" s="83">
        <f t="shared" si="11"/>
        <v>355748.80250000005</v>
      </c>
    </row>
    <row r="177" spans="1:14" ht="15" customHeight="1" x14ac:dyDescent="0.2">
      <c r="A177" s="88">
        <v>45</v>
      </c>
      <c r="B177" s="37" t="str">
        <f t="shared" si="10"/>
        <v>V</v>
      </c>
      <c r="D177" s="88">
        <f>SUM(D42:O42)*SUP_CONTROL!$C$28</f>
        <v>0</v>
      </c>
      <c r="E177" s="88">
        <f>SUM(P42:AA42)*SUP_CONTROL!$C$28</f>
        <v>0</v>
      </c>
      <c r="F177" s="88">
        <f>SUM(AB42:AM42)*SUP_CONTROL!$C$28</f>
        <v>0</v>
      </c>
      <c r="G177" s="88">
        <f>SUM(AN42:AY42)*SUP_CONTROL!$C$28</f>
        <v>0</v>
      </c>
      <c r="H177" s="88">
        <f>SUM(AZ42:BK42)*SUP_CONTROL!$C$28</f>
        <v>0</v>
      </c>
      <c r="I177" s="88">
        <f>SUM(BL42:BW42)*SUP_CONTROL!$C$28</f>
        <v>0</v>
      </c>
      <c r="J177" s="88">
        <f>SUM(BX42:CI42)*SUP_CONTROL!$C$28</f>
        <v>64299.59899999998</v>
      </c>
      <c r="K177" s="88">
        <f>SUM(CJ42:CU42)*SUP_CONTROL!$C$28</f>
        <v>67878.719999999987</v>
      </c>
      <c r="L177" s="88">
        <f>SUM(CV42:DG42)*SUP_CONTROL!$C$28</f>
        <v>67878.719999999987</v>
      </c>
      <c r="M177" s="88">
        <f>SUM(DH42:DS42)*SUP_CONTROL!$C$28</f>
        <v>67878.719999999987</v>
      </c>
      <c r="N177" s="83">
        <f t="shared" si="11"/>
        <v>267935.7589999999</v>
      </c>
    </row>
    <row r="178" spans="1:14" ht="15" customHeight="1" x14ac:dyDescent="0.2">
      <c r="A178" s="88">
        <v>46</v>
      </c>
      <c r="B178" s="37" t="str">
        <f t="shared" si="10"/>
        <v>V</v>
      </c>
      <c r="D178" s="88">
        <f>SUM(D43:O43)*SUP_CONTROL!$C$28</f>
        <v>0</v>
      </c>
      <c r="E178" s="88">
        <f>SUM(P43:AA43)*SUP_CONTROL!$C$28</f>
        <v>0</v>
      </c>
      <c r="F178" s="88">
        <f>SUM(AB43:AM43)*SUP_CONTROL!$C$28</f>
        <v>0</v>
      </c>
      <c r="G178" s="88">
        <f>SUM(AN43:AY43)*SUP_CONTROL!$C$28</f>
        <v>0</v>
      </c>
      <c r="H178" s="88">
        <f>SUM(AZ43:BK43)*SUP_CONTROL!$C$28</f>
        <v>0</v>
      </c>
      <c r="I178" s="88">
        <f>SUM(BL43:BW43)*SUP_CONTROL!$C$28</f>
        <v>0</v>
      </c>
      <c r="J178" s="88">
        <f>SUM(BX43:CI43)*SUP_CONTROL!$C$28</f>
        <v>58589.166999999987</v>
      </c>
      <c r="K178" s="88">
        <f>SUM(CJ43:CU43)*SUP_CONTROL!$C$28</f>
        <v>67878.719999999987</v>
      </c>
      <c r="L178" s="88">
        <f>SUM(CV43:DG43)*SUP_CONTROL!$C$28</f>
        <v>67878.719999999987</v>
      </c>
      <c r="M178" s="88">
        <f>SUM(DH43:DS43)*SUP_CONTROL!$C$28</f>
        <v>67878.719999999987</v>
      </c>
      <c r="N178" s="83">
        <f t="shared" si="11"/>
        <v>262225.32699999993</v>
      </c>
    </row>
    <row r="179" spans="1:14" ht="15" customHeight="1" x14ac:dyDescent="0.2">
      <c r="A179" s="88">
        <v>47</v>
      </c>
      <c r="B179" s="37" t="str">
        <f t="shared" si="10"/>
        <v>V</v>
      </c>
      <c r="D179" s="88">
        <f>SUM(D44:O44)*SUP_CONTROL!$C$28</f>
        <v>0</v>
      </c>
      <c r="E179" s="88">
        <f>SUM(P44:AA44)*SUP_CONTROL!$C$28</f>
        <v>0</v>
      </c>
      <c r="F179" s="88">
        <f>SUM(AB44:AM44)*SUP_CONTROL!$C$28</f>
        <v>0</v>
      </c>
      <c r="G179" s="88">
        <f>SUM(AN44:AY44)*SUP_CONTROL!$C$28</f>
        <v>0</v>
      </c>
      <c r="H179" s="88">
        <f>SUM(AZ44:BK44)*SUP_CONTROL!$C$28</f>
        <v>0</v>
      </c>
      <c r="I179" s="88">
        <f>SUM(BL44:BW44)*SUP_CONTROL!$C$28</f>
        <v>0</v>
      </c>
      <c r="J179" s="88">
        <f>SUM(BX44:CI44)*SUP_CONTROL!$C$28</f>
        <v>52888.835999999988</v>
      </c>
      <c r="K179" s="88">
        <f>SUM(CJ44:CU44)*SUP_CONTROL!$C$28</f>
        <v>67878.719999999987</v>
      </c>
      <c r="L179" s="88">
        <f>SUM(CV44:DG44)*SUP_CONTROL!$C$28</f>
        <v>67878.719999999987</v>
      </c>
      <c r="M179" s="88">
        <f>SUM(DH44:DS44)*SUP_CONTROL!$C$28</f>
        <v>67878.719999999987</v>
      </c>
      <c r="N179" s="83">
        <f t="shared" si="11"/>
        <v>256524.99599999993</v>
      </c>
    </row>
    <row r="180" spans="1:14" ht="15" customHeight="1" x14ac:dyDescent="0.2">
      <c r="A180" s="88">
        <v>48</v>
      </c>
      <c r="B180" s="37" t="str">
        <f t="shared" si="10"/>
        <v>D</v>
      </c>
      <c r="D180" s="88">
        <f>SUM(D45:O45)*SUP_CONTROL!$C$28</f>
        <v>0</v>
      </c>
      <c r="E180" s="88">
        <f>SUM(P45:AA45)*SUP_CONTROL!$C$28</f>
        <v>0</v>
      </c>
      <c r="F180" s="88">
        <f>SUM(AB45:AM45)*SUP_CONTROL!$C$28</f>
        <v>0</v>
      </c>
      <c r="G180" s="88">
        <f>SUM(AN45:AY45)*SUP_CONTROL!$C$28</f>
        <v>0</v>
      </c>
      <c r="H180" s="88">
        <f>SUM(AZ45:BK45)*SUP_CONTROL!$C$28</f>
        <v>0</v>
      </c>
      <c r="I180" s="88">
        <f>SUM(BL45:BW45)*SUP_CONTROL!$C$28</f>
        <v>0</v>
      </c>
      <c r="J180" s="88">
        <f>SUM(BX45:CI45)*SUP_CONTROL!$C$28</f>
        <v>61401.958799999993</v>
      </c>
      <c r="K180" s="88">
        <f>SUM(CJ45:CU45)*SUP_CONTROL!$C$28</f>
        <v>88242.33600000001</v>
      </c>
      <c r="L180" s="88">
        <f>SUM(CV45:DG45)*SUP_CONTROL!$C$28</f>
        <v>88242.33600000001</v>
      </c>
      <c r="M180" s="88">
        <f>SUM(DH45:DS45)*SUP_CONTROL!$C$28</f>
        <v>88242.33600000001</v>
      </c>
      <c r="N180" s="83">
        <f t="shared" si="11"/>
        <v>326128.96680000005</v>
      </c>
    </row>
    <row r="181" spans="1:14" ht="15" customHeight="1" x14ac:dyDescent="0.2">
      <c r="A181" s="88">
        <v>49</v>
      </c>
      <c r="B181" s="37" t="str">
        <f t="shared" si="10"/>
        <v>V</v>
      </c>
      <c r="D181" s="88">
        <f>SUM(D46:O46)*SUP_CONTROL!$C$28</f>
        <v>0</v>
      </c>
      <c r="E181" s="88">
        <f>SUM(P46:AA46)*SUP_CONTROL!$C$28</f>
        <v>0</v>
      </c>
      <c r="F181" s="88">
        <f>SUM(AB46:AM46)*SUP_CONTROL!$C$28</f>
        <v>0</v>
      </c>
      <c r="G181" s="88">
        <f>SUM(AN46:AY46)*SUP_CONTROL!$C$28</f>
        <v>0</v>
      </c>
      <c r="H181" s="88">
        <f>SUM(AZ46:BK46)*SUP_CONTROL!$C$28</f>
        <v>0</v>
      </c>
      <c r="I181" s="88">
        <f>SUM(BL46:BW46)*SUP_CONTROL!$C$28</f>
        <v>0</v>
      </c>
      <c r="J181" s="88">
        <f>SUM(BX46:CI46)*SUP_CONTROL!$C$28</f>
        <v>41575.715999999993</v>
      </c>
      <c r="K181" s="88">
        <f>SUM(CJ46:CU46)*SUP_CONTROL!$C$28</f>
        <v>67878.719999999987</v>
      </c>
      <c r="L181" s="88">
        <f>SUM(CV46:DG46)*SUP_CONTROL!$C$28</f>
        <v>67878.719999999987</v>
      </c>
      <c r="M181" s="88">
        <f>SUM(DH46:DS46)*SUP_CONTROL!$C$28</f>
        <v>67878.719999999987</v>
      </c>
      <c r="N181" s="83">
        <f t="shared" si="11"/>
        <v>245211.87599999993</v>
      </c>
    </row>
    <row r="182" spans="1:14" ht="15" customHeight="1" x14ac:dyDescent="0.2">
      <c r="A182" s="88">
        <v>50</v>
      </c>
      <c r="B182" s="37" t="str">
        <f t="shared" si="10"/>
        <v>V</v>
      </c>
      <c r="D182" s="88">
        <f>SUM(D47:O47)*SUP_CONTROL!$C$28</f>
        <v>0</v>
      </c>
      <c r="E182" s="88">
        <f>SUM(P47:AA47)*SUP_CONTROL!$C$28</f>
        <v>0</v>
      </c>
      <c r="F182" s="88">
        <f>SUM(AB47:AM47)*SUP_CONTROL!$C$28</f>
        <v>0</v>
      </c>
      <c r="G182" s="88">
        <f>SUM(AN47:AY47)*SUP_CONTROL!$C$28</f>
        <v>0</v>
      </c>
      <c r="H182" s="88">
        <f>SUM(AZ47:BK47)*SUP_CONTROL!$C$28</f>
        <v>0</v>
      </c>
      <c r="I182" s="88">
        <f>SUM(BL47:BW47)*SUP_CONTROL!$C$28</f>
        <v>0</v>
      </c>
      <c r="J182" s="88">
        <f>SUM(BX47:CI47)*SUP_CONTROL!$C$28</f>
        <v>52888.835999999988</v>
      </c>
      <c r="K182" s="88">
        <f>SUM(CJ47:CU47)*SUP_CONTROL!$C$28</f>
        <v>67878.719999999987</v>
      </c>
      <c r="L182" s="88">
        <f>SUM(CV47:DG47)*SUP_CONTROL!$C$28</f>
        <v>67878.719999999987</v>
      </c>
      <c r="M182" s="88">
        <f>SUM(DH47:DS47)*SUP_CONTROL!$C$28</f>
        <v>67878.719999999987</v>
      </c>
      <c r="N182" s="83">
        <f t="shared" si="11"/>
        <v>256524.99599999993</v>
      </c>
    </row>
    <row r="183" spans="1:14" ht="15" customHeight="1" x14ac:dyDescent="0.2">
      <c r="B183" s="20" t="s">
        <v>1062</v>
      </c>
      <c r="D183" s="83">
        <f t="shared" ref="D183:N183" si="12">SUM(D143:D182)</f>
        <v>0</v>
      </c>
      <c r="E183" s="83">
        <f t="shared" si="12"/>
        <v>114814.70000000001</v>
      </c>
      <c r="F183" s="83">
        <f t="shared" si="12"/>
        <v>393486.98024999996</v>
      </c>
      <c r="G183" s="83">
        <f t="shared" si="12"/>
        <v>974367.20744999999</v>
      </c>
      <c r="H183" s="83">
        <f t="shared" si="12"/>
        <v>1341457.9177999997</v>
      </c>
      <c r="I183" s="83">
        <f t="shared" si="12"/>
        <v>2173051.86735</v>
      </c>
      <c r="J183" s="83">
        <f t="shared" si="12"/>
        <v>2940553.9617999983</v>
      </c>
      <c r="K183" s="83">
        <f t="shared" si="12"/>
        <v>3034178.7840000009</v>
      </c>
      <c r="L183" s="83">
        <f t="shared" si="12"/>
        <v>3034178.7840000009</v>
      </c>
      <c r="M183" s="83">
        <f t="shared" si="12"/>
        <v>3034178.7840000009</v>
      </c>
      <c r="N183" s="83">
        <f t="shared" si="12"/>
        <v>17040268.986649994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843C0C"/>
  </sheetPr>
  <dimension ref="A1:I22"/>
  <sheetViews>
    <sheetView zoomScaleNormal="100" workbookViewId="0"/>
  </sheetViews>
  <sheetFormatPr baseColWidth="10" defaultColWidth="8.6640625" defaultRowHeight="15" x14ac:dyDescent="0.2"/>
  <cols>
    <col min="1" max="1" width="4" customWidth="1"/>
    <col min="2" max="2" width="52" customWidth="1"/>
    <col min="3" max="4" width="13" customWidth="1"/>
    <col min="7" max="7" width="100" customWidth="1"/>
  </cols>
  <sheetData>
    <row r="1" spans="1:9" ht="15" customHeight="1" x14ac:dyDescent="0.2">
      <c r="A1" s="24" t="s">
        <v>1065</v>
      </c>
      <c r="B1" s="14"/>
      <c r="C1" s="14"/>
      <c r="D1" s="14"/>
      <c r="E1" s="14"/>
      <c r="F1" s="14"/>
      <c r="G1" s="14"/>
      <c r="H1" s="14"/>
      <c r="I1" s="14"/>
    </row>
    <row r="2" spans="1:9" ht="15" customHeight="1" x14ac:dyDescent="0.2">
      <c r="A2" s="23" t="s">
        <v>1066</v>
      </c>
    </row>
    <row r="3" spans="1:9" ht="15" customHeight="1" x14ac:dyDescent="0.2">
      <c r="A3" s="23" t="s">
        <v>89</v>
      </c>
    </row>
    <row r="5" spans="1:9" ht="15" customHeight="1" x14ac:dyDescent="0.2">
      <c r="A5" s="25" t="s">
        <v>1067</v>
      </c>
      <c r="B5" s="26"/>
      <c r="C5" s="26"/>
      <c r="D5" s="26"/>
      <c r="E5" s="26"/>
      <c r="F5" s="26"/>
      <c r="G5" s="26"/>
      <c r="H5" s="26"/>
      <c r="I5" s="26"/>
    </row>
    <row r="6" spans="1:9" ht="15" customHeight="1" x14ac:dyDescent="0.2">
      <c r="B6" s="20" t="s">
        <v>723</v>
      </c>
      <c r="C6" s="20" t="s">
        <v>689</v>
      </c>
      <c r="D6" s="20" t="s">
        <v>691</v>
      </c>
    </row>
    <row r="7" spans="1:9" ht="15" customHeight="1" x14ac:dyDescent="0.2">
      <c r="B7" t="s">
        <v>1068</v>
      </c>
      <c r="C7" s="71">
        <v>45000</v>
      </c>
      <c r="D7" s="77">
        <f>C7*SUP_CAPEX_PLANTA!$C$8</f>
        <v>73732.5</v>
      </c>
      <c r="G7" s="23" t="s">
        <v>1069</v>
      </c>
    </row>
    <row r="8" spans="1:9" ht="15" customHeight="1" x14ac:dyDescent="0.2">
      <c r="B8" t="s">
        <v>1070</v>
      </c>
      <c r="C8" s="71">
        <v>30000</v>
      </c>
      <c r="D8" s="77">
        <f>C8*SUP_CAPEX_PLANTA!$C$8</f>
        <v>49154.999999999993</v>
      </c>
      <c r="G8" s="23" t="s">
        <v>1071</v>
      </c>
    </row>
    <row r="9" spans="1:9" ht="15" customHeight="1" x14ac:dyDescent="0.2">
      <c r="B9" t="s">
        <v>1072</v>
      </c>
      <c r="C9" s="71">
        <v>12000</v>
      </c>
      <c r="D9" s="77">
        <f>C9*SUP_CAPEX_PLANTA!$C$8</f>
        <v>19661.999999999996</v>
      </c>
      <c r="G9" s="23" t="s">
        <v>1073</v>
      </c>
    </row>
    <row r="10" spans="1:9" ht="15" customHeight="1" x14ac:dyDescent="0.2">
      <c r="B10" t="s">
        <v>1074</v>
      </c>
      <c r="C10" s="71">
        <v>20000</v>
      </c>
      <c r="D10" s="77">
        <f>C10*SUP_CAPEX_PLANTA!$C$8</f>
        <v>32770</v>
      </c>
      <c r="G10" s="23" t="s">
        <v>1075</v>
      </c>
    </row>
    <row r="11" spans="1:9" ht="15" customHeight="1" x14ac:dyDescent="0.2">
      <c r="B11" t="s">
        <v>1076</v>
      </c>
      <c r="D11" s="71">
        <v>8000</v>
      </c>
      <c r="G11" s="23" t="s">
        <v>1077</v>
      </c>
    </row>
    <row r="12" spans="1:9" ht="15" customHeight="1" x14ac:dyDescent="0.2">
      <c r="B12" t="s">
        <v>1078</v>
      </c>
      <c r="C12" s="80">
        <f>SUM(D7:D11)*(1+SUP_CAPEX_PLANTA!$C$10)*(1+SUP_CAPEX_PLANTA!$C$11)</f>
        <v>225849.62400000004</v>
      </c>
      <c r="G12" s="23" t="s">
        <v>1079</v>
      </c>
    </row>
    <row r="14" spans="1:9" ht="15" customHeight="1" x14ac:dyDescent="0.2">
      <c r="A14" s="25" t="s">
        <v>1080</v>
      </c>
      <c r="B14" s="26"/>
      <c r="C14" s="26"/>
      <c r="D14" s="26"/>
      <c r="E14" s="26"/>
      <c r="F14" s="26"/>
      <c r="G14" s="26"/>
      <c r="H14" s="26"/>
      <c r="I14" s="26"/>
    </row>
    <row r="15" spans="1:9" ht="15" customHeight="1" x14ac:dyDescent="0.2">
      <c r="B15" t="s">
        <v>1081</v>
      </c>
      <c r="C15" s="30">
        <v>25</v>
      </c>
      <c r="G15" s="23" t="s">
        <v>1082</v>
      </c>
    </row>
    <row r="16" spans="1:9" ht="15" customHeight="1" x14ac:dyDescent="0.2">
      <c r="B16" t="s">
        <v>1083</v>
      </c>
      <c r="C16" s="30">
        <v>5</v>
      </c>
    </row>
    <row r="17" spans="2:7" ht="15" customHeight="1" x14ac:dyDescent="0.2">
      <c r="B17" t="s">
        <v>1084</v>
      </c>
      <c r="C17" s="98">
        <v>0.5</v>
      </c>
      <c r="G17" s="23" t="s">
        <v>1085</v>
      </c>
    </row>
    <row r="18" spans="2:7" ht="15" customHeight="1" x14ac:dyDescent="0.2">
      <c r="B18" t="s">
        <v>1086</v>
      </c>
      <c r="C18" s="30">
        <v>30</v>
      </c>
      <c r="G18" s="23" t="s">
        <v>1087</v>
      </c>
    </row>
    <row r="19" spans="2:7" ht="15" customHeight="1" x14ac:dyDescent="0.2">
      <c r="B19" t="s">
        <v>1088</v>
      </c>
      <c r="C19" s="105">
        <v>4.2</v>
      </c>
      <c r="G19" s="23" t="s">
        <v>1089</v>
      </c>
    </row>
    <row r="20" spans="2:7" ht="15" customHeight="1" x14ac:dyDescent="0.2">
      <c r="B20" t="s">
        <v>1090</v>
      </c>
      <c r="C20" s="35">
        <v>0.65</v>
      </c>
      <c r="G20" s="23" t="s">
        <v>1091</v>
      </c>
    </row>
    <row r="21" spans="2:7" ht="15" customHeight="1" x14ac:dyDescent="0.2">
      <c r="B21" t="s">
        <v>1092</v>
      </c>
      <c r="C21" s="35">
        <v>0.12</v>
      </c>
      <c r="G21" s="23" t="s">
        <v>1093</v>
      </c>
    </row>
    <row r="22" spans="2:7" ht="15" customHeight="1" x14ac:dyDescent="0.2">
      <c r="B22" t="s">
        <v>1094</v>
      </c>
      <c r="C22" s="71">
        <v>3000</v>
      </c>
      <c r="G22" s="23" t="s">
        <v>1095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843C0C"/>
  </sheetPr>
  <dimension ref="A1:DS31"/>
  <sheetViews>
    <sheetView zoomScaleNormal="100" workbookViewId="0"/>
  </sheetViews>
  <sheetFormatPr baseColWidth="10" defaultColWidth="8.6640625" defaultRowHeight="15" x14ac:dyDescent="0.2"/>
  <cols>
    <col min="1" max="1" width="4" customWidth="1"/>
    <col min="2" max="2" width="56" customWidth="1"/>
    <col min="4" max="123" width="10" customWidth="1"/>
  </cols>
  <sheetData>
    <row r="1" spans="1:123" ht="15" customHeight="1" x14ac:dyDescent="0.2">
      <c r="A1" s="24" t="s">
        <v>1096</v>
      </c>
      <c r="B1" s="14"/>
      <c r="C1" s="14"/>
      <c r="D1" s="14"/>
      <c r="E1" s="14"/>
      <c r="F1" s="14"/>
      <c r="G1" s="14"/>
      <c r="H1" s="14"/>
      <c r="I1" s="14"/>
    </row>
    <row r="2" spans="1:123" ht="15" customHeight="1" x14ac:dyDescent="0.2">
      <c r="A2" s="23" t="s">
        <v>1097</v>
      </c>
    </row>
    <row r="3" spans="1:123" ht="15" customHeight="1" x14ac:dyDescent="0.2">
      <c r="A3" s="23" t="s">
        <v>89</v>
      </c>
    </row>
    <row r="4" spans="1:123" ht="15" customHeight="1" x14ac:dyDescent="0.2">
      <c r="B4" s="20" t="s">
        <v>632</v>
      </c>
      <c r="D4" s="87">
        <v>1</v>
      </c>
      <c r="E4" s="87">
        <v>2</v>
      </c>
      <c r="F4" s="87">
        <v>3</v>
      </c>
      <c r="G4" s="87">
        <v>4</v>
      </c>
      <c r="H4" s="87">
        <v>5</v>
      </c>
      <c r="I4" s="87">
        <v>6</v>
      </c>
      <c r="J4" s="87">
        <v>7</v>
      </c>
      <c r="K4" s="87">
        <v>8</v>
      </c>
      <c r="L4" s="87">
        <v>9</v>
      </c>
      <c r="M4" s="87">
        <v>10</v>
      </c>
      <c r="N4" s="87">
        <v>11</v>
      </c>
      <c r="O4" s="87">
        <v>12</v>
      </c>
      <c r="P4" s="87">
        <v>13</v>
      </c>
      <c r="Q4" s="87">
        <v>14</v>
      </c>
      <c r="R4" s="87">
        <v>15</v>
      </c>
      <c r="S4" s="87">
        <v>16</v>
      </c>
      <c r="T4" s="87">
        <v>17</v>
      </c>
      <c r="U4" s="87">
        <v>18</v>
      </c>
      <c r="V4" s="87">
        <v>19</v>
      </c>
      <c r="W4" s="87">
        <v>20</v>
      </c>
      <c r="X4" s="87">
        <v>21</v>
      </c>
      <c r="Y4" s="87">
        <v>22</v>
      </c>
      <c r="Z4" s="87">
        <v>23</v>
      </c>
      <c r="AA4" s="87">
        <v>24</v>
      </c>
      <c r="AB4" s="87">
        <v>25</v>
      </c>
      <c r="AC4" s="87">
        <v>26</v>
      </c>
      <c r="AD4" s="87">
        <v>27</v>
      </c>
      <c r="AE4" s="87">
        <v>28</v>
      </c>
      <c r="AF4" s="87">
        <v>29</v>
      </c>
      <c r="AG4" s="87">
        <v>30</v>
      </c>
      <c r="AH4" s="87">
        <v>31</v>
      </c>
      <c r="AI4" s="87">
        <v>32</v>
      </c>
      <c r="AJ4" s="87">
        <v>33</v>
      </c>
      <c r="AK4" s="87">
        <v>34</v>
      </c>
      <c r="AL4" s="87">
        <v>35</v>
      </c>
      <c r="AM4" s="87">
        <v>36</v>
      </c>
      <c r="AN4" s="87">
        <v>37</v>
      </c>
      <c r="AO4" s="87">
        <v>38</v>
      </c>
      <c r="AP4" s="87">
        <v>39</v>
      </c>
      <c r="AQ4" s="87">
        <v>40</v>
      </c>
      <c r="AR4" s="87">
        <v>41</v>
      </c>
      <c r="AS4" s="87">
        <v>42</v>
      </c>
      <c r="AT4" s="87">
        <v>43</v>
      </c>
      <c r="AU4" s="87">
        <v>44</v>
      </c>
      <c r="AV4" s="87">
        <v>45</v>
      </c>
      <c r="AW4" s="87">
        <v>46</v>
      </c>
      <c r="AX4" s="87">
        <v>47</v>
      </c>
      <c r="AY4" s="87">
        <v>48</v>
      </c>
      <c r="AZ4" s="87">
        <v>49</v>
      </c>
      <c r="BA4" s="87">
        <v>50</v>
      </c>
      <c r="BB4" s="87">
        <v>51</v>
      </c>
      <c r="BC4" s="87">
        <v>52</v>
      </c>
      <c r="BD4" s="87">
        <v>53</v>
      </c>
      <c r="BE4" s="87">
        <v>54</v>
      </c>
      <c r="BF4" s="87">
        <v>55</v>
      </c>
      <c r="BG4" s="87">
        <v>56</v>
      </c>
      <c r="BH4" s="87">
        <v>57</v>
      </c>
      <c r="BI4" s="87">
        <v>58</v>
      </c>
      <c r="BJ4" s="87">
        <v>59</v>
      </c>
      <c r="BK4" s="87">
        <v>60</v>
      </c>
      <c r="BL4" s="87">
        <v>61</v>
      </c>
      <c r="BM4" s="87">
        <v>62</v>
      </c>
      <c r="BN4" s="87">
        <v>63</v>
      </c>
      <c r="BO4" s="87">
        <v>64</v>
      </c>
      <c r="BP4" s="87">
        <v>65</v>
      </c>
      <c r="BQ4" s="87">
        <v>66</v>
      </c>
      <c r="BR4" s="87">
        <v>67</v>
      </c>
      <c r="BS4" s="87">
        <v>68</v>
      </c>
      <c r="BT4" s="87">
        <v>69</v>
      </c>
      <c r="BU4" s="87">
        <v>70</v>
      </c>
      <c r="BV4" s="87">
        <v>71</v>
      </c>
      <c r="BW4" s="87">
        <v>72</v>
      </c>
      <c r="BX4" s="87">
        <v>73</v>
      </c>
      <c r="BY4" s="87">
        <v>74</v>
      </c>
      <c r="BZ4" s="87">
        <v>75</v>
      </c>
      <c r="CA4" s="87">
        <v>76</v>
      </c>
      <c r="CB4" s="87">
        <v>77</v>
      </c>
      <c r="CC4" s="87">
        <v>78</v>
      </c>
      <c r="CD4" s="87">
        <v>79</v>
      </c>
      <c r="CE4" s="87">
        <v>80</v>
      </c>
      <c r="CF4" s="87">
        <v>81</v>
      </c>
      <c r="CG4" s="87">
        <v>82</v>
      </c>
      <c r="CH4" s="87">
        <v>83</v>
      </c>
      <c r="CI4" s="87">
        <v>84</v>
      </c>
      <c r="CJ4" s="87">
        <v>85</v>
      </c>
      <c r="CK4" s="87">
        <v>86</v>
      </c>
      <c r="CL4" s="87">
        <v>87</v>
      </c>
      <c r="CM4" s="87">
        <v>88</v>
      </c>
      <c r="CN4" s="87">
        <v>89</v>
      </c>
      <c r="CO4" s="87">
        <v>90</v>
      </c>
      <c r="CP4" s="87">
        <v>91</v>
      </c>
      <c r="CQ4" s="87">
        <v>92</v>
      </c>
      <c r="CR4" s="87">
        <v>93</v>
      </c>
      <c r="CS4" s="87">
        <v>94</v>
      </c>
      <c r="CT4" s="87">
        <v>95</v>
      </c>
      <c r="CU4" s="87">
        <v>96</v>
      </c>
      <c r="CV4" s="87">
        <v>97</v>
      </c>
      <c r="CW4" s="87">
        <v>98</v>
      </c>
      <c r="CX4" s="87">
        <v>99</v>
      </c>
      <c r="CY4" s="87">
        <v>100</v>
      </c>
      <c r="CZ4" s="87">
        <v>101</v>
      </c>
      <c r="DA4" s="87">
        <v>102</v>
      </c>
      <c r="DB4" s="87">
        <v>103</v>
      </c>
      <c r="DC4" s="87">
        <v>104</v>
      </c>
      <c r="DD4" s="87">
        <v>105</v>
      </c>
      <c r="DE4" s="87">
        <v>106</v>
      </c>
      <c r="DF4" s="87">
        <v>107</v>
      </c>
      <c r="DG4" s="87">
        <v>108</v>
      </c>
      <c r="DH4" s="87">
        <v>109</v>
      </c>
      <c r="DI4" s="87">
        <v>110</v>
      </c>
      <c r="DJ4" s="87">
        <v>111</v>
      </c>
      <c r="DK4" s="87">
        <v>112</v>
      </c>
      <c r="DL4" s="87">
        <v>113</v>
      </c>
      <c r="DM4" s="87">
        <v>114</v>
      </c>
      <c r="DN4" s="87">
        <v>115</v>
      </c>
      <c r="DO4" s="87">
        <v>116</v>
      </c>
      <c r="DP4" s="87">
        <v>117</v>
      </c>
      <c r="DQ4" s="87">
        <v>118</v>
      </c>
      <c r="DR4" s="87">
        <v>119</v>
      </c>
      <c r="DS4" s="87">
        <v>120</v>
      </c>
    </row>
    <row r="5" spans="1:123" ht="15" customHeight="1" x14ac:dyDescent="0.2">
      <c r="A5" s="25" t="s">
        <v>895</v>
      </c>
      <c r="B5" s="26"/>
      <c r="C5" s="26"/>
    </row>
    <row r="6" spans="1:123" ht="15" customHeight="1" x14ac:dyDescent="0.2">
      <c r="B6" s="37" t="s">
        <v>1098</v>
      </c>
      <c r="D6" s="88">
        <f>IF(D4&gt;=SUP_C4_RETAIL!$C$15,1,0)</f>
        <v>0</v>
      </c>
      <c r="E6" s="88">
        <f>IF(E4&gt;=SUP_C4_RETAIL!$C$15,1,0)</f>
        <v>0</v>
      </c>
      <c r="F6" s="88">
        <f>IF(F4&gt;=SUP_C4_RETAIL!$C$15,1,0)</f>
        <v>0</v>
      </c>
      <c r="G6" s="88">
        <f>IF(G4&gt;=SUP_C4_RETAIL!$C$15,1,0)</f>
        <v>0</v>
      </c>
      <c r="H6" s="88">
        <f>IF(H4&gt;=SUP_C4_RETAIL!$C$15,1,0)</f>
        <v>0</v>
      </c>
      <c r="I6" s="88">
        <f>IF(I4&gt;=SUP_C4_RETAIL!$C$15,1,0)</f>
        <v>0</v>
      </c>
      <c r="J6" s="88">
        <f>IF(J4&gt;=SUP_C4_RETAIL!$C$15,1,0)</f>
        <v>0</v>
      </c>
      <c r="K6" s="88">
        <f>IF(K4&gt;=SUP_C4_RETAIL!$C$15,1,0)</f>
        <v>0</v>
      </c>
      <c r="L6" s="88">
        <f>IF(L4&gt;=SUP_C4_RETAIL!$C$15,1,0)</f>
        <v>0</v>
      </c>
      <c r="M6" s="88">
        <f>IF(M4&gt;=SUP_C4_RETAIL!$C$15,1,0)</f>
        <v>0</v>
      </c>
      <c r="N6" s="88">
        <f>IF(N4&gt;=SUP_C4_RETAIL!$C$15,1,0)</f>
        <v>0</v>
      </c>
      <c r="O6" s="88">
        <f>IF(O4&gt;=SUP_C4_RETAIL!$C$15,1,0)</f>
        <v>0</v>
      </c>
      <c r="P6" s="88">
        <f>IF(P4&gt;=SUP_C4_RETAIL!$C$15,1,0)</f>
        <v>0</v>
      </c>
      <c r="Q6" s="88">
        <f>IF(Q4&gt;=SUP_C4_RETAIL!$C$15,1,0)</f>
        <v>0</v>
      </c>
      <c r="R6" s="88">
        <f>IF(R4&gt;=SUP_C4_RETAIL!$C$15,1,0)</f>
        <v>0</v>
      </c>
      <c r="S6" s="88">
        <f>IF(S4&gt;=SUP_C4_RETAIL!$C$15,1,0)</f>
        <v>0</v>
      </c>
      <c r="T6" s="88">
        <f>IF(T4&gt;=SUP_C4_RETAIL!$C$15,1,0)</f>
        <v>0</v>
      </c>
      <c r="U6" s="88">
        <f>IF(U4&gt;=SUP_C4_RETAIL!$C$15,1,0)</f>
        <v>0</v>
      </c>
      <c r="V6" s="88">
        <f>IF(V4&gt;=SUP_C4_RETAIL!$C$15,1,0)</f>
        <v>0</v>
      </c>
      <c r="W6" s="88">
        <f>IF(W4&gt;=SUP_C4_RETAIL!$C$15,1,0)</f>
        <v>0</v>
      </c>
      <c r="X6" s="88">
        <f>IF(X4&gt;=SUP_C4_RETAIL!$C$15,1,0)</f>
        <v>0</v>
      </c>
      <c r="Y6" s="88">
        <f>IF(Y4&gt;=SUP_C4_RETAIL!$C$15,1,0)</f>
        <v>0</v>
      </c>
      <c r="Z6" s="88">
        <f>IF(Z4&gt;=SUP_C4_RETAIL!$C$15,1,0)</f>
        <v>0</v>
      </c>
      <c r="AA6" s="88">
        <f>IF(AA4&gt;=SUP_C4_RETAIL!$C$15,1,0)</f>
        <v>0</v>
      </c>
      <c r="AB6" s="88">
        <f>IF(AB4&gt;=SUP_C4_RETAIL!$C$15,1,0)</f>
        <v>1</v>
      </c>
      <c r="AC6" s="88">
        <f>IF(AC4&gt;=SUP_C4_RETAIL!$C$15,1,0)</f>
        <v>1</v>
      </c>
      <c r="AD6" s="88">
        <f>IF(AD4&gt;=SUP_C4_RETAIL!$C$15,1,0)</f>
        <v>1</v>
      </c>
      <c r="AE6" s="88">
        <f>IF(AE4&gt;=SUP_C4_RETAIL!$C$15,1,0)</f>
        <v>1</v>
      </c>
      <c r="AF6" s="88">
        <f>IF(AF4&gt;=SUP_C4_RETAIL!$C$15,1,0)</f>
        <v>1</v>
      </c>
      <c r="AG6" s="88">
        <f>IF(AG4&gt;=SUP_C4_RETAIL!$C$15,1,0)</f>
        <v>1</v>
      </c>
      <c r="AH6" s="88">
        <f>IF(AH4&gt;=SUP_C4_RETAIL!$C$15,1,0)</f>
        <v>1</v>
      </c>
      <c r="AI6" s="88">
        <f>IF(AI4&gt;=SUP_C4_RETAIL!$C$15,1,0)</f>
        <v>1</v>
      </c>
      <c r="AJ6" s="88">
        <f>IF(AJ4&gt;=SUP_C4_RETAIL!$C$15,1,0)</f>
        <v>1</v>
      </c>
      <c r="AK6" s="88">
        <f>IF(AK4&gt;=SUP_C4_RETAIL!$C$15,1,0)</f>
        <v>1</v>
      </c>
      <c r="AL6" s="88">
        <f>IF(AL4&gt;=SUP_C4_RETAIL!$C$15,1,0)</f>
        <v>1</v>
      </c>
      <c r="AM6" s="88">
        <f>IF(AM4&gt;=SUP_C4_RETAIL!$C$15,1,0)</f>
        <v>1</v>
      </c>
      <c r="AN6" s="88">
        <f>IF(AN4&gt;=SUP_C4_RETAIL!$C$15,1,0)</f>
        <v>1</v>
      </c>
      <c r="AO6" s="88">
        <f>IF(AO4&gt;=SUP_C4_RETAIL!$C$15,1,0)</f>
        <v>1</v>
      </c>
      <c r="AP6" s="88">
        <f>IF(AP4&gt;=SUP_C4_RETAIL!$C$15,1,0)</f>
        <v>1</v>
      </c>
      <c r="AQ6" s="88">
        <f>IF(AQ4&gt;=SUP_C4_RETAIL!$C$15,1,0)</f>
        <v>1</v>
      </c>
      <c r="AR6" s="88">
        <f>IF(AR4&gt;=SUP_C4_RETAIL!$C$15,1,0)</f>
        <v>1</v>
      </c>
      <c r="AS6" s="88">
        <f>IF(AS4&gt;=SUP_C4_RETAIL!$C$15,1,0)</f>
        <v>1</v>
      </c>
      <c r="AT6" s="88">
        <f>IF(AT4&gt;=SUP_C4_RETAIL!$C$15,1,0)</f>
        <v>1</v>
      </c>
      <c r="AU6" s="88">
        <f>IF(AU4&gt;=SUP_C4_RETAIL!$C$15,1,0)</f>
        <v>1</v>
      </c>
      <c r="AV6" s="88">
        <f>IF(AV4&gt;=SUP_C4_RETAIL!$C$15,1,0)</f>
        <v>1</v>
      </c>
      <c r="AW6" s="88">
        <f>IF(AW4&gt;=SUP_C4_RETAIL!$C$15,1,0)</f>
        <v>1</v>
      </c>
      <c r="AX6" s="88">
        <f>IF(AX4&gt;=SUP_C4_RETAIL!$C$15,1,0)</f>
        <v>1</v>
      </c>
      <c r="AY6" s="88">
        <f>IF(AY4&gt;=SUP_C4_RETAIL!$C$15,1,0)</f>
        <v>1</v>
      </c>
      <c r="AZ6" s="88">
        <f>IF(AZ4&gt;=SUP_C4_RETAIL!$C$15,1,0)</f>
        <v>1</v>
      </c>
      <c r="BA6" s="88">
        <f>IF(BA4&gt;=SUP_C4_RETAIL!$C$15,1,0)</f>
        <v>1</v>
      </c>
      <c r="BB6" s="88">
        <f>IF(BB4&gt;=SUP_C4_RETAIL!$C$15,1,0)</f>
        <v>1</v>
      </c>
      <c r="BC6" s="88">
        <f>IF(BC4&gt;=SUP_C4_RETAIL!$C$15,1,0)</f>
        <v>1</v>
      </c>
      <c r="BD6" s="88">
        <f>IF(BD4&gt;=SUP_C4_RETAIL!$C$15,1,0)</f>
        <v>1</v>
      </c>
      <c r="BE6" s="88">
        <f>IF(BE4&gt;=SUP_C4_RETAIL!$C$15,1,0)</f>
        <v>1</v>
      </c>
      <c r="BF6" s="88">
        <f>IF(BF4&gt;=SUP_C4_RETAIL!$C$15,1,0)</f>
        <v>1</v>
      </c>
      <c r="BG6" s="88">
        <f>IF(BG4&gt;=SUP_C4_RETAIL!$C$15,1,0)</f>
        <v>1</v>
      </c>
      <c r="BH6" s="88">
        <f>IF(BH4&gt;=SUP_C4_RETAIL!$C$15,1,0)</f>
        <v>1</v>
      </c>
      <c r="BI6" s="88">
        <f>IF(BI4&gt;=SUP_C4_RETAIL!$C$15,1,0)</f>
        <v>1</v>
      </c>
      <c r="BJ6" s="88">
        <f>IF(BJ4&gt;=SUP_C4_RETAIL!$C$15,1,0)</f>
        <v>1</v>
      </c>
      <c r="BK6" s="88">
        <f>IF(BK4&gt;=SUP_C4_RETAIL!$C$15,1,0)</f>
        <v>1</v>
      </c>
      <c r="BL6" s="88">
        <f>IF(BL4&gt;=SUP_C4_RETAIL!$C$15,1,0)</f>
        <v>1</v>
      </c>
      <c r="BM6" s="88">
        <f>IF(BM4&gt;=SUP_C4_RETAIL!$C$15,1,0)</f>
        <v>1</v>
      </c>
      <c r="BN6" s="88">
        <f>IF(BN4&gt;=SUP_C4_RETAIL!$C$15,1,0)</f>
        <v>1</v>
      </c>
      <c r="BO6" s="88">
        <f>IF(BO4&gt;=SUP_C4_RETAIL!$C$15,1,0)</f>
        <v>1</v>
      </c>
      <c r="BP6" s="88">
        <f>IF(BP4&gt;=SUP_C4_RETAIL!$C$15,1,0)</f>
        <v>1</v>
      </c>
      <c r="BQ6" s="88">
        <f>IF(BQ4&gt;=SUP_C4_RETAIL!$C$15,1,0)</f>
        <v>1</v>
      </c>
      <c r="BR6" s="88">
        <f>IF(BR4&gt;=SUP_C4_RETAIL!$C$15,1,0)</f>
        <v>1</v>
      </c>
      <c r="BS6" s="88">
        <f>IF(BS4&gt;=SUP_C4_RETAIL!$C$15,1,0)</f>
        <v>1</v>
      </c>
      <c r="BT6" s="88">
        <f>IF(BT4&gt;=SUP_C4_RETAIL!$C$15,1,0)</f>
        <v>1</v>
      </c>
      <c r="BU6" s="88">
        <f>IF(BU4&gt;=SUP_C4_RETAIL!$C$15,1,0)</f>
        <v>1</v>
      </c>
      <c r="BV6" s="88">
        <f>IF(BV4&gt;=SUP_C4_RETAIL!$C$15,1,0)</f>
        <v>1</v>
      </c>
      <c r="BW6" s="88">
        <f>IF(BW4&gt;=SUP_C4_RETAIL!$C$15,1,0)</f>
        <v>1</v>
      </c>
      <c r="BX6" s="88">
        <f>IF(BX4&gt;=SUP_C4_RETAIL!$C$15,1,0)</f>
        <v>1</v>
      </c>
      <c r="BY6" s="88">
        <f>IF(BY4&gt;=SUP_C4_RETAIL!$C$15,1,0)</f>
        <v>1</v>
      </c>
      <c r="BZ6" s="88">
        <f>IF(BZ4&gt;=SUP_C4_RETAIL!$C$15,1,0)</f>
        <v>1</v>
      </c>
      <c r="CA6" s="88">
        <f>IF(CA4&gt;=SUP_C4_RETAIL!$C$15,1,0)</f>
        <v>1</v>
      </c>
      <c r="CB6" s="88">
        <f>IF(CB4&gt;=SUP_C4_RETAIL!$C$15,1,0)</f>
        <v>1</v>
      </c>
      <c r="CC6" s="88">
        <f>IF(CC4&gt;=SUP_C4_RETAIL!$C$15,1,0)</f>
        <v>1</v>
      </c>
      <c r="CD6" s="88">
        <f>IF(CD4&gt;=SUP_C4_RETAIL!$C$15,1,0)</f>
        <v>1</v>
      </c>
      <c r="CE6" s="88">
        <f>IF(CE4&gt;=SUP_C4_RETAIL!$C$15,1,0)</f>
        <v>1</v>
      </c>
      <c r="CF6" s="88">
        <f>IF(CF4&gt;=SUP_C4_RETAIL!$C$15,1,0)</f>
        <v>1</v>
      </c>
      <c r="CG6" s="88">
        <f>IF(CG4&gt;=SUP_C4_RETAIL!$C$15,1,0)</f>
        <v>1</v>
      </c>
      <c r="CH6" s="88">
        <f>IF(CH4&gt;=SUP_C4_RETAIL!$C$15,1,0)</f>
        <v>1</v>
      </c>
      <c r="CI6" s="88">
        <f>IF(CI4&gt;=SUP_C4_RETAIL!$C$15,1,0)</f>
        <v>1</v>
      </c>
      <c r="CJ6" s="88">
        <f>IF(CJ4&gt;=SUP_C4_RETAIL!$C$15,1,0)</f>
        <v>1</v>
      </c>
      <c r="CK6" s="88">
        <f>IF(CK4&gt;=SUP_C4_RETAIL!$C$15,1,0)</f>
        <v>1</v>
      </c>
      <c r="CL6" s="88">
        <f>IF(CL4&gt;=SUP_C4_RETAIL!$C$15,1,0)</f>
        <v>1</v>
      </c>
      <c r="CM6" s="88">
        <f>IF(CM4&gt;=SUP_C4_RETAIL!$C$15,1,0)</f>
        <v>1</v>
      </c>
      <c r="CN6" s="88">
        <f>IF(CN4&gt;=SUP_C4_RETAIL!$C$15,1,0)</f>
        <v>1</v>
      </c>
      <c r="CO6" s="88">
        <f>IF(CO4&gt;=SUP_C4_RETAIL!$C$15,1,0)</f>
        <v>1</v>
      </c>
      <c r="CP6" s="88">
        <f>IF(CP4&gt;=SUP_C4_RETAIL!$C$15,1,0)</f>
        <v>1</v>
      </c>
      <c r="CQ6" s="88">
        <f>IF(CQ4&gt;=SUP_C4_RETAIL!$C$15,1,0)</f>
        <v>1</v>
      </c>
      <c r="CR6" s="88">
        <f>IF(CR4&gt;=SUP_C4_RETAIL!$C$15,1,0)</f>
        <v>1</v>
      </c>
      <c r="CS6" s="88">
        <f>IF(CS4&gt;=SUP_C4_RETAIL!$C$15,1,0)</f>
        <v>1</v>
      </c>
      <c r="CT6" s="88">
        <f>IF(CT4&gt;=SUP_C4_RETAIL!$C$15,1,0)</f>
        <v>1</v>
      </c>
      <c r="CU6" s="88">
        <f>IF(CU4&gt;=SUP_C4_RETAIL!$C$15,1,0)</f>
        <v>1</v>
      </c>
      <c r="CV6" s="88">
        <f>IF(CV4&gt;=SUP_C4_RETAIL!$C$15,1,0)</f>
        <v>1</v>
      </c>
      <c r="CW6" s="88">
        <f>IF(CW4&gt;=SUP_C4_RETAIL!$C$15,1,0)</f>
        <v>1</v>
      </c>
      <c r="CX6" s="88">
        <f>IF(CX4&gt;=SUP_C4_RETAIL!$C$15,1,0)</f>
        <v>1</v>
      </c>
      <c r="CY6" s="88">
        <f>IF(CY4&gt;=SUP_C4_RETAIL!$C$15,1,0)</f>
        <v>1</v>
      </c>
      <c r="CZ6" s="88">
        <f>IF(CZ4&gt;=SUP_C4_RETAIL!$C$15,1,0)</f>
        <v>1</v>
      </c>
      <c r="DA6" s="88">
        <f>IF(DA4&gt;=SUP_C4_RETAIL!$C$15,1,0)</f>
        <v>1</v>
      </c>
      <c r="DB6" s="88">
        <f>IF(DB4&gt;=SUP_C4_RETAIL!$C$15,1,0)</f>
        <v>1</v>
      </c>
      <c r="DC6" s="88">
        <f>IF(DC4&gt;=SUP_C4_RETAIL!$C$15,1,0)</f>
        <v>1</v>
      </c>
      <c r="DD6" s="88">
        <f>IF(DD4&gt;=SUP_C4_RETAIL!$C$15,1,0)</f>
        <v>1</v>
      </c>
      <c r="DE6" s="88">
        <f>IF(DE4&gt;=SUP_C4_RETAIL!$C$15,1,0)</f>
        <v>1</v>
      </c>
      <c r="DF6" s="88">
        <f>IF(DF4&gt;=SUP_C4_RETAIL!$C$15,1,0)</f>
        <v>1</v>
      </c>
      <c r="DG6" s="88">
        <f>IF(DG4&gt;=SUP_C4_RETAIL!$C$15,1,0)</f>
        <v>1</v>
      </c>
      <c r="DH6" s="88">
        <f>IF(DH4&gt;=SUP_C4_RETAIL!$C$15,1,0)</f>
        <v>1</v>
      </c>
      <c r="DI6" s="88">
        <f>IF(DI4&gt;=SUP_C4_RETAIL!$C$15,1,0)</f>
        <v>1</v>
      </c>
      <c r="DJ6" s="88">
        <f>IF(DJ4&gt;=SUP_C4_RETAIL!$C$15,1,0)</f>
        <v>1</v>
      </c>
      <c r="DK6" s="88">
        <f>IF(DK4&gt;=SUP_C4_RETAIL!$C$15,1,0)</f>
        <v>1</v>
      </c>
      <c r="DL6" s="88">
        <f>IF(DL4&gt;=SUP_C4_RETAIL!$C$15,1,0)</f>
        <v>1</v>
      </c>
      <c r="DM6" s="88">
        <f>IF(DM4&gt;=SUP_C4_RETAIL!$C$15,1,0)</f>
        <v>1</v>
      </c>
      <c r="DN6" s="88">
        <f>IF(DN4&gt;=SUP_C4_RETAIL!$C$15,1,0)</f>
        <v>1</v>
      </c>
      <c r="DO6" s="88">
        <f>IF(DO4&gt;=SUP_C4_RETAIL!$C$15,1,0)</f>
        <v>1</v>
      </c>
      <c r="DP6" s="88">
        <f>IF(DP4&gt;=SUP_C4_RETAIL!$C$15,1,0)</f>
        <v>1</v>
      </c>
      <c r="DQ6" s="88">
        <f>IF(DQ4&gt;=SUP_C4_RETAIL!$C$15,1,0)</f>
        <v>1</v>
      </c>
      <c r="DR6" s="88">
        <f>IF(DR4&gt;=SUP_C4_RETAIL!$C$15,1,0)</f>
        <v>1</v>
      </c>
      <c r="DS6" s="88">
        <f>IF(DS4&gt;=SUP_C4_RETAIL!$C$15,1,0)</f>
        <v>1</v>
      </c>
    </row>
    <row r="7" spans="1:123" ht="15" customHeight="1" x14ac:dyDescent="0.2">
      <c r="B7" s="37" t="s">
        <v>1099</v>
      </c>
      <c r="D7" s="99">
        <f>IF(D6=0,0,MIN(SUP_C4_RETAIL!$C$18,SUP_C4_RETAIL!$C$16+SUP_C4_RETAIL!$C$17*(D4-SUP_C4_RETAIL!$C$15)))</f>
        <v>0</v>
      </c>
      <c r="E7" s="99">
        <f>IF(E6=0,0,MIN(SUP_C4_RETAIL!$C$18,SUP_C4_RETAIL!$C$16+SUP_C4_RETAIL!$C$17*(E4-SUP_C4_RETAIL!$C$15)))</f>
        <v>0</v>
      </c>
      <c r="F7" s="99">
        <f>IF(F6=0,0,MIN(SUP_C4_RETAIL!$C$18,SUP_C4_RETAIL!$C$16+SUP_C4_RETAIL!$C$17*(F4-SUP_C4_RETAIL!$C$15)))</f>
        <v>0</v>
      </c>
      <c r="G7" s="99">
        <f>IF(G6=0,0,MIN(SUP_C4_RETAIL!$C$18,SUP_C4_RETAIL!$C$16+SUP_C4_RETAIL!$C$17*(G4-SUP_C4_RETAIL!$C$15)))</f>
        <v>0</v>
      </c>
      <c r="H7" s="99">
        <f>IF(H6=0,0,MIN(SUP_C4_RETAIL!$C$18,SUP_C4_RETAIL!$C$16+SUP_C4_RETAIL!$C$17*(H4-SUP_C4_RETAIL!$C$15)))</f>
        <v>0</v>
      </c>
      <c r="I7" s="99">
        <f>IF(I6=0,0,MIN(SUP_C4_RETAIL!$C$18,SUP_C4_RETAIL!$C$16+SUP_C4_RETAIL!$C$17*(I4-SUP_C4_RETAIL!$C$15)))</f>
        <v>0</v>
      </c>
      <c r="J7" s="99">
        <f>IF(J6=0,0,MIN(SUP_C4_RETAIL!$C$18,SUP_C4_RETAIL!$C$16+SUP_C4_RETAIL!$C$17*(J4-SUP_C4_RETAIL!$C$15)))</f>
        <v>0</v>
      </c>
      <c r="K7" s="99">
        <f>IF(K6=0,0,MIN(SUP_C4_RETAIL!$C$18,SUP_C4_RETAIL!$C$16+SUP_C4_RETAIL!$C$17*(K4-SUP_C4_RETAIL!$C$15)))</f>
        <v>0</v>
      </c>
      <c r="L7" s="99">
        <f>IF(L6=0,0,MIN(SUP_C4_RETAIL!$C$18,SUP_C4_RETAIL!$C$16+SUP_C4_RETAIL!$C$17*(L4-SUP_C4_RETAIL!$C$15)))</f>
        <v>0</v>
      </c>
      <c r="M7" s="99">
        <f>IF(M6=0,0,MIN(SUP_C4_RETAIL!$C$18,SUP_C4_RETAIL!$C$16+SUP_C4_RETAIL!$C$17*(M4-SUP_C4_RETAIL!$C$15)))</f>
        <v>0</v>
      </c>
      <c r="N7" s="99">
        <f>IF(N6=0,0,MIN(SUP_C4_RETAIL!$C$18,SUP_C4_RETAIL!$C$16+SUP_C4_RETAIL!$C$17*(N4-SUP_C4_RETAIL!$C$15)))</f>
        <v>0</v>
      </c>
      <c r="O7" s="99">
        <f>IF(O6=0,0,MIN(SUP_C4_RETAIL!$C$18,SUP_C4_RETAIL!$C$16+SUP_C4_RETAIL!$C$17*(O4-SUP_C4_RETAIL!$C$15)))</f>
        <v>0</v>
      </c>
      <c r="P7" s="99">
        <f>IF(P6=0,0,MIN(SUP_C4_RETAIL!$C$18,SUP_C4_RETAIL!$C$16+SUP_C4_RETAIL!$C$17*(P4-SUP_C4_RETAIL!$C$15)))</f>
        <v>0</v>
      </c>
      <c r="Q7" s="99">
        <f>IF(Q6=0,0,MIN(SUP_C4_RETAIL!$C$18,SUP_C4_RETAIL!$C$16+SUP_C4_RETAIL!$C$17*(Q4-SUP_C4_RETAIL!$C$15)))</f>
        <v>0</v>
      </c>
      <c r="R7" s="99">
        <f>IF(R6=0,0,MIN(SUP_C4_RETAIL!$C$18,SUP_C4_RETAIL!$C$16+SUP_C4_RETAIL!$C$17*(R4-SUP_C4_RETAIL!$C$15)))</f>
        <v>0</v>
      </c>
      <c r="S7" s="99">
        <f>IF(S6=0,0,MIN(SUP_C4_RETAIL!$C$18,SUP_C4_RETAIL!$C$16+SUP_C4_RETAIL!$C$17*(S4-SUP_C4_RETAIL!$C$15)))</f>
        <v>0</v>
      </c>
      <c r="T7" s="99">
        <f>IF(T6=0,0,MIN(SUP_C4_RETAIL!$C$18,SUP_C4_RETAIL!$C$16+SUP_C4_RETAIL!$C$17*(T4-SUP_C4_RETAIL!$C$15)))</f>
        <v>0</v>
      </c>
      <c r="U7" s="99">
        <f>IF(U6=0,0,MIN(SUP_C4_RETAIL!$C$18,SUP_C4_RETAIL!$C$16+SUP_C4_RETAIL!$C$17*(U4-SUP_C4_RETAIL!$C$15)))</f>
        <v>0</v>
      </c>
      <c r="V7" s="99">
        <f>IF(V6=0,0,MIN(SUP_C4_RETAIL!$C$18,SUP_C4_RETAIL!$C$16+SUP_C4_RETAIL!$C$17*(V4-SUP_C4_RETAIL!$C$15)))</f>
        <v>0</v>
      </c>
      <c r="W7" s="99">
        <f>IF(W6=0,0,MIN(SUP_C4_RETAIL!$C$18,SUP_C4_RETAIL!$C$16+SUP_C4_RETAIL!$C$17*(W4-SUP_C4_RETAIL!$C$15)))</f>
        <v>0</v>
      </c>
      <c r="X7" s="99">
        <f>IF(X6=0,0,MIN(SUP_C4_RETAIL!$C$18,SUP_C4_RETAIL!$C$16+SUP_C4_RETAIL!$C$17*(X4-SUP_C4_RETAIL!$C$15)))</f>
        <v>0</v>
      </c>
      <c r="Y7" s="99">
        <f>IF(Y6=0,0,MIN(SUP_C4_RETAIL!$C$18,SUP_C4_RETAIL!$C$16+SUP_C4_RETAIL!$C$17*(Y4-SUP_C4_RETAIL!$C$15)))</f>
        <v>0</v>
      </c>
      <c r="Z7" s="99">
        <f>IF(Z6=0,0,MIN(SUP_C4_RETAIL!$C$18,SUP_C4_RETAIL!$C$16+SUP_C4_RETAIL!$C$17*(Z4-SUP_C4_RETAIL!$C$15)))</f>
        <v>0</v>
      </c>
      <c r="AA7" s="99">
        <f>IF(AA6=0,0,MIN(SUP_C4_RETAIL!$C$18,SUP_C4_RETAIL!$C$16+SUP_C4_RETAIL!$C$17*(AA4-SUP_C4_RETAIL!$C$15)))</f>
        <v>0</v>
      </c>
      <c r="AB7" s="99">
        <f>IF(AB6=0,0,MIN(SUP_C4_RETAIL!$C$18,SUP_C4_RETAIL!$C$16+SUP_C4_RETAIL!$C$17*(AB4-SUP_C4_RETAIL!$C$15)))</f>
        <v>5</v>
      </c>
      <c r="AC7" s="99">
        <f>IF(AC6=0,0,MIN(SUP_C4_RETAIL!$C$18,SUP_C4_RETAIL!$C$16+SUP_C4_RETAIL!$C$17*(AC4-SUP_C4_RETAIL!$C$15)))</f>
        <v>5.5</v>
      </c>
      <c r="AD7" s="99">
        <f>IF(AD6=0,0,MIN(SUP_C4_RETAIL!$C$18,SUP_C4_RETAIL!$C$16+SUP_C4_RETAIL!$C$17*(AD4-SUP_C4_RETAIL!$C$15)))</f>
        <v>6</v>
      </c>
      <c r="AE7" s="99">
        <f>IF(AE6=0,0,MIN(SUP_C4_RETAIL!$C$18,SUP_C4_RETAIL!$C$16+SUP_C4_RETAIL!$C$17*(AE4-SUP_C4_RETAIL!$C$15)))</f>
        <v>6.5</v>
      </c>
      <c r="AF7" s="99">
        <f>IF(AF6=0,0,MIN(SUP_C4_RETAIL!$C$18,SUP_C4_RETAIL!$C$16+SUP_C4_RETAIL!$C$17*(AF4-SUP_C4_RETAIL!$C$15)))</f>
        <v>7</v>
      </c>
      <c r="AG7" s="99">
        <f>IF(AG6=0,0,MIN(SUP_C4_RETAIL!$C$18,SUP_C4_RETAIL!$C$16+SUP_C4_RETAIL!$C$17*(AG4-SUP_C4_RETAIL!$C$15)))</f>
        <v>7.5</v>
      </c>
      <c r="AH7" s="99">
        <f>IF(AH6=0,0,MIN(SUP_C4_RETAIL!$C$18,SUP_C4_RETAIL!$C$16+SUP_C4_RETAIL!$C$17*(AH4-SUP_C4_RETAIL!$C$15)))</f>
        <v>8</v>
      </c>
      <c r="AI7" s="99">
        <f>IF(AI6=0,0,MIN(SUP_C4_RETAIL!$C$18,SUP_C4_RETAIL!$C$16+SUP_C4_RETAIL!$C$17*(AI4-SUP_C4_RETAIL!$C$15)))</f>
        <v>8.5</v>
      </c>
      <c r="AJ7" s="99">
        <f>IF(AJ6=0,0,MIN(SUP_C4_RETAIL!$C$18,SUP_C4_RETAIL!$C$16+SUP_C4_RETAIL!$C$17*(AJ4-SUP_C4_RETAIL!$C$15)))</f>
        <v>9</v>
      </c>
      <c r="AK7" s="99">
        <f>IF(AK6=0,0,MIN(SUP_C4_RETAIL!$C$18,SUP_C4_RETAIL!$C$16+SUP_C4_RETAIL!$C$17*(AK4-SUP_C4_RETAIL!$C$15)))</f>
        <v>9.5</v>
      </c>
      <c r="AL7" s="99">
        <f>IF(AL6=0,0,MIN(SUP_C4_RETAIL!$C$18,SUP_C4_RETAIL!$C$16+SUP_C4_RETAIL!$C$17*(AL4-SUP_C4_RETAIL!$C$15)))</f>
        <v>10</v>
      </c>
      <c r="AM7" s="99">
        <f>IF(AM6=0,0,MIN(SUP_C4_RETAIL!$C$18,SUP_C4_RETAIL!$C$16+SUP_C4_RETAIL!$C$17*(AM4-SUP_C4_RETAIL!$C$15)))</f>
        <v>10.5</v>
      </c>
      <c r="AN7" s="99">
        <f>IF(AN6=0,0,MIN(SUP_C4_RETAIL!$C$18,SUP_C4_RETAIL!$C$16+SUP_C4_RETAIL!$C$17*(AN4-SUP_C4_RETAIL!$C$15)))</f>
        <v>11</v>
      </c>
      <c r="AO7" s="99">
        <f>IF(AO6=0,0,MIN(SUP_C4_RETAIL!$C$18,SUP_C4_RETAIL!$C$16+SUP_C4_RETAIL!$C$17*(AO4-SUP_C4_RETAIL!$C$15)))</f>
        <v>11.5</v>
      </c>
      <c r="AP7" s="99">
        <f>IF(AP6=0,0,MIN(SUP_C4_RETAIL!$C$18,SUP_C4_RETAIL!$C$16+SUP_C4_RETAIL!$C$17*(AP4-SUP_C4_RETAIL!$C$15)))</f>
        <v>12</v>
      </c>
      <c r="AQ7" s="99">
        <f>IF(AQ6=0,0,MIN(SUP_C4_RETAIL!$C$18,SUP_C4_RETAIL!$C$16+SUP_C4_RETAIL!$C$17*(AQ4-SUP_C4_RETAIL!$C$15)))</f>
        <v>12.5</v>
      </c>
      <c r="AR7" s="99">
        <f>IF(AR6=0,0,MIN(SUP_C4_RETAIL!$C$18,SUP_C4_RETAIL!$C$16+SUP_C4_RETAIL!$C$17*(AR4-SUP_C4_RETAIL!$C$15)))</f>
        <v>13</v>
      </c>
      <c r="AS7" s="99">
        <f>IF(AS6=0,0,MIN(SUP_C4_RETAIL!$C$18,SUP_C4_RETAIL!$C$16+SUP_C4_RETAIL!$C$17*(AS4-SUP_C4_RETAIL!$C$15)))</f>
        <v>13.5</v>
      </c>
      <c r="AT7" s="99">
        <f>IF(AT6=0,0,MIN(SUP_C4_RETAIL!$C$18,SUP_C4_RETAIL!$C$16+SUP_C4_RETAIL!$C$17*(AT4-SUP_C4_RETAIL!$C$15)))</f>
        <v>14</v>
      </c>
      <c r="AU7" s="99">
        <f>IF(AU6=0,0,MIN(SUP_C4_RETAIL!$C$18,SUP_C4_RETAIL!$C$16+SUP_C4_RETAIL!$C$17*(AU4-SUP_C4_RETAIL!$C$15)))</f>
        <v>14.5</v>
      </c>
      <c r="AV7" s="99">
        <f>IF(AV6=0,0,MIN(SUP_C4_RETAIL!$C$18,SUP_C4_RETAIL!$C$16+SUP_C4_RETAIL!$C$17*(AV4-SUP_C4_RETAIL!$C$15)))</f>
        <v>15</v>
      </c>
      <c r="AW7" s="99">
        <f>IF(AW6=0,0,MIN(SUP_C4_RETAIL!$C$18,SUP_C4_RETAIL!$C$16+SUP_C4_RETAIL!$C$17*(AW4-SUP_C4_RETAIL!$C$15)))</f>
        <v>15.5</v>
      </c>
      <c r="AX7" s="99">
        <f>IF(AX6=0,0,MIN(SUP_C4_RETAIL!$C$18,SUP_C4_RETAIL!$C$16+SUP_C4_RETAIL!$C$17*(AX4-SUP_C4_RETAIL!$C$15)))</f>
        <v>16</v>
      </c>
      <c r="AY7" s="99">
        <f>IF(AY6=0,0,MIN(SUP_C4_RETAIL!$C$18,SUP_C4_RETAIL!$C$16+SUP_C4_RETAIL!$C$17*(AY4-SUP_C4_RETAIL!$C$15)))</f>
        <v>16.5</v>
      </c>
      <c r="AZ7" s="99">
        <f>IF(AZ6=0,0,MIN(SUP_C4_RETAIL!$C$18,SUP_C4_RETAIL!$C$16+SUP_C4_RETAIL!$C$17*(AZ4-SUP_C4_RETAIL!$C$15)))</f>
        <v>17</v>
      </c>
      <c r="BA7" s="99">
        <f>IF(BA6=0,0,MIN(SUP_C4_RETAIL!$C$18,SUP_C4_RETAIL!$C$16+SUP_C4_RETAIL!$C$17*(BA4-SUP_C4_RETAIL!$C$15)))</f>
        <v>17.5</v>
      </c>
      <c r="BB7" s="99">
        <f>IF(BB6=0,0,MIN(SUP_C4_RETAIL!$C$18,SUP_C4_RETAIL!$C$16+SUP_C4_RETAIL!$C$17*(BB4-SUP_C4_RETAIL!$C$15)))</f>
        <v>18</v>
      </c>
      <c r="BC7" s="99">
        <f>IF(BC6=0,0,MIN(SUP_C4_RETAIL!$C$18,SUP_C4_RETAIL!$C$16+SUP_C4_RETAIL!$C$17*(BC4-SUP_C4_RETAIL!$C$15)))</f>
        <v>18.5</v>
      </c>
      <c r="BD7" s="99">
        <f>IF(BD6=0,0,MIN(SUP_C4_RETAIL!$C$18,SUP_C4_RETAIL!$C$16+SUP_C4_RETAIL!$C$17*(BD4-SUP_C4_RETAIL!$C$15)))</f>
        <v>19</v>
      </c>
      <c r="BE7" s="99">
        <f>IF(BE6=0,0,MIN(SUP_C4_RETAIL!$C$18,SUP_C4_RETAIL!$C$16+SUP_C4_RETAIL!$C$17*(BE4-SUP_C4_RETAIL!$C$15)))</f>
        <v>19.5</v>
      </c>
      <c r="BF7" s="99">
        <f>IF(BF6=0,0,MIN(SUP_C4_RETAIL!$C$18,SUP_C4_RETAIL!$C$16+SUP_C4_RETAIL!$C$17*(BF4-SUP_C4_RETAIL!$C$15)))</f>
        <v>20</v>
      </c>
      <c r="BG7" s="99">
        <f>IF(BG6=0,0,MIN(SUP_C4_RETAIL!$C$18,SUP_C4_RETAIL!$C$16+SUP_C4_RETAIL!$C$17*(BG4-SUP_C4_RETAIL!$C$15)))</f>
        <v>20.5</v>
      </c>
      <c r="BH7" s="99">
        <f>IF(BH6=0,0,MIN(SUP_C4_RETAIL!$C$18,SUP_C4_RETAIL!$C$16+SUP_C4_RETAIL!$C$17*(BH4-SUP_C4_RETAIL!$C$15)))</f>
        <v>21</v>
      </c>
      <c r="BI7" s="99">
        <f>IF(BI6=0,0,MIN(SUP_C4_RETAIL!$C$18,SUP_C4_RETAIL!$C$16+SUP_C4_RETAIL!$C$17*(BI4-SUP_C4_RETAIL!$C$15)))</f>
        <v>21.5</v>
      </c>
      <c r="BJ7" s="99">
        <f>IF(BJ6=0,0,MIN(SUP_C4_RETAIL!$C$18,SUP_C4_RETAIL!$C$16+SUP_C4_RETAIL!$C$17*(BJ4-SUP_C4_RETAIL!$C$15)))</f>
        <v>22</v>
      </c>
      <c r="BK7" s="99">
        <f>IF(BK6=0,0,MIN(SUP_C4_RETAIL!$C$18,SUP_C4_RETAIL!$C$16+SUP_C4_RETAIL!$C$17*(BK4-SUP_C4_RETAIL!$C$15)))</f>
        <v>22.5</v>
      </c>
      <c r="BL7" s="99">
        <f>IF(BL6=0,0,MIN(SUP_C4_RETAIL!$C$18,SUP_C4_RETAIL!$C$16+SUP_C4_RETAIL!$C$17*(BL4-SUP_C4_RETAIL!$C$15)))</f>
        <v>23</v>
      </c>
      <c r="BM7" s="99">
        <f>IF(BM6=0,0,MIN(SUP_C4_RETAIL!$C$18,SUP_C4_RETAIL!$C$16+SUP_C4_RETAIL!$C$17*(BM4-SUP_C4_RETAIL!$C$15)))</f>
        <v>23.5</v>
      </c>
      <c r="BN7" s="99">
        <f>IF(BN6=0,0,MIN(SUP_C4_RETAIL!$C$18,SUP_C4_RETAIL!$C$16+SUP_C4_RETAIL!$C$17*(BN4-SUP_C4_RETAIL!$C$15)))</f>
        <v>24</v>
      </c>
      <c r="BO7" s="99">
        <f>IF(BO6=0,0,MIN(SUP_C4_RETAIL!$C$18,SUP_C4_RETAIL!$C$16+SUP_C4_RETAIL!$C$17*(BO4-SUP_C4_RETAIL!$C$15)))</f>
        <v>24.5</v>
      </c>
      <c r="BP7" s="99">
        <f>IF(BP6=0,0,MIN(SUP_C4_RETAIL!$C$18,SUP_C4_RETAIL!$C$16+SUP_C4_RETAIL!$C$17*(BP4-SUP_C4_RETAIL!$C$15)))</f>
        <v>25</v>
      </c>
      <c r="BQ7" s="99">
        <f>IF(BQ6=0,0,MIN(SUP_C4_RETAIL!$C$18,SUP_C4_RETAIL!$C$16+SUP_C4_RETAIL!$C$17*(BQ4-SUP_C4_RETAIL!$C$15)))</f>
        <v>25.5</v>
      </c>
      <c r="BR7" s="99">
        <f>IF(BR6=0,0,MIN(SUP_C4_RETAIL!$C$18,SUP_C4_RETAIL!$C$16+SUP_C4_RETAIL!$C$17*(BR4-SUP_C4_RETAIL!$C$15)))</f>
        <v>26</v>
      </c>
      <c r="BS7" s="99">
        <f>IF(BS6=0,0,MIN(SUP_C4_RETAIL!$C$18,SUP_C4_RETAIL!$C$16+SUP_C4_RETAIL!$C$17*(BS4-SUP_C4_RETAIL!$C$15)))</f>
        <v>26.5</v>
      </c>
      <c r="BT7" s="99">
        <f>IF(BT6=0,0,MIN(SUP_C4_RETAIL!$C$18,SUP_C4_RETAIL!$C$16+SUP_C4_RETAIL!$C$17*(BT4-SUP_C4_RETAIL!$C$15)))</f>
        <v>27</v>
      </c>
      <c r="BU7" s="99">
        <f>IF(BU6=0,0,MIN(SUP_C4_RETAIL!$C$18,SUP_C4_RETAIL!$C$16+SUP_C4_RETAIL!$C$17*(BU4-SUP_C4_RETAIL!$C$15)))</f>
        <v>27.5</v>
      </c>
      <c r="BV7" s="99">
        <f>IF(BV6=0,0,MIN(SUP_C4_RETAIL!$C$18,SUP_C4_RETAIL!$C$16+SUP_C4_RETAIL!$C$17*(BV4-SUP_C4_RETAIL!$C$15)))</f>
        <v>28</v>
      </c>
      <c r="BW7" s="99">
        <f>IF(BW6=0,0,MIN(SUP_C4_RETAIL!$C$18,SUP_C4_RETAIL!$C$16+SUP_C4_RETAIL!$C$17*(BW4-SUP_C4_RETAIL!$C$15)))</f>
        <v>28.5</v>
      </c>
      <c r="BX7" s="99">
        <f>IF(BX6=0,0,MIN(SUP_C4_RETAIL!$C$18,SUP_C4_RETAIL!$C$16+SUP_C4_RETAIL!$C$17*(BX4-SUP_C4_RETAIL!$C$15)))</f>
        <v>29</v>
      </c>
      <c r="BY7" s="99">
        <f>IF(BY6=0,0,MIN(SUP_C4_RETAIL!$C$18,SUP_C4_RETAIL!$C$16+SUP_C4_RETAIL!$C$17*(BY4-SUP_C4_RETAIL!$C$15)))</f>
        <v>29.5</v>
      </c>
      <c r="BZ7" s="99">
        <f>IF(BZ6=0,0,MIN(SUP_C4_RETAIL!$C$18,SUP_C4_RETAIL!$C$16+SUP_C4_RETAIL!$C$17*(BZ4-SUP_C4_RETAIL!$C$15)))</f>
        <v>30</v>
      </c>
      <c r="CA7" s="99">
        <f>IF(CA6=0,0,MIN(SUP_C4_RETAIL!$C$18,SUP_C4_RETAIL!$C$16+SUP_C4_RETAIL!$C$17*(CA4-SUP_C4_RETAIL!$C$15)))</f>
        <v>30</v>
      </c>
      <c r="CB7" s="99">
        <f>IF(CB6=0,0,MIN(SUP_C4_RETAIL!$C$18,SUP_C4_RETAIL!$C$16+SUP_C4_RETAIL!$C$17*(CB4-SUP_C4_RETAIL!$C$15)))</f>
        <v>30</v>
      </c>
      <c r="CC7" s="99">
        <f>IF(CC6=0,0,MIN(SUP_C4_RETAIL!$C$18,SUP_C4_RETAIL!$C$16+SUP_C4_RETAIL!$C$17*(CC4-SUP_C4_RETAIL!$C$15)))</f>
        <v>30</v>
      </c>
      <c r="CD7" s="99">
        <f>IF(CD6=0,0,MIN(SUP_C4_RETAIL!$C$18,SUP_C4_RETAIL!$C$16+SUP_C4_RETAIL!$C$17*(CD4-SUP_C4_RETAIL!$C$15)))</f>
        <v>30</v>
      </c>
      <c r="CE7" s="99">
        <f>IF(CE6=0,0,MIN(SUP_C4_RETAIL!$C$18,SUP_C4_RETAIL!$C$16+SUP_C4_RETAIL!$C$17*(CE4-SUP_C4_RETAIL!$C$15)))</f>
        <v>30</v>
      </c>
      <c r="CF7" s="99">
        <f>IF(CF6=0,0,MIN(SUP_C4_RETAIL!$C$18,SUP_C4_RETAIL!$C$16+SUP_C4_RETAIL!$C$17*(CF4-SUP_C4_RETAIL!$C$15)))</f>
        <v>30</v>
      </c>
      <c r="CG7" s="99">
        <f>IF(CG6=0,0,MIN(SUP_C4_RETAIL!$C$18,SUP_C4_RETAIL!$C$16+SUP_C4_RETAIL!$C$17*(CG4-SUP_C4_RETAIL!$C$15)))</f>
        <v>30</v>
      </c>
      <c r="CH7" s="99">
        <f>IF(CH6=0,0,MIN(SUP_C4_RETAIL!$C$18,SUP_C4_RETAIL!$C$16+SUP_C4_RETAIL!$C$17*(CH4-SUP_C4_RETAIL!$C$15)))</f>
        <v>30</v>
      </c>
      <c r="CI7" s="99">
        <f>IF(CI6=0,0,MIN(SUP_C4_RETAIL!$C$18,SUP_C4_RETAIL!$C$16+SUP_C4_RETAIL!$C$17*(CI4-SUP_C4_RETAIL!$C$15)))</f>
        <v>30</v>
      </c>
      <c r="CJ7" s="99">
        <f>IF(CJ6=0,0,MIN(SUP_C4_RETAIL!$C$18,SUP_C4_RETAIL!$C$16+SUP_C4_RETAIL!$C$17*(CJ4-SUP_C4_RETAIL!$C$15)))</f>
        <v>30</v>
      </c>
      <c r="CK7" s="99">
        <f>IF(CK6=0,0,MIN(SUP_C4_RETAIL!$C$18,SUP_C4_RETAIL!$C$16+SUP_C4_RETAIL!$C$17*(CK4-SUP_C4_RETAIL!$C$15)))</f>
        <v>30</v>
      </c>
      <c r="CL7" s="99">
        <f>IF(CL6=0,0,MIN(SUP_C4_RETAIL!$C$18,SUP_C4_RETAIL!$C$16+SUP_C4_RETAIL!$C$17*(CL4-SUP_C4_RETAIL!$C$15)))</f>
        <v>30</v>
      </c>
      <c r="CM7" s="99">
        <f>IF(CM6=0,0,MIN(SUP_C4_RETAIL!$C$18,SUP_C4_RETAIL!$C$16+SUP_C4_RETAIL!$C$17*(CM4-SUP_C4_RETAIL!$C$15)))</f>
        <v>30</v>
      </c>
      <c r="CN7" s="99">
        <f>IF(CN6=0,0,MIN(SUP_C4_RETAIL!$C$18,SUP_C4_RETAIL!$C$16+SUP_C4_RETAIL!$C$17*(CN4-SUP_C4_RETAIL!$C$15)))</f>
        <v>30</v>
      </c>
      <c r="CO7" s="99">
        <f>IF(CO6=0,0,MIN(SUP_C4_RETAIL!$C$18,SUP_C4_RETAIL!$C$16+SUP_C4_RETAIL!$C$17*(CO4-SUP_C4_RETAIL!$C$15)))</f>
        <v>30</v>
      </c>
      <c r="CP7" s="99">
        <f>IF(CP6=0,0,MIN(SUP_C4_RETAIL!$C$18,SUP_C4_RETAIL!$C$16+SUP_C4_RETAIL!$C$17*(CP4-SUP_C4_RETAIL!$C$15)))</f>
        <v>30</v>
      </c>
      <c r="CQ7" s="99">
        <f>IF(CQ6=0,0,MIN(SUP_C4_RETAIL!$C$18,SUP_C4_RETAIL!$C$16+SUP_C4_RETAIL!$C$17*(CQ4-SUP_C4_RETAIL!$C$15)))</f>
        <v>30</v>
      </c>
      <c r="CR7" s="99">
        <f>IF(CR6=0,0,MIN(SUP_C4_RETAIL!$C$18,SUP_C4_RETAIL!$C$16+SUP_C4_RETAIL!$C$17*(CR4-SUP_C4_RETAIL!$C$15)))</f>
        <v>30</v>
      </c>
      <c r="CS7" s="99">
        <f>IF(CS6=0,0,MIN(SUP_C4_RETAIL!$C$18,SUP_C4_RETAIL!$C$16+SUP_C4_RETAIL!$C$17*(CS4-SUP_C4_RETAIL!$C$15)))</f>
        <v>30</v>
      </c>
      <c r="CT7" s="99">
        <f>IF(CT6=0,0,MIN(SUP_C4_RETAIL!$C$18,SUP_C4_RETAIL!$C$16+SUP_C4_RETAIL!$C$17*(CT4-SUP_C4_RETAIL!$C$15)))</f>
        <v>30</v>
      </c>
      <c r="CU7" s="99">
        <f>IF(CU6=0,0,MIN(SUP_C4_RETAIL!$C$18,SUP_C4_RETAIL!$C$16+SUP_C4_RETAIL!$C$17*(CU4-SUP_C4_RETAIL!$C$15)))</f>
        <v>30</v>
      </c>
      <c r="CV7" s="99">
        <f>IF(CV6=0,0,MIN(SUP_C4_RETAIL!$C$18,SUP_C4_RETAIL!$C$16+SUP_C4_RETAIL!$C$17*(CV4-SUP_C4_RETAIL!$C$15)))</f>
        <v>30</v>
      </c>
      <c r="CW7" s="99">
        <f>IF(CW6=0,0,MIN(SUP_C4_RETAIL!$C$18,SUP_C4_RETAIL!$C$16+SUP_C4_RETAIL!$C$17*(CW4-SUP_C4_RETAIL!$C$15)))</f>
        <v>30</v>
      </c>
      <c r="CX7" s="99">
        <f>IF(CX6=0,0,MIN(SUP_C4_RETAIL!$C$18,SUP_C4_RETAIL!$C$16+SUP_C4_RETAIL!$C$17*(CX4-SUP_C4_RETAIL!$C$15)))</f>
        <v>30</v>
      </c>
      <c r="CY7" s="99">
        <f>IF(CY6=0,0,MIN(SUP_C4_RETAIL!$C$18,SUP_C4_RETAIL!$C$16+SUP_C4_RETAIL!$C$17*(CY4-SUP_C4_RETAIL!$C$15)))</f>
        <v>30</v>
      </c>
      <c r="CZ7" s="99">
        <f>IF(CZ6=0,0,MIN(SUP_C4_RETAIL!$C$18,SUP_C4_RETAIL!$C$16+SUP_C4_RETAIL!$C$17*(CZ4-SUP_C4_RETAIL!$C$15)))</f>
        <v>30</v>
      </c>
      <c r="DA7" s="99">
        <f>IF(DA6=0,0,MIN(SUP_C4_RETAIL!$C$18,SUP_C4_RETAIL!$C$16+SUP_C4_RETAIL!$C$17*(DA4-SUP_C4_RETAIL!$C$15)))</f>
        <v>30</v>
      </c>
      <c r="DB7" s="99">
        <f>IF(DB6=0,0,MIN(SUP_C4_RETAIL!$C$18,SUP_C4_RETAIL!$C$16+SUP_C4_RETAIL!$C$17*(DB4-SUP_C4_RETAIL!$C$15)))</f>
        <v>30</v>
      </c>
      <c r="DC7" s="99">
        <f>IF(DC6=0,0,MIN(SUP_C4_RETAIL!$C$18,SUP_C4_RETAIL!$C$16+SUP_C4_RETAIL!$C$17*(DC4-SUP_C4_RETAIL!$C$15)))</f>
        <v>30</v>
      </c>
      <c r="DD7" s="99">
        <f>IF(DD6=0,0,MIN(SUP_C4_RETAIL!$C$18,SUP_C4_RETAIL!$C$16+SUP_C4_RETAIL!$C$17*(DD4-SUP_C4_RETAIL!$C$15)))</f>
        <v>30</v>
      </c>
      <c r="DE7" s="99">
        <f>IF(DE6=0,0,MIN(SUP_C4_RETAIL!$C$18,SUP_C4_RETAIL!$C$16+SUP_C4_RETAIL!$C$17*(DE4-SUP_C4_RETAIL!$C$15)))</f>
        <v>30</v>
      </c>
      <c r="DF7" s="99">
        <f>IF(DF6=0,0,MIN(SUP_C4_RETAIL!$C$18,SUP_C4_RETAIL!$C$16+SUP_C4_RETAIL!$C$17*(DF4-SUP_C4_RETAIL!$C$15)))</f>
        <v>30</v>
      </c>
      <c r="DG7" s="99">
        <f>IF(DG6=0,0,MIN(SUP_C4_RETAIL!$C$18,SUP_C4_RETAIL!$C$16+SUP_C4_RETAIL!$C$17*(DG4-SUP_C4_RETAIL!$C$15)))</f>
        <v>30</v>
      </c>
      <c r="DH7" s="99">
        <f>IF(DH6=0,0,MIN(SUP_C4_RETAIL!$C$18,SUP_C4_RETAIL!$C$16+SUP_C4_RETAIL!$C$17*(DH4-SUP_C4_RETAIL!$C$15)))</f>
        <v>30</v>
      </c>
      <c r="DI7" s="99">
        <f>IF(DI6=0,0,MIN(SUP_C4_RETAIL!$C$18,SUP_C4_RETAIL!$C$16+SUP_C4_RETAIL!$C$17*(DI4-SUP_C4_RETAIL!$C$15)))</f>
        <v>30</v>
      </c>
      <c r="DJ7" s="99">
        <f>IF(DJ6=0,0,MIN(SUP_C4_RETAIL!$C$18,SUP_C4_RETAIL!$C$16+SUP_C4_RETAIL!$C$17*(DJ4-SUP_C4_RETAIL!$C$15)))</f>
        <v>30</v>
      </c>
      <c r="DK7" s="99">
        <f>IF(DK6=0,0,MIN(SUP_C4_RETAIL!$C$18,SUP_C4_RETAIL!$C$16+SUP_C4_RETAIL!$C$17*(DK4-SUP_C4_RETAIL!$C$15)))</f>
        <v>30</v>
      </c>
      <c r="DL7" s="99">
        <f>IF(DL6=0,0,MIN(SUP_C4_RETAIL!$C$18,SUP_C4_RETAIL!$C$16+SUP_C4_RETAIL!$C$17*(DL4-SUP_C4_RETAIL!$C$15)))</f>
        <v>30</v>
      </c>
      <c r="DM7" s="99">
        <f>IF(DM6=0,0,MIN(SUP_C4_RETAIL!$C$18,SUP_C4_RETAIL!$C$16+SUP_C4_RETAIL!$C$17*(DM4-SUP_C4_RETAIL!$C$15)))</f>
        <v>30</v>
      </c>
      <c r="DN7" s="99">
        <f>IF(DN6=0,0,MIN(SUP_C4_RETAIL!$C$18,SUP_C4_RETAIL!$C$16+SUP_C4_RETAIL!$C$17*(DN4-SUP_C4_RETAIL!$C$15)))</f>
        <v>30</v>
      </c>
      <c r="DO7" s="99">
        <f>IF(DO6=0,0,MIN(SUP_C4_RETAIL!$C$18,SUP_C4_RETAIL!$C$16+SUP_C4_RETAIL!$C$17*(DO4-SUP_C4_RETAIL!$C$15)))</f>
        <v>30</v>
      </c>
      <c r="DP7" s="99">
        <f>IF(DP6=0,0,MIN(SUP_C4_RETAIL!$C$18,SUP_C4_RETAIL!$C$16+SUP_C4_RETAIL!$C$17*(DP4-SUP_C4_RETAIL!$C$15)))</f>
        <v>30</v>
      </c>
      <c r="DQ7" s="99">
        <f>IF(DQ6=0,0,MIN(SUP_C4_RETAIL!$C$18,SUP_C4_RETAIL!$C$16+SUP_C4_RETAIL!$C$17*(DQ4-SUP_C4_RETAIL!$C$15)))</f>
        <v>30</v>
      </c>
      <c r="DR7" s="99">
        <f>IF(DR6=0,0,MIN(SUP_C4_RETAIL!$C$18,SUP_C4_RETAIL!$C$16+SUP_C4_RETAIL!$C$17*(DR4-SUP_C4_RETAIL!$C$15)))</f>
        <v>30</v>
      </c>
      <c r="DS7" s="99">
        <f>IF(DS6=0,0,MIN(SUP_C4_RETAIL!$C$18,SUP_C4_RETAIL!$C$16+SUP_C4_RETAIL!$C$17*(DS4-SUP_C4_RETAIL!$C$15)))</f>
        <v>30</v>
      </c>
    </row>
    <row r="8" spans="1:123" ht="15" customHeight="1" x14ac:dyDescent="0.2">
      <c r="B8" s="37" t="s">
        <v>897</v>
      </c>
      <c r="D8" s="77">
        <f>D7*1000*SUP_C4_RETAIL!$C$19</f>
        <v>0</v>
      </c>
      <c r="E8" s="77">
        <f>E7*1000*SUP_C4_RETAIL!$C$19</f>
        <v>0</v>
      </c>
      <c r="F8" s="77">
        <f>F7*1000*SUP_C4_RETAIL!$C$19</f>
        <v>0</v>
      </c>
      <c r="G8" s="77">
        <f>G7*1000*SUP_C4_RETAIL!$C$19</f>
        <v>0</v>
      </c>
      <c r="H8" s="77">
        <f>H7*1000*SUP_C4_RETAIL!$C$19</f>
        <v>0</v>
      </c>
      <c r="I8" s="77">
        <f>I7*1000*SUP_C4_RETAIL!$C$19</f>
        <v>0</v>
      </c>
      <c r="J8" s="77">
        <f>J7*1000*SUP_C4_RETAIL!$C$19</f>
        <v>0</v>
      </c>
      <c r="K8" s="77">
        <f>K7*1000*SUP_C4_RETAIL!$C$19</f>
        <v>0</v>
      </c>
      <c r="L8" s="77">
        <f>L7*1000*SUP_C4_RETAIL!$C$19</f>
        <v>0</v>
      </c>
      <c r="M8" s="77">
        <f>M7*1000*SUP_C4_RETAIL!$C$19</f>
        <v>0</v>
      </c>
      <c r="N8" s="77">
        <f>N7*1000*SUP_C4_RETAIL!$C$19</f>
        <v>0</v>
      </c>
      <c r="O8" s="77">
        <f>O7*1000*SUP_C4_RETAIL!$C$19</f>
        <v>0</v>
      </c>
      <c r="P8" s="77">
        <f>P7*1000*SUP_C4_RETAIL!$C$19</f>
        <v>0</v>
      </c>
      <c r="Q8" s="77">
        <f>Q7*1000*SUP_C4_RETAIL!$C$19</f>
        <v>0</v>
      </c>
      <c r="R8" s="77">
        <f>R7*1000*SUP_C4_RETAIL!$C$19</f>
        <v>0</v>
      </c>
      <c r="S8" s="77">
        <f>S7*1000*SUP_C4_RETAIL!$C$19</f>
        <v>0</v>
      </c>
      <c r="T8" s="77">
        <f>T7*1000*SUP_C4_RETAIL!$C$19</f>
        <v>0</v>
      </c>
      <c r="U8" s="77">
        <f>U7*1000*SUP_C4_RETAIL!$C$19</f>
        <v>0</v>
      </c>
      <c r="V8" s="77">
        <f>V7*1000*SUP_C4_RETAIL!$C$19</f>
        <v>0</v>
      </c>
      <c r="W8" s="77">
        <f>W7*1000*SUP_C4_RETAIL!$C$19</f>
        <v>0</v>
      </c>
      <c r="X8" s="77">
        <f>X7*1000*SUP_C4_RETAIL!$C$19</f>
        <v>0</v>
      </c>
      <c r="Y8" s="77">
        <f>Y7*1000*SUP_C4_RETAIL!$C$19</f>
        <v>0</v>
      </c>
      <c r="Z8" s="77">
        <f>Z7*1000*SUP_C4_RETAIL!$C$19</f>
        <v>0</v>
      </c>
      <c r="AA8" s="77">
        <f>AA7*1000*SUP_C4_RETAIL!$C$19</f>
        <v>0</v>
      </c>
      <c r="AB8" s="77">
        <f>AB7*1000*SUP_C4_RETAIL!$C$19</f>
        <v>21000</v>
      </c>
      <c r="AC8" s="77">
        <f>AC7*1000*SUP_C4_RETAIL!$C$19</f>
        <v>23100</v>
      </c>
      <c r="AD8" s="77">
        <f>AD7*1000*SUP_C4_RETAIL!$C$19</f>
        <v>25200</v>
      </c>
      <c r="AE8" s="77">
        <f>AE7*1000*SUP_C4_RETAIL!$C$19</f>
        <v>27300</v>
      </c>
      <c r="AF8" s="77">
        <f>AF7*1000*SUP_C4_RETAIL!$C$19</f>
        <v>29400</v>
      </c>
      <c r="AG8" s="77">
        <f>AG7*1000*SUP_C4_RETAIL!$C$19</f>
        <v>31500</v>
      </c>
      <c r="AH8" s="77">
        <f>AH7*1000*SUP_C4_RETAIL!$C$19</f>
        <v>33600</v>
      </c>
      <c r="AI8" s="77">
        <f>AI7*1000*SUP_C4_RETAIL!$C$19</f>
        <v>35700</v>
      </c>
      <c r="AJ8" s="77">
        <f>AJ7*1000*SUP_C4_RETAIL!$C$19</f>
        <v>37800</v>
      </c>
      <c r="AK8" s="77">
        <f>AK7*1000*SUP_C4_RETAIL!$C$19</f>
        <v>39900</v>
      </c>
      <c r="AL8" s="77">
        <f>AL7*1000*SUP_C4_RETAIL!$C$19</f>
        <v>42000</v>
      </c>
      <c r="AM8" s="77">
        <f>AM7*1000*SUP_C4_RETAIL!$C$19</f>
        <v>44100</v>
      </c>
      <c r="AN8" s="77">
        <f>AN7*1000*SUP_C4_RETAIL!$C$19</f>
        <v>46200</v>
      </c>
      <c r="AO8" s="77">
        <f>AO7*1000*SUP_C4_RETAIL!$C$19</f>
        <v>48300</v>
      </c>
      <c r="AP8" s="77">
        <f>AP7*1000*SUP_C4_RETAIL!$C$19</f>
        <v>50400</v>
      </c>
      <c r="AQ8" s="77">
        <f>AQ7*1000*SUP_C4_RETAIL!$C$19</f>
        <v>52500</v>
      </c>
      <c r="AR8" s="77">
        <f>AR7*1000*SUP_C4_RETAIL!$C$19</f>
        <v>54600</v>
      </c>
      <c r="AS8" s="77">
        <f>AS7*1000*SUP_C4_RETAIL!$C$19</f>
        <v>56700</v>
      </c>
      <c r="AT8" s="77">
        <f>AT7*1000*SUP_C4_RETAIL!$C$19</f>
        <v>58800</v>
      </c>
      <c r="AU8" s="77">
        <f>AU7*1000*SUP_C4_RETAIL!$C$19</f>
        <v>60900</v>
      </c>
      <c r="AV8" s="77">
        <f>AV7*1000*SUP_C4_RETAIL!$C$19</f>
        <v>63000</v>
      </c>
      <c r="AW8" s="77">
        <f>AW7*1000*SUP_C4_RETAIL!$C$19</f>
        <v>65100</v>
      </c>
      <c r="AX8" s="77">
        <f>AX7*1000*SUP_C4_RETAIL!$C$19</f>
        <v>67200</v>
      </c>
      <c r="AY8" s="77">
        <f>AY7*1000*SUP_C4_RETAIL!$C$19</f>
        <v>69300</v>
      </c>
      <c r="AZ8" s="77">
        <f>AZ7*1000*SUP_C4_RETAIL!$C$19</f>
        <v>71400</v>
      </c>
      <c r="BA8" s="77">
        <f>BA7*1000*SUP_C4_RETAIL!$C$19</f>
        <v>73500</v>
      </c>
      <c r="BB8" s="77">
        <f>BB7*1000*SUP_C4_RETAIL!$C$19</f>
        <v>75600</v>
      </c>
      <c r="BC8" s="77">
        <f>BC7*1000*SUP_C4_RETAIL!$C$19</f>
        <v>77700</v>
      </c>
      <c r="BD8" s="77">
        <f>BD7*1000*SUP_C4_RETAIL!$C$19</f>
        <v>79800</v>
      </c>
      <c r="BE8" s="77">
        <f>BE7*1000*SUP_C4_RETAIL!$C$19</f>
        <v>81900</v>
      </c>
      <c r="BF8" s="77">
        <f>BF7*1000*SUP_C4_RETAIL!$C$19</f>
        <v>84000</v>
      </c>
      <c r="BG8" s="77">
        <f>BG7*1000*SUP_C4_RETAIL!$C$19</f>
        <v>86100</v>
      </c>
      <c r="BH8" s="77">
        <f>BH7*1000*SUP_C4_RETAIL!$C$19</f>
        <v>88200</v>
      </c>
      <c r="BI8" s="77">
        <f>BI7*1000*SUP_C4_RETAIL!$C$19</f>
        <v>90300</v>
      </c>
      <c r="BJ8" s="77">
        <f>BJ7*1000*SUP_C4_RETAIL!$C$19</f>
        <v>92400</v>
      </c>
      <c r="BK8" s="77">
        <f>BK7*1000*SUP_C4_RETAIL!$C$19</f>
        <v>94500</v>
      </c>
      <c r="BL8" s="77">
        <f>BL7*1000*SUP_C4_RETAIL!$C$19</f>
        <v>96600</v>
      </c>
      <c r="BM8" s="77">
        <f>BM7*1000*SUP_C4_RETAIL!$C$19</f>
        <v>98700</v>
      </c>
      <c r="BN8" s="77">
        <f>BN7*1000*SUP_C4_RETAIL!$C$19</f>
        <v>100800</v>
      </c>
      <c r="BO8" s="77">
        <f>BO7*1000*SUP_C4_RETAIL!$C$19</f>
        <v>102900</v>
      </c>
      <c r="BP8" s="77">
        <f>BP7*1000*SUP_C4_RETAIL!$C$19</f>
        <v>105000</v>
      </c>
      <c r="BQ8" s="77">
        <f>BQ7*1000*SUP_C4_RETAIL!$C$19</f>
        <v>107100</v>
      </c>
      <c r="BR8" s="77">
        <f>BR7*1000*SUP_C4_RETAIL!$C$19</f>
        <v>109200</v>
      </c>
      <c r="BS8" s="77">
        <f>BS7*1000*SUP_C4_RETAIL!$C$19</f>
        <v>111300</v>
      </c>
      <c r="BT8" s="77">
        <f>BT7*1000*SUP_C4_RETAIL!$C$19</f>
        <v>113400</v>
      </c>
      <c r="BU8" s="77">
        <f>BU7*1000*SUP_C4_RETAIL!$C$19</f>
        <v>115500</v>
      </c>
      <c r="BV8" s="77">
        <f>BV7*1000*SUP_C4_RETAIL!$C$19</f>
        <v>117600</v>
      </c>
      <c r="BW8" s="77">
        <f>BW7*1000*SUP_C4_RETAIL!$C$19</f>
        <v>119700</v>
      </c>
      <c r="BX8" s="77">
        <f>BX7*1000*SUP_C4_RETAIL!$C$19</f>
        <v>121800</v>
      </c>
      <c r="BY8" s="77">
        <f>BY7*1000*SUP_C4_RETAIL!$C$19</f>
        <v>123900</v>
      </c>
      <c r="BZ8" s="77">
        <f>BZ7*1000*SUP_C4_RETAIL!$C$19</f>
        <v>126000</v>
      </c>
      <c r="CA8" s="77">
        <f>CA7*1000*SUP_C4_RETAIL!$C$19</f>
        <v>126000</v>
      </c>
      <c r="CB8" s="77">
        <f>CB7*1000*SUP_C4_RETAIL!$C$19</f>
        <v>126000</v>
      </c>
      <c r="CC8" s="77">
        <f>CC7*1000*SUP_C4_RETAIL!$C$19</f>
        <v>126000</v>
      </c>
      <c r="CD8" s="77">
        <f>CD7*1000*SUP_C4_RETAIL!$C$19</f>
        <v>126000</v>
      </c>
      <c r="CE8" s="77">
        <f>CE7*1000*SUP_C4_RETAIL!$C$19</f>
        <v>126000</v>
      </c>
      <c r="CF8" s="77">
        <f>CF7*1000*SUP_C4_RETAIL!$C$19</f>
        <v>126000</v>
      </c>
      <c r="CG8" s="77">
        <f>CG7*1000*SUP_C4_RETAIL!$C$19</f>
        <v>126000</v>
      </c>
      <c r="CH8" s="77">
        <f>CH7*1000*SUP_C4_RETAIL!$C$19</f>
        <v>126000</v>
      </c>
      <c r="CI8" s="77">
        <f>CI7*1000*SUP_C4_RETAIL!$C$19</f>
        <v>126000</v>
      </c>
      <c r="CJ8" s="77">
        <f>CJ7*1000*SUP_C4_RETAIL!$C$19</f>
        <v>126000</v>
      </c>
      <c r="CK8" s="77">
        <f>CK7*1000*SUP_C4_RETAIL!$C$19</f>
        <v>126000</v>
      </c>
      <c r="CL8" s="77">
        <f>CL7*1000*SUP_C4_RETAIL!$C$19</f>
        <v>126000</v>
      </c>
      <c r="CM8" s="77">
        <f>CM7*1000*SUP_C4_RETAIL!$C$19</f>
        <v>126000</v>
      </c>
      <c r="CN8" s="77">
        <f>CN7*1000*SUP_C4_RETAIL!$C$19</f>
        <v>126000</v>
      </c>
      <c r="CO8" s="77">
        <f>CO7*1000*SUP_C4_RETAIL!$C$19</f>
        <v>126000</v>
      </c>
      <c r="CP8" s="77">
        <f>CP7*1000*SUP_C4_RETAIL!$C$19</f>
        <v>126000</v>
      </c>
      <c r="CQ8" s="77">
        <f>CQ7*1000*SUP_C4_RETAIL!$C$19</f>
        <v>126000</v>
      </c>
      <c r="CR8" s="77">
        <f>CR7*1000*SUP_C4_RETAIL!$C$19</f>
        <v>126000</v>
      </c>
      <c r="CS8" s="77">
        <f>CS7*1000*SUP_C4_RETAIL!$C$19</f>
        <v>126000</v>
      </c>
      <c r="CT8" s="77">
        <f>CT7*1000*SUP_C4_RETAIL!$C$19</f>
        <v>126000</v>
      </c>
      <c r="CU8" s="77">
        <f>CU7*1000*SUP_C4_RETAIL!$C$19</f>
        <v>126000</v>
      </c>
      <c r="CV8" s="77">
        <f>CV7*1000*SUP_C4_RETAIL!$C$19</f>
        <v>126000</v>
      </c>
      <c r="CW8" s="77">
        <f>CW7*1000*SUP_C4_RETAIL!$C$19</f>
        <v>126000</v>
      </c>
      <c r="CX8" s="77">
        <f>CX7*1000*SUP_C4_RETAIL!$C$19</f>
        <v>126000</v>
      </c>
      <c r="CY8" s="77">
        <f>CY7*1000*SUP_C4_RETAIL!$C$19</f>
        <v>126000</v>
      </c>
      <c r="CZ8" s="77">
        <f>CZ7*1000*SUP_C4_RETAIL!$C$19</f>
        <v>126000</v>
      </c>
      <c r="DA8" s="77">
        <f>DA7*1000*SUP_C4_RETAIL!$C$19</f>
        <v>126000</v>
      </c>
      <c r="DB8" s="77">
        <f>DB7*1000*SUP_C4_RETAIL!$C$19</f>
        <v>126000</v>
      </c>
      <c r="DC8" s="77">
        <f>DC7*1000*SUP_C4_RETAIL!$C$19</f>
        <v>126000</v>
      </c>
      <c r="DD8" s="77">
        <f>DD7*1000*SUP_C4_RETAIL!$C$19</f>
        <v>126000</v>
      </c>
      <c r="DE8" s="77">
        <f>DE7*1000*SUP_C4_RETAIL!$C$19</f>
        <v>126000</v>
      </c>
      <c r="DF8" s="77">
        <f>DF7*1000*SUP_C4_RETAIL!$C$19</f>
        <v>126000</v>
      </c>
      <c r="DG8" s="77">
        <f>DG7*1000*SUP_C4_RETAIL!$C$19</f>
        <v>126000</v>
      </c>
      <c r="DH8" s="77">
        <f>DH7*1000*SUP_C4_RETAIL!$C$19</f>
        <v>126000</v>
      </c>
      <c r="DI8" s="77">
        <f>DI7*1000*SUP_C4_RETAIL!$C$19</f>
        <v>126000</v>
      </c>
      <c r="DJ8" s="77">
        <f>DJ7*1000*SUP_C4_RETAIL!$C$19</f>
        <v>126000</v>
      </c>
      <c r="DK8" s="77">
        <f>DK7*1000*SUP_C4_RETAIL!$C$19</f>
        <v>126000</v>
      </c>
      <c r="DL8" s="77">
        <f>DL7*1000*SUP_C4_RETAIL!$C$19</f>
        <v>126000</v>
      </c>
      <c r="DM8" s="77">
        <f>DM7*1000*SUP_C4_RETAIL!$C$19</f>
        <v>126000</v>
      </c>
      <c r="DN8" s="77">
        <f>DN7*1000*SUP_C4_RETAIL!$C$19</f>
        <v>126000</v>
      </c>
      <c r="DO8" s="77">
        <f>DO7*1000*SUP_C4_RETAIL!$C$19</f>
        <v>126000</v>
      </c>
      <c r="DP8" s="77">
        <f>DP7*1000*SUP_C4_RETAIL!$C$19</f>
        <v>126000</v>
      </c>
      <c r="DQ8" s="77">
        <f>DQ7*1000*SUP_C4_RETAIL!$C$19</f>
        <v>126000</v>
      </c>
      <c r="DR8" s="77">
        <f>DR7*1000*SUP_C4_RETAIL!$C$19</f>
        <v>126000</v>
      </c>
      <c r="DS8" s="77">
        <f>DS7*1000*SUP_C4_RETAIL!$C$19</f>
        <v>126000</v>
      </c>
    </row>
    <row r="9" spans="1:123" ht="15" customHeight="1" x14ac:dyDescent="0.2">
      <c r="B9" s="37" t="s">
        <v>1100</v>
      </c>
      <c r="D9" s="77">
        <f>D8*SUP_C4_RETAIL!$C$20</f>
        <v>0</v>
      </c>
      <c r="E9" s="77">
        <f>E8*SUP_C4_RETAIL!$C$20</f>
        <v>0</v>
      </c>
      <c r="F9" s="77">
        <f>F8*SUP_C4_RETAIL!$C$20</f>
        <v>0</v>
      </c>
      <c r="G9" s="77">
        <f>G8*SUP_C4_RETAIL!$C$20</f>
        <v>0</v>
      </c>
      <c r="H9" s="77">
        <f>H8*SUP_C4_RETAIL!$C$20</f>
        <v>0</v>
      </c>
      <c r="I9" s="77">
        <f>I8*SUP_C4_RETAIL!$C$20</f>
        <v>0</v>
      </c>
      <c r="J9" s="77">
        <f>J8*SUP_C4_RETAIL!$C$20</f>
        <v>0</v>
      </c>
      <c r="K9" s="77">
        <f>K8*SUP_C4_RETAIL!$C$20</f>
        <v>0</v>
      </c>
      <c r="L9" s="77">
        <f>L8*SUP_C4_RETAIL!$C$20</f>
        <v>0</v>
      </c>
      <c r="M9" s="77">
        <f>M8*SUP_C4_RETAIL!$C$20</f>
        <v>0</v>
      </c>
      <c r="N9" s="77">
        <f>N8*SUP_C4_RETAIL!$C$20</f>
        <v>0</v>
      </c>
      <c r="O9" s="77">
        <f>O8*SUP_C4_RETAIL!$C$20</f>
        <v>0</v>
      </c>
      <c r="P9" s="77">
        <f>P8*SUP_C4_RETAIL!$C$20</f>
        <v>0</v>
      </c>
      <c r="Q9" s="77">
        <f>Q8*SUP_C4_RETAIL!$C$20</f>
        <v>0</v>
      </c>
      <c r="R9" s="77">
        <f>R8*SUP_C4_RETAIL!$C$20</f>
        <v>0</v>
      </c>
      <c r="S9" s="77">
        <f>S8*SUP_C4_RETAIL!$C$20</f>
        <v>0</v>
      </c>
      <c r="T9" s="77">
        <f>T8*SUP_C4_RETAIL!$C$20</f>
        <v>0</v>
      </c>
      <c r="U9" s="77">
        <f>U8*SUP_C4_RETAIL!$C$20</f>
        <v>0</v>
      </c>
      <c r="V9" s="77">
        <f>V8*SUP_C4_RETAIL!$C$20</f>
        <v>0</v>
      </c>
      <c r="W9" s="77">
        <f>W8*SUP_C4_RETAIL!$C$20</f>
        <v>0</v>
      </c>
      <c r="X9" s="77">
        <f>X8*SUP_C4_RETAIL!$C$20</f>
        <v>0</v>
      </c>
      <c r="Y9" s="77">
        <f>Y8*SUP_C4_RETAIL!$C$20</f>
        <v>0</v>
      </c>
      <c r="Z9" s="77">
        <f>Z8*SUP_C4_RETAIL!$C$20</f>
        <v>0</v>
      </c>
      <c r="AA9" s="77">
        <f>AA8*SUP_C4_RETAIL!$C$20</f>
        <v>0</v>
      </c>
      <c r="AB9" s="77">
        <f>AB8*SUP_C4_RETAIL!$C$20</f>
        <v>13650</v>
      </c>
      <c r="AC9" s="77">
        <f>AC8*SUP_C4_RETAIL!$C$20</f>
        <v>15015</v>
      </c>
      <c r="AD9" s="77">
        <f>AD8*SUP_C4_RETAIL!$C$20</f>
        <v>16380</v>
      </c>
      <c r="AE9" s="77">
        <f>AE8*SUP_C4_RETAIL!$C$20</f>
        <v>17745</v>
      </c>
      <c r="AF9" s="77">
        <f>AF8*SUP_C4_RETAIL!$C$20</f>
        <v>19110</v>
      </c>
      <c r="AG9" s="77">
        <f>AG8*SUP_C4_RETAIL!$C$20</f>
        <v>20475</v>
      </c>
      <c r="AH9" s="77">
        <f>AH8*SUP_C4_RETAIL!$C$20</f>
        <v>21840</v>
      </c>
      <c r="AI9" s="77">
        <f>AI8*SUP_C4_RETAIL!$C$20</f>
        <v>23205</v>
      </c>
      <c r="AJ9" s="77">
        <f>AJ8*SUP_C4_RETAIL!$C$20</f>
        <v>24570</v>
      </c>
      <c r="AK9" s="77">
        <f>AK8*SUP_C4_RETAIL!$C$20</f>
        <v>25935</v>
      </c>
      <c r="AL9" s="77">
        <f>AL8*SUP_C4_RETAIL!$C$20</f>
        <v>27300</v>
      </c>
      <c r="AM9" s="77">
        <f>AM8*SUP_C4_RETAIL!$C$20</f>
        <v>28665</v>
      </c>
      <c r="AN9" s="77">
        <f>AN8*SUP_C4_RETAIL!$C$20</f>
        <v>30030</v>
      </c>
      <c r="AO9" s="77">
        <f>AO8*SUP_C4_RETAIL!$C$20</f>
        <v>31395</v>
      </c>
      <c r="AP9" s="77">
        <f>AP8*SUP_C4_RETAIL!$C$20</f>
        <v>32760</v>
      </c>
      <c r="AQ9" s="77">
        <f>AQ8*SUP_C4_RETAIL!$C$20</f>
        <v>34125</v>
      </c>
      <c r="AR9" s="77">
        <f>AR8*SUP_C4_RETAIL!$C$20</f>
        <v>35490</v>
      </c>
      <c r="AS9" s="77">
        <f>AS8*SUP_C4_RETAIL!$C$20</f>
        <v>36855</v>
      </c>
      <c r="AT9" s="77">
        <f>AT8*SUP_C4_RETAIL!$C$20</f>
        <v>38220</v>
      </c>
      <c r="AU9" s="77">
        <f>AU8*SUP_C4_RETAIL!$C$20</f>
        <v>39585</v>
      </c>
      <c r="AV9" s="77">
        <f>AV8*SUP_C4_RETAIL!$C$20</f>
        <v>40950</v>
      </c>
      <c r="AW9" s="77">
        <f>AW8*SUP_C4_RETAIL!$C$20</f>
        <v>42315</v>
      </c>
      <c r="AX9" s="77">
        <f>AX8*SUP_C4_RETAIL!$C$20</f>
        <v>43680</v>
      </c>
      <c r="AY9" s="77">
        <f>AY8*SUP_C4_RETAIL!$C$20</f>
        <v>45045</v>
      </c>
      <c r="AZ9" s="77">
        <f>AZ8*SUP_C4_RETAIL!$C$20</f>
        <v>46410</v>
      </c>
      <c r="BA9" s="77">
        <f>BA8*SUP_C4_RETAIL!$C$20</f>
        <v>47775</v>
      </c>
      <c r="BB9" s="77">
        <f>BB8*SUP_C4_RETAIL!$C$20</f>
        <v>49140</v>
      </c>
      <c r="BC9" s="77">
        <f>BC8*SUP_C4_RETAIL!$C$20</f>
        <v>50505</v>
      </c>
      <c r="BD9" s="77">
        <f>BD8*SUP_C4_RETAIL!$C$20</f>
        <v>51870</v>
      </c>
      <c r="BE9" s="77">
        <f>BE8*SUP_C4_RETAIL!$C$20</f>
        <v>53235</v>
      </c>
      <c r="BF9" s="77">
        <f>BF8*SUP_C4_RETAIL!$C$20</f>
        <v>54600</v>
      </c>
      <c r="BG9" s="77">
        <f>BG8*SUP_C4_RETAIL!$C$20</f>
        <v>55965</v>
      </c>
      <c r="BH9" s="77">
        <f>BH8*SUP_C4_RETAIL!$C$20</f>
        <v>57330</v>
      </c>
      <c r="BI9" s="77">
        <f>BI8*SUP_C4_RETAIL!$C$20</f>
        <v>58695</v>
      </c>
      <c r="BJ9" s="77">
        <f>BJ8*SUP_C4_RETAIL!$C$20</f>
        <v>60060</v>
      </c>
      <c r="BK9" s="77">
        <f>BK8*SUP_C4_RETAIL!$C$20</f>
        <v>61425</v>
      </c>
      <c r="BL9" s="77">
        <f>BL8*SUP_C4_RETAIL!$C$20</f>
        <v>62790</v>
      </c>
      <c r="BM9" s="77">
        <f>BM8*SUP_C4_RETAIL!$C$20</f>
        <v>64155</v>
      </c>
      <c r="BN9" s="77">
        <f>BN8*SUP_C4_RETAIL!$C$20</f>
        <v>65520</v>
      </c>
      <c r="BO9" s="77">
        <f>BO8*SUP_C4_RETAIL!$C$20</f>
        <v>66885</v>
      </c>
      <c r="BP9" s="77">
        <f>BP8*SUP_C4_RETAIL!$C$20</f>
        <v>68250</v>
      </c>
      <c r="BQ9" s="77">
        <f>BQ8*SUP_C4_RETAIL!$C$20</f>
        <v>69615</v>
      </c>
      <c r="BR9" s="77">
        <f>BR8*SUP_C4_RETAIL!$C$20</f>
        <v>70980</v>
      </c>
      <c r="BS9" s="77">
        <f>BS8*SUP_C4_RETAIL!$C$20</f>
        <v>72345</v>
      </c>
      <c r="BT9" s="77">
        <f>BT8*SUP_C4_RETAIL!$C$20</f>
        <v>73710</v>
      </c>
      <c r="BU9" s="77">
        <f>BU8*SUP_C4_RETAIL!$C$20</f>
        <v>75075</v>
      </c>
      <c r="BV9" s="77">
        <f>BV8*SUP_C4_RETAIL!$C$20</f>
        <v>76440</v>
      </c>
      <c r="BW9" s="77">
        <f>BW8*SUP_C4_RETAIL!$C$20</f>
        <v>77805</v>
      </c>
      <c r="BX9" s="77">
        <f>BX8*SUP_C4_RETAIL!$C$20</f>
        <v>79170</v>
      </c>
      <c r="BY9" s="77">
        <f>BY8*SUP_C4_RETAIL!$C$20</f>
        <v>80535</v>
      </c>
      <c r="BZ9" s="77">
        <f>BZ8*SUP_C4_RETAIL!$C$20</f>
        <v>81900</v>
      </c>
      <c r="CA9" s="77">
        <f>CA8*SUP_C4_RETAIL!$C$20</f>
        <v>81900</v>
      </c>
      <c r="CB9" s="77">
        <f>CB8*SUP_C4_RETAIL!$C$20</f>
        <v>81900</v>
      </c>
      <c r="CC9" s="77">
        <f>CC8*SUP_C4_RETAIL!$C$20</f>
        <v>81900</v>
      </c>
      <c r="CD9" s="77">
        <f>CD8*SUP_C4_RETAIL!$C$20</f>
        <v>81900</v>
      </c>
      <c r="CE9" s="77">
        <f>CE8*SUP_C4_RETAIL!$C$20</f>
        <v>81900</v>
      </c>
      <c r="CF9" s="77">
        <f>CF8*SUP_C4_RETAIL!$C$20</f>
        <v>81900</v>
      </c>
      <c r="CG9" s="77">
        <f>CG8*SUP_C4_RETAIL!$C$20</f>
        <v>81900</v>
      </c>
      <c r="CH9" s="77">
        <f>CH8*SUP_C4_RETAIL!$C$20</f>
        <v>81900</v>
      </c>
      <c r="CI9" s="77">
        <f>CI8*SUP_C4_RETAIL!$C$20</f>
        <v>81900</v>
      </c>
      <c r="CJ9" s="77">
        <f>CJ8*SUP_C4_RETAIL!$C$20</f>
        <v>81900</v>
      </c>
      <c r="CK9" s="77">
        <f>CK8*SUP_C4_RETAIL!$C$20</f>
        <v>81900</v>
      </c>
      <c r="CL9" s="77">
        <f>CL8*SUP_C4_RETAIL!$C$20</f>
        <v>81900</v>
      </c>
      <c r="CM9" s="77">
        <f>CM8*SUP_C4_RETAIL!$C$20</f>
        <v>81900</v>
      </c>
      <c r="CN9" s="77">
        <f>CN8*SUP_C4_RETAIL!$C$20</f>
        <v>81900</v>
      </c>
      <c r="CO9" s="77">
        <f>CO8*SUP_C4_RETAIL!$C$20</f>
        <v>81900</v>
      </c>
      <c r="CP9" s="77">
        <f>CP8*SUP_C4_RETAIL!$C$20</f>
        <v>81900</v>
      </c>
      <c r="CQ9" s="77">
        <f>CQ8*SUP_C4_RETAIL!$C$20</f>
        <v>81900</v>
      </c>
      <c r="CR9" s="77">
        <f>CR8*SUP_C4_RETAIL!$C$20</f>
        <v>81900</v>
      </c>
      <c r="CS9" s="77">
        <f>CS8*SUP_C4_RETAIL!$C$20</f>
        <v>81900</v>
      </c>
      <c r="CT9" s="77">
        <f>CT8*SUP_C4_RETAIL!$C$20</f>
        <v>81900</v>
      </c>
      <c r="CU9" s="77">
        <f>CU8*SUP_C4_RETAIL!$C$20</f>
        <v>81900</v>
      </c>
      <c r="CV9" s="77">
        <f>CV8*SUP_C4_RETAIL!$C$20</f>
        <v>81900</v>
      </c>
      <c r="CW9" s="77">
        <f>CW8*SUP_C4_RETAIL!$C$20</f>
        <v>81900</v>
      </c>
      <c r="CX9" s="77">
        <f>CX8*SUP_C4_RETAIL!$C$20</f>
        <v>81900</v>
      </c>
      <c r="CY9" s="77">
        <f>CY8*SUP_C4_RETAIL!$C$20</f>
        <v>81900</v>
      </c>
      <c r="CZ9" s="77">
        <f>CZ8*SUP_C4_RETAIL!$C$20</f>
        <v>81900</v>
      </c>
      <c r="DA9" s="77">
        <f>DA8*SUP_C4_RETAIL!$C$20</f>
        <v>81900</v>
      </c>
      <c r="DB9" s="77">
        <f>DB8*SUP_C4_RETAIL!$C$20</f>
        <v>81900</v>
      </c>
      <c r="DC9" s="77">
        <f>DC8*SUP_C4_RETAIL!$C$20</f>
        <v>81900</v>
      </c>
      <c r="DD9" s="77">
        <f>DD8*SUP_C4_RETAIL!$C$20</f>
        <v>81900</v>
      </c>
      <c r="DE9" s="77">
        <f>DE8*SUP_C4_RETAIL!$C$20</f>
        <v>81900</v>
      </c>
      <c r="DF9" s="77">
        <f>DF8*SUP_C4_RETAIL!$C$20</f>
        <v>81900</v>
      </c>
      <c r="DG9" s="77">
        <f>DG8*SUP_C4_RETAIL!$C$20</f>
        <v>81900</v>
      </c>
      <c r="DH9" s="77">
        <f>DH8*SUP_C4_RETAIL!$C$20</f>
        <v>81900</v>
      </c>
      <c r="DI9" s="77">
        <f>DI8*SUP_C4_RETAIL!$C$20</f>
        <v>81900</v>
      </c>
      <c r="DJ9" s="77">
        <f>DJ8*SUP_C4_RETAIL!$C$20</f>
        <v>81900</v>
      </c>
      <c r="DK9" s="77">
        <f>DK8*SUP_C4_RETAIL!$C$20</f>
        <v>81900</v>
      </c>
      <c r="DL9" s="77">
        <f>DL8*SUP_C4_RETAIL!$C$20</f>
        <v>81900</v>
      </c>
      <c r="DM9" s="77">
        <f>DM8*SUP_C4_RETAIL!$C$20</f>
        <v>81900</v>
      </c>
      <c r="DN9" s="77">
        <f>DN8*SUP_C4_RETAIL!$C$20</f>
        <v>81900</v>
      </c>
      <c r="DO9" s="77">
        <f>DO8*SUP_C4_RETAIL!$C$20</f>
        <v>81900</v>
      </c>
      <c r="DP9" s="77">
        <f>DP8*SUP_C4_RETAIL!$C$20</f>
        <v>81900</v>
      </c>
      <c r="DQ9" s="77">
        <f>DQ8*SUP_C4_RETAIL!$C$20</f>
        <v>81900</v>
      </c>
      <c r="DR9" s="77">
        <f>DR8*SUP_C4_RETAIL!$C$20</f>
        <v>81900</v>
      </c>
      <c r="DS9" s="77">
        <f>DS8*SUP_C4_RETAIL!$C$20</f>
        <v>81900</v>
      </c>
    </row>
    <row r="10" spans="1:123" ht="15" customHeight="1" x14ac:dyDescent="0.2">
      <c r="B10" s="37" t="s">
        <v>1101</v>
      </c>
      <c r="D10" s="77">
        <f>D8*SUP_C4_RETAIL!$C$21</f>
        <v>0</v>
      </c>
      <c r="E10" s="77">
        <f>E8*SUP_C4_RETAIL!$C$21</f>
        <v>0</v>
      </c>
      <c r="F10" s="77">
        <f>F8*SUP_C4_RETAIL!$C$21</f>
        <v>0</v>
      </c>
      <c r="G10" s="77">
        <f>G8*SUP_C4_RETAIL!$C$21</f>
        <v>0</v>
      </c>
      <c r="H10" s="77">
        <f>H8*SUP_C4_RETAIL!$C$21</f>
        <v>0</v>
      </c>
      <c r="I10" s="77">
        <f>I8*SUP_C4_RETAIL!$C$21</f>
        <v>0</v>
      </c>
      <c r="J10" s="77">
        <f>J8*SUP_C4_RETAIL!$C$21</f>
        <v>0</v>
      </c>
      <c r="K10" s="77">
        <f>K8*SUP_C4_RETAIL!$C$21</f>
        <v>0</v>
      </c>
      <c r="L10" s="77">
        <f>L8*SUP_C4_RETAIL!$C$21</f>
        <v>0</v>
      </c>
      <c r="M10" s="77">
        <f>M8*SUP_C4_RETAIL!$C$21</f>
        <v>0</v>
      </c>
      <c r="N10" s="77">
        <f>N8*SUP_C4_RETAIL!$C$21</f>
        <v>0</v>
      </c>
      <c r="O10" s="77">
        <f>O8*SUP_C4_RETAIL!$C$21</f>
        <v>0</v>
      </c>
      <c r="P10" s="77">
        <f>P8*SUP_C4_RETAIL!$C$21</f>
        <v>0</v>
      </c>
      <c r="Q10" s="77">
        <f>Q8*SUP_C4_RETAIL!$C$21</f>
        <v>0</v>
      </c>
      <c r="R10" s="77">
        <f>R8*SUP_C4_RETAIL!$C$21</f>
        <v>0</v>
      </c>
      <c r="S10" s="77">
        <f>S8*SUP_C4_RETAIL!$C$21</f>
        <v>0</v>
      </c>
      <c r="T10" s="77">
        <f>T8*SUP_C4_RETAIL!$C$21</f>
        <v>0</v>
      </c>
      <c r="U10" s="77">
        <f>U8*SUP_C4_RETAIL!$C$21</f>
        <v>0</v>
      </c>
      <c r="V10" s="77">
        <f>V8*SUP_C4_RETAIL!$C$21</f>
        <v>0</v>
      </c>
      <c r="W10" s="77">
        <f>W8*SUP_C4_RETAIL!$C$21</f>
        <v>0</v>
      </c>
      <c r="X10" s="77">
        <f>X8*SUP_C4_RETAIL!$C$21</f>
        <v>0</v>
      </c>
      <c r="Y10" s="77">
        <f>Y8*SUP_C4_RETAIL!$C$21</f>
        <v>0</v>
      </c>
      <c r="Z10" s="77">
        <f>Z8*SUP_C4_RETAIL!$C$21</f>
        <v>0</v>
      </c>
      <c r="AA10" s="77">
        <f>AA8*SUP_C4_RETAIL!$C$21</f>
        <v>0</v>
      </c>
      <c r="AB10" s="77">
        <f>AB8*SUP_C4_RETAIL!$C$21</f>
        <v>2520</v>
      </c>
      <c r="AC10" s="77">
        <f>AC8*SUP_C4_RETAIL!$C$21</f>
        <v>2772</v>
      </c>
      <c r="AD10" s="77">
        <f>AD8*SUP_C4_RETAIL!$C$21</f>
        <v>3024</v>
      </c>
      <c r="AE10" s="77">
        <f>AE8*SUP_C4_RETAIL!$C$21</f>
        <v>3276</v>
      </c>
      <c r="AF10" s="77">
        <f>AF8*SUP_C4_RETAIL!$C$21</f>
        <v>3528</v>
      </c>
      <c r="AG10" s="77">
        <f>AG8*SUP_C4_RETAIL!$C$21</f>
        <v>3780</v>
      </c>
      <c r="AH10" s="77">
        <f>AH8*SUP_C4_RETAIL!$C$21</f>
        <v>4032</v>
      </c>
      <c r="AI10" s="77">
        <f>AI8*SUP_C4_RETAIL!$C$21</f>
        <v>4284</v>
      </c>
      <c r="AJ10" s="77">
        <f>AJ8*SUP_C4_RETAIL!$C$21</f>
        <v>4536</v>
      </c>
      <c r="AK10" s="77">
        <f>AK8*SUP_C4_RETAIL!$C$21</f>
        <v>4788</v>
      </c>
      <c r="AL10" s="77">
        <f>AL8*SUP_C4_RETAIL!$C$21</f>
        <v>5040</v>
      </c>
      <c r="AM10" s="77">
        <f>AM8*SUP_C4_RETAIL!$C$21</f>
        <v>5292</v>
      </c>
      <c r="AN10" s="77">
        <f>AN8*SUP_C4_RETAIL!$C$21</f>
        <v>5544</v>
      </c>
      <c r="AO10" s="77">
        <f>AO8*SUP_C4_RETAIL!$C$21</f>
        <v>5796</v>
      </c>
      <c r="AP10" s="77">
        <f>AP8*SUP_C4_RETAIL!$C$21</f>
        <v>6048</v>
      </c>
      <c r="AQ10" s="77">
        <f>AQ8*SUP_C4_RETAIL!$C$21</f>
        <v>6300</v>
      </c>
      <c r="AR10" s="77">
        <f>AR8*SUP_C4_RETAIL!$C$21</f>
        <v>6552</v>
      </c>
      <c r="AS10" s="77">
        <f>AS8*SUP_C4_RETAIL!$C$21</f>
        <v>6804</v>
      </c>
      <c r="AT10" s="77">
        <f>AT8*SUP_C4_RETAIL!$C$21</f>
        <v>7056</v>
      </c>
      <c r="AU10" s="77">
        <f>AU8*SUP_C4_RETAIL!$C$21</f>
        <v>7308</v>
      </c>
      <c r="AV10" s="77">
        <f>AV8*SUP_C4_RETAIL!$C$21</f>
        <v>7560</v>
      </c>
      <c r="AW10" s="77">
        <f>AW8*SUP_C4_RETAIL!$C$21</f>
        <v>7812</v>
      </c>
      <c r="AX10" s="77">
        <f>AX8*SUP_C4_RETAIL!$C$21</f>
        <v>8064</v>
      </c>
      <c r="AY10" s="77">
        <f>AY8*SUP_C4_RETAIL!$C$21</f>
        <v>8316</v>
      </c>
      <c r="AZ10" s="77">
        <f>AZ8*SUP_C4_RETAIL!$C$21</f>
        <v>8568</v>
      </c>
      <c r="BA10" s="77">
        <f>BA8*SUP_C4_RETAIL!$C$21</f>
        <v>8820</v>
      </c>
      <c r="BB10" s="77">
        <f>BB8*SUP_C4_RETAIL!$C$21</f>
        <v>9072</v>
      </c>
      <c r="BC10" s="77">
        <f>BC8*SUP_C4_RETAIL!$C$21</f>
        <v>9324</v>
      </c>
      <c r="BD10" s="77">
        <f>BD8*SUP_C4_RETAIL!$C$21</f>
        <v>9576</v>
      </c>
      <c r="BE10" s="77">
        <f>BE8*SUP_C4_RETAIL!$C$21</f>
        <v>9828</v>
      </c>
      <c r="BF10" s="77">
        <f>BF8*SUP_C4_RETAIL!$C$21</f>
        <v>10080</v>
      </c>
      <c r="BG10" s="77">
        <f>BG8*SUP_C4_RETAIL!$C$21</f>
        <v>10332</v>
      </c>
      <c r="BH10" s="77">
        <f>BH8*SUP_C4_RETAIL!$C$21</f>
        <v>10584</v>
      </c>
      <c r="BI10" s="77">
        <f>BI8*SUP_C4_RETAIL!$C$21</f>
        <v>10836</v>
      </c>
      <c r="BJ10" s="77">
        <f>BJ8*SUP_C4_RETAIL!$C$21</f>
        <v>11088</v>
      </c>
      <c r="BK10" s="77">
        <f>BK8*SUP_C4_RETAIL!$C$21</f>
        <v>11340</v>
      </c>
      <c r="BL10" s="77">
        <f>BL8*SUP_C4_RETAIL!$C$21</f>
        <v>11592</v>
      </c>
      <c r="BM10" s="77">
        <f>BM8*SUP_C4_RETAIL!$C$21</f>
        <v>11844</v>
      </c>
      <c r="BN10" s="77">
        <f>BN8*SUP_C4_RETAIL!$C$21</f>
        <v>12096</v>
      </c>
      <c r="BO10" s="77">
        <f>BO8*SUP_C4_RETAIL!$C$21</f>
        <v>12348</v>
      </c>
      <c r="BP10" s="77">
        <f>BP8*SUP_C4_RETAIL!$C$21</f>
        <v>12600</v>
      </c>
      <c r="BQ10" s="77">
        <f>BQ8*SUP_C4_RETAIL!$C$21</f>
        <v>12852</v>
      </c>
      <c r="BR10" s="77">
        <f>BR8*SUP_C4_RETAIL!$C$21</f>
        <v>13104</v>
      </c>
      <c r="BS10" s="77">
        <f>BS8*SUP_C4_RETAIL!$C$21</f>
        <v>13356</v>
      </c>
      <c r="BT10" s="77">
        <f>BT8*SUP_C4_RETAIL!$C$21</f>
        <v>13608</v>
      </c>
      <c r="BU10" s="77">
        <f>BU8*SUP_C4_RETAIL!$C$21</f>
        <v>13860</v>
      </c>
      <c r="BV10" s="77">
        <f>BV8*SUP_C4_RETAIL!$C$21</f>
        <v>14112</v>
      </c>
      <c r="BW10" s="77">
        <f>BW8*SUP_C4_RETAIL!$C$21</f>
        <v>14364</v>
      </c>
      <c r="BX10" s="77">
        <f>BX8*SUP_C4_RETAIL!$C$21</f>
        <v>14616</v>
      </c>
      <c r="BY10" s="77">
        <f>BY8*SUP_C4_RETAIL!$C$21</f>
        <v>14868</v>
      </c>
      <c r="BZ10" s="77">
        <f>BZ8*SUP_C4_RETAIL!$C$21</f>
        <v>15120</v>
      </c>
      <c r="CA10" s="77">
        <f>CA8*SUP_C4_RETAIL!$C$21</f>
        <v>15120</v>
      </c>
      <c r="CB10" s="77">
        <f>CB8*SUP_C4_RETAIL!$C$21</f>
        <v>15120</v>
      </c>
      <c r="CC10" s="77">
        <f>CC8*SUP_C4_RETAIL!$C$21</f>
        <v>15120</v>
      </c>
      <c r="CD10" s="77">
        <f>CD8*SUP_C4_RETAIL!$C$21</f>
        <v>15120</v>
      </c>
      <c r="CE10" s="77">
        <f>CE8*SUP_C4_RETAIL!$C$21</f>
        <v>15120</v>
      </c>
      <c r="CF10" s="77">
        <f>CF8*SUP_C4_RETAIL!$C$21</f>
        <v>15120</v>
      </c>
      <c r="CG10" s="77">
        <f>CG8*SUP_C4_RETAIL!$C$21</f>
        <v>15120</v>
      </c>
      <c r="CH10" s="77">
        <f>CH8*SUP_C4_RETAIL!$C$21</f>
        <v>15120</v>
      </c>
      <c r="CI10" s="77">
        <f>CI8*SUP_C4_RETAIL!$C$21</f>
        <v>15120</v>
      </c>
      <c r="CJ10" s="77">
        <f>CJ8*SUP_C4_RETAIL!$C$21</f>
        <v>15120</v>
      </c>
      <c r="CK10" s="77">
        <f>CK8*SUP_C4_RETAIL!$C$21</f>
        <v>15120</v>
      </c>
      <c r="CL10" s="77">
        <f>CL8*SUP_C4_RETAIL!$C$21</f>
        <v>15120</v>
      </c>
      <c r="CM10" s="77">
        <f>CM8*SUP_C4_RETAIL!$C$21</f>
        <v>15120</v>
      </c>
      <c r="CN10" s="77">
        <f>CN8*SUP_C4_RETAIL!$C$21</f>
        <v>15120</v>
      </c>
      <c r="CO10" s="77">
        <f>CO8*SUP_C4_RETAIL!$C$21</f>
        <v>15120</v>
      </c>
      <c r="CP10" s="77">
        <f>CP8*SUP_C4_RETAIL!$C$21</f>
        <v>15120</v>
      </c>
      <c r="CQ10" s="77">
        <f>CQ8*SUP_C4_RETAIL!$C$21</f>
        <v>15120</v>
      </c>
      <c r="CR10" s="77">
        <f>CR8*SUP_C4_RETAIL!$C$21</f>
        <v>15120</v>
      </c>
      <c r="CS10" s="77">
        <f>CS8*SUP_C4_RETAIL!$C$21</f>
        <v>15120</v>
      </c>
      <c r="CT10" s="77">
        <f>CT8*SUP_C4_RETAIL!$C$21</f>
        <v>15120</v>
      </c>
      <c r="CU10" s="77">
        <f>CU8*SUP_C4_RETAIL!$C$21</f>
        <v>15120</v>
      </c>
      <c r="CV10" s="77">
        <f>CV8*SUP_C4_RETAIL!$C$21</f>
        <v>15120</v>
      </c>
      <c r="CW10" s="77">
        <f>CW8*SUP_C4_RETAIL!$C$21</f>
        <v>15120</v>
      </c>
      <c r="CX10" s="77">
        <f>CX8*SUP_C4_RETAIL!$C$21</f>
        <v>15120</v>
      </c>
      <c r="CY10" s="77">
        <f>CY8*SUP_C4_RETAIL!$C$21</f>
        <v>15120</v>
      </c>
      <c r="CZ10" s="77">
        <f>CZ8*SUP_C4_RETAIL!$C$21</f>
        <v>15120</v>
      </c>
      <c r="DA10" s="77">
        <f>DA8*SUP_C4_RETAIL!$C$21</f>
        <v>15120</v>
      </c>
      <c r="DB10" s="77">
        <f>DB8*SUP_C4_RETAIL!$C$21</f>
        <v>15120</v>
      </c>
      <c r="DC10" s="77">
        <f>DC8*SUP_C4_RETAIL!$C$21</f>
        <v>15120</v>
      </c>
      <c r="DD10" s="77">
        <f>DD8*SUP_C4_RETAIL!$C$21</f>
        <v>15120</v>
      </c>
      <c r="DE10" s="77">
        <f>DE8*SUP_C4_RETAIL!$C$21</f>
        <v>15120</v>
      </c>
      <c r="DF10" s="77">
        <f>DF8*SUP_C4_RETAIL!$C$21</f>
        <v>15120</v>
      </c>
      <c r="DG10" s="77">
        <f>DG8*SUP_C4_RETAIL!$C$21</f>
        <v>15120</v>
      </c>
      <c r="DH10" s="77">
        <f>DH8*SUP_C4_RETAIL!$C$21</f>
        <v>15120</v>
      </c>
      <c r="DI10" s="77">
        <f>DI8*SUP_C4_RETAIL!$C$21</f>
        <v>15120</v>
      </c>
      <c r="DJ10" s="77">
        <f>DJ8*SUP_C4_RETAIL!$C$21</f>
        <v>15120</v>
      </c>
      <c r="DK10" s="77">
        <f>DK8*SUP_C4_RETAIL!$C$21</f>
        <v>15120</v>
      </c>
      <c r="DL10" s="77">
        <f>DL8*SUP_C4_RETAIL!$C$21</f>
        <v>15120</v>
      </c>
      <c r="DM10" s="77">
        <f>DM8*SUP_C4_RETAIL!$C$21</f>
        <v>15120</v>
      </c>
      <c r="DN10" s="77">
        <f>DN8*SUP_C4_RETAIL!$C$21</f>
        <v>15120</v>
      </c>
      <c r="DO10" s="77">
        <f>DO8*SUP_C4_RETAIL!$C$21</f>
        <v>15120</v>
      </c>
      <c r="DP10" s="77">
        <f>DP8*SUP_C4_RETAIL!$C$21</f>
        <v>15120</v>
      </c>
      <c r="DQ10" s="77">
        <f>DQ8*SUP_C4_RETAIL!$C$21</f>
        <v>15120</v>
      </c>
      <c r="DR10" s="77">
        <f>DR8*SUP_C4_RETAIL!$C$21</f>
        <v>15120</v>
      </c>
      <c r="DS10" s="77">
        <f>DS8*SUP_C4_RETAIL!$C$21</f>
        <v>15120</v>
      </c>
    </row>
    <row r="11" spans="1:123" ht="15" customHeight="1" x14ac:dyDescent="0.2">
      <c r="B11" s="37" t="s">
        <v>1102</v>
      </c>
      <c r="D11" s="77">
        <f>D6*SUP_C4_RETAIL!$C$22</f>
        <v>0</v>
      </c>
      <c r="E11" s="77">
        <f>E6*SUP_C4_RETAIL!$C$22</f>
        <v>0</v>
      </c>
      <c r="F11" s="77">
        <f>F6*SUP_C4_RETAIL!$C$22</f>
        <v>0</v>
      </c>
      <c r="G11" s="77">
        <f>G6*SUP_C4_RETAIL!$C$22</f>
        <v>0</v>
      </c>
      <c r="H11" s="77">
        <f>H6*SUP_C4_RETAIL!$C$22</f>
        <v>0</v>
      </c>
      <c r="I11" s="77">
        <f>I6*SUP_C4_RETAIL!$C$22</f>
        <v>0</v>
      </c>
      <c r="J11" s="77">
        <f>J6*SUP_C4_RETAIL!$C$22</f>
        <v>0</v>
      </c>
      <c r="K11" s="77">
        <f>K6*SUP_C4_RETAIL!$C$22</f>
        <v>0</v>
      </c>
      <c r="L11" s="77">
        <f>L6*SUP_C4_RETAIL!$C$22</f>
        <v>0</v>
      </c>
      <c r="M11" s="77">
        <f>M6*SUP_C4_RETAIL!$C$22</f>
        <v>0</v>
      </c>
      <c r="N11" s="77">
        <f>N6*SUP_C4_RETAIL!$C$22</f>
        <v>0</v>
      </c>
      <c r="O11" s="77">
        <f>O6*SUP_C4_RETAIL!$C$22</f>
        <v>0</v>
      </c>
      <c r="P11" s="77">
        <f>P6*SUP_C4_RETAIL!$C$22</f>
        <v>0</v>
      </c>
      <c r="Q11" s="77">
        <f>Q6*SUP_C4_RETAIL!$C$22</f>
        <v>0</v>
      </c>
      <c r="R11" s="77">
        <f>R6*SUP_C4_RETAIL!$C$22</f>
        <v>0</v>
      </c>
      <c r="S11" s="77">
        <f>S6*SUP_C4_RETAIL!$C$22</f>
        <v>0</v>
      </c>
      <c r="T11" s="77">
        <f>T6*SUP_C4_RETAIL!$C$22</f>
        <v>0</v>
      </c>
      <c r="U11" s="77">
        <f>U6*SUP_C4_RETAIL!$C$22</f>
        <v>0</v>
      </c>
      <c r="V11" s="77">
        <f>V6*SUP_C4_RETAIL!$C$22</f>
        <v>0</v>
      </c>
      <c r="W11" s="77">
        <f>W6*SUP_C4_RETAIL!$C$22</f>
        <v>0</v>
      </c>
      <c r="X11" s="77">
        <f>X6*SUP_C4_RETAIL!$C$22</f>
        <v>0</v>
      </c>
      <c r="Y11" s="77">
        <f>Y6*SUP_C4_RETAIL!$C$22</f>
        <v>0</v>
      </c>
      <c r="Z11" s="77">
        <f>Z6*SUP_C4_RETAIL!$C$22</f>
        <v>0</v>
      </c>
      <c r="AA11" s="77">
        <f>AA6*SUP_C4_RETAIL!$C$22</f>
        <v>0</v>
      </c>
      <c r="AB11" s="77">
        <f>AB6*SUP_C4_RETAIL!$C$22</f>
        <v>3000</v>
      </c>
      <c r="AC11" s="77">
        <f>AC6*SUP_C4_RETAIL!$C$22</f>
        <v>3000</v>
      </c>
      <c r="AD11" s="77">
        <f>AD6*SUP_C4_RETAIL!$C$22</f>
        <v>3000</v>
      </c>
      <c r="AE11" s="77">
        <f>AE6*SUP_C4_RETAIL!$C$22</f>
        <v>3000</v>
      </c>
      <c r="AF11" s="77">
        <f>AF6*SUP_C4_RETAIL!$C$22</f>
        <v>3000</v>
      </c>
      <c r="AG11" s="77">
        <f>AG6*SUP_C4_RETAIL!$C$22</f>
        <v>3000</v>
      </c>
      <c r="AH11" s="77">
        <f>AH6*SUP_C4_RETAIL!$C$22</f>
        <v>3000</v>
      </c>
      <c r="AI11" s="77">
        <f>AI6*SUP_C4_RETAIL!$C$22</f>
        <v>3000</v>
      </c>
      <c r="AJ11" s="77">
        <f>AJ6*SUP_C4_RETAIL!$C$22</f>
        <v>3000</v>
      </c>
      <c r="AK11" s="77">
        <f>AK6*SUP_C4_RETAIL!$C$22</f>
        <v>3000</v>
      </c>
      <c r="AL11" s="77">
        <f>AL6*SUP_C4_RETAIL!$C$22</f>
        <v>3000</v>
      </c>
      <c r="AM11" s="77">
        <f>AM6*SUP_C4_RETAIL!$C$22</f>
        <v>3000</v>
      </c>
      <c r="AN11" s="77">
        <f>AN6*SUP_C4_RETAIL!$C$22</f>
        <v>3000</v>
      </c>
      <c r="AO11" s="77">
        <f>AO6*SUP_C4_RETAIL!$C$22</f>
        <v>3000</v>
      </c>
      <c r="AP11" s="77">
        <f>AP6*SUP_C4_RETAIL!$C$22</f>
        <v>3000</v>
      </c>
      <c r="AQ11" s="77">
        <f>AQ6*SUP_C4_RETAIL!$C$22</f>
        <v>3000</v>
      </c>
      <c r="AR11" s="77">
        <f>AR6*SUP_C4_RETAIL!$C$22</f>
        <v>3000</v>
      </c>
      <c r="AS11" s="77">
        <f>AS6*SUP_C4_RETAIL!$C$22</f>
        <v>3000</v>
      </c>
      <c r="AT11" s="77">
        <f>AT6*SUP_C4_RETAIL!$C$22</f>
        <v>3000</v>
      </c>
      <c r="AU11" s="77">
        <f>AU6*SUP_C4_RETAIL!$C$22</f>
        <v>3000</v>
      </c>
      <c r="AV11" s="77">
        <f>AV6*SUP_C4_RETAIL!$C$22</f>
        <v>3000</v>
      </c>
      <c r="AW11" s="77">
        <f>AW6*SUP_C4_RETAIL!$C$22</f>
        <v>3000</v>
      </c>
      <c r="AX11" s="77">
        <f>AX6*SUP_C4_RETAIL!$C$22</f>
        <v>3000</v>
      </c>
      <c r="AY11" s="77">
        <f>AY6*SUP_C4_RETAIL!$C$22</f>
        <v>3000</v>
      </c>
      <c r="AZ11" s="77">
        <f>AZ6*SUP_C4_RETAIL!$C$22</f>
        <v>3000</v>
      </c>
      <c r="BA11" s="77">
        <f>BA6*SUP_C4_RETAIL!$C$22</f>
        <v>3000</v>
      </c>
      <c r="BB11" s="77">
        <f>BB6*SUP_C4_RETAIL!$C$22</f>
        <v>3000</v>
      </c>
      <c r="BC11" s="77">
        <f>BC6*SUP_C4_RETAIL!$C$22</f>
        <v>3000</v>
      </c>
      <c r="BD11" s="77">
        <f>BD6*SUP_C4_RETAIL!$C$22</f>
        <v>3000</v>
      </c>
      <c r="BE11" s="77">
        <f>BE6*SUP_C4_RETAIL!$C$22</f>
        <v>3000</v>
      </c>
      <c r="BF11" s="77">
        <f>BF6*SUP_C4_RETAIL!$C$22</f>
        <v>3000</v>
      </c>
      <c r="BG11" s="77">
        <f>BG6*SUP_C4_RETAIL!$C$22</f>
        <v>3000</v>
      </c>
      <c r="BH11" s="77">
        <f>BH6*SUP_C4_RETAIL!$C$22</f>
        <v>3000</v>
      </c>
      <c r="BI11" s="77">
        <f>BI6*SUP_C4_RETAIL!$C$22</f>
        <v>3000</v>
      </c>
      <c r="BJ11" s="77">
        <f>BJ6*SUP_C4_RETAIL!$C$22</f>
        <v>3000</v>
      </c>
      <c r="BK11" s="77">
        <f>BK6*SUP_C4_RETAIL!$C$22</f>
        <v>3000</v>
      </c>
      <c r="BL11" s="77">
        <f>BL6*SUP_C4_RETAIL!$C$22</f>
        <v>3000</v>
      </c>
      <c r="BM11" s="77">
        <f>BM6*SUP_C4_RETAIL!$C$22</f>
        <v>3000</v>
      </c>
      <c r="BN11" s="77">
        <f>BN6*SUP_C4_RETAIL!$C$22</f>
        <v>3000</v>
      </c>
      <c r="BO11" s="77">
        <f>BO6*SUP_C4_RETAIL!$C$22</f>
        <v>3000</v>
      </c>
      <c r="BP11" s="77">
        <f>BP6*SUP_C4_RETAIL!$C$22</f>
        <v>3000</v>
      </c>
      <c r="BQ11" s="77">
        <f>BQ6*SUP_C4_RETAIL!$C$22</f>
        <v>3000</v>
      </c>
      <c r="BR11" s="77">
        <f>BR6*SUP_C4_RETAIL!$C$22</f>
        <v>3000</v>
      </c>
      <c r="BS11" s="77">
        <f>BS6*SUP_C4_RETAIL!$C$22</f>
        <v>3000</v>
      </c>
      <c r="BT11" s="77">
        <f>BT6*SUP_C4_RETAIL!$C$22</f>
        <v>3000</v>
      </c>
      <c r="BU11" s="77">
        <f>BU6*SUP_C4_RETAIL!$C$22</f>
        <v>3000</v>
      </c>
      <c r="BV11" s="77">
        <f>BV6*SUP_C4_RETAIL!$C$22</f>
        <v>3000</v>
      </c>
      <c r="BW11" s="77">
        <f>BW6*SUP_C4_RETAIL!$C$22</f>
        <v>3000</v>
      </c>
      <c r="BX11" s="77">
        <f>BX6*SUP_C4_RETAIL!$C$22</f>
        <v>3000</v>
      </c>
      <c r="BY11" s="77">
        <f>BY6*SUP_C4_RETAIL!$C$22</f>
        <v>3000</v>
      </c>
      <c r="BZ11" s="77">
        <f>BZ6*SUP_C4_RETAIL!$C$22</f>
        <v>3000</v>
      </c>
      <c r="CA11" s="77">
        <f>CA6*SUP_C4_RETAIL!$C$22</f>
        <v>3000</v>
      </c>
      <c r="CB11" s="77">
        <f>CB6*SUP_C4_RETAIL!$C$22</f>
        <v>3000</v>
      </c>
      <c r="CC11" s="77">
        <f>CC6*SUP_C4_RETAIL!$C$22</f>
        <v>3000</v>
      </c>
      <c r="CD11" s="77">
        <f>CD6*SUP_C4_RETAIL!$C$22</f>
        <v>3000</v>
      </c>
      <c r="CE11" s="77">
        <f>CE6*SUP_C4_RETAIL!$C$22</f>
        <v>3000</v>
      </c>
      <c r="CF11" s="77">
        <f>CF6*SUP_C4_RETAIL!$C$22</f>
        <v>3000</v>
      </c>
      <c r="CG11" s="77">
        <f>CG6*SUP_C4_RETAIL!$C$22</f>
        <v>3000</v>
      </c>
      <c r="CH11" s="77">
        <f>CH6*SUP_C4_RETAIL!$C$22</f>
        <v>3000</v>
      </c>
      <c r="CI11" s="77">
        <f>CI6*SUP_C4_RETAIL!$C$22</f>
        <v>3000</v>
      </c>
      <c r="CJ11" s="77">
        <f>CJ6*SUP_C4_RETAIL!$C$22</f>
        <v>3000</v>
      </c>
      <c r="CK11" s="77">
        <f>CK6*SUP_C4_RETAIL!$C$22</f>
        <v>3000</v>
      </c>
      <c r="CL11" s="77">
        <f>CL6*SUP_C4_RETAIL!$C$22</f>
        <v>3000</v>
      </c>
      <c r="CM11" s="77">
        <f>CM6*SUP_C4_RETAIL!$C$22</f>
        <v>3000</v>
      </c>
      <c r="CN11" s="77">
        <f>CN6*SUP_C4_RETAIL!$C$22</f>
        <v>3000</v>
      </c>
      <c r="CO11" s="77">
        <f>CO6*SUP_C4_RETAIL!$C$22</f>
        <v>3000</v>
      </c>
      <c r="CP11" s="77">
        <f>CP6*SUP_C4_RETAIL!$C$22</f>
        <v>3000</v>
      </c>
      <c r="CQ11" s="77">
        <f>CQ6*SUP_C4_RETAIL!$C$22</f>
        <v>3000</v>
      </c>
      <c r="CR11" s="77">
        <f>CR6*SUP_C4_RETAIL!$C$22</f>
        <v>3000</v>
      </c>
      <c r="CS11" s="77">
        <f>CS6*SUP_C4_RETAIL!$C$22</f>
        <v>3000</v>
      </c>
      <c r="CT11" s="77">
        <f>CT6*SUP_C4_RETAIL!$C$22</f>
        <v>3000</v>
      </c>
      <c r="CU11" s="77">
        <f>CU6*SUP_C4_RETAIL!$C$22</f>
        <v>3000</v>
      </c>
      <c r="CV11" s="77">
        <f>CV6*SUP_C4_RETAIL!$C$22</f>
        <v>3000</v>
      </c>
      <c r="CW11" s="77">
        <f>CW6*SUP_C4_RETAIL!$C$22</f>
        <v>3000</v>
      </c>
      <c r="CX11" s="77">
        <f>CX6*SUP_C4_RETAIL!$C$22</f>
        <v>3000</v>
      </c>
      <c r="CY11" s="77">
        <f>CY6*SUP_C4_RETAIL!$C$22</f>
        <v>3000</v>
      </c>
      <c r="CZ11" s="77">
        <f>CZ6*SUP_C4_RETAIL!$C$22</f>
        <v>3000</v>
      </c>
      <c r="DA11" s="77">
        <f>DA6*SUP_C4_RETAIL!$C$22</f>
        <v>3000</v>
      </c>
      <c r="DB11" s="77">
        <f>DB6*SUP_C4_RETAIL!$C$22</f>
        <v>3000</v>
      </c>
      <c r="DC11" s="77">
        <f>DC6*SUP_C4_RETAIL!$C$22</f>
        <v>3000</v>
      </c>
      <c r="DD11" s="77">
        <f>DD6*SUP_C4_RETAIL!$C$22</f>
        <v>3000</v>
      </c>
      <c r="DE11" s="77">
        <f>DE6*SUP_C4_RETAIL!$C$22</f>
        <v>3000</v>
      </c>
      <c r="DF11" s="77">
        <f>DF6*SUP_C4_RETAIL!$C$22</f>
        <v>3000</v>
      </c>
      <c r="DG11" s="77">
        <f>DG6*SUP_C4_RETAIL!$C$22</f>
        <v>3000</v>
      </c>
      <c r="DH11" s="77">
        <f>DH6*SUP_C4_RETAIL!$C$22</f>
        <v>3000</v>
      </c>
      <c r="DI11" s="77">
        <f>DI6*SUP_C4_RETAIL!$C$22</f>
        <v>3000</v>
      </c>
      <c r="DJ11" s="77">
        <f>DJ6*SUP_C4_RETAIL!$C$22</f>
        <v>3000</v>
      </c>
      <c r="DK11" s="77">
        <f>DK6*SUP_C4_RETAIL!$C$22</f>
        <v>3000</v>
      </c>
      <c r="DL11" s="77">
        <f>DL6*SUP_C4_RETAIL!$C$22</f>
        <v>3000</v>
      </c>
      <c r="DM11" s="77">
        <f>DM6*SUP_C4_RETAIL!$C$22</f>
        <v>3000</v>
      </c>
      <c r="DN11" s="77">
        <f>DN6*SUP_C4_RETAIL!$C$22</f>
        <v>3000</v>
      </c>
      <c r="DO11" s="77">
        <f>DO6*SUP_C4_RETAIL!$C$22</f>
        <v>3000</v>
      </c>
      <c r="DP11" s="77">
        <f>DP6*SUP_C4_RETAIL!$C$22</f>
        <v>3000</v>
      </c>
      <c r="DQ11" s="77">
        <f>DQ6*SUP_C4_RETAIL!$C$22</f>
        <v>3000</v>
      </c>
      <c r="DR11" s="77">
        <f>DR6*SUP_C4_RETAIL!$C$22</f>
        <v>3000</v>
      </c>
      <c r="DS11" s="77">
        <f>DS6*SUP_C4_RETAIL!$C$22</f>
        <v>3000</v>
      </c>
    </row>
    <row r="12" spans="1:123" ht="15" customHeight="1" x14ac:dyDescent="0.2">
      <c r="B12" s="20" t="s">
        <v>942</v>
      </c>
      <c r="D12" s="72">
        <f>D8-D9-D10-D11-SUP_OVERHEAD!D41</f>
        <v>0</v>
      </c>
      <c r="E12" s="72">
        <f>E8-E9-E10-E11-SUP_OVERHEAD!E41</f>
        <v>0</v>
      </c>
      <c r="F12" s="72">
        <f>F8-F9-F10-F11-SUP_OVERHEAD!F41</f>
        <v>0</v>
      </c>
      <c r="G12" s="72">
        <f>G8-G9-G10-G11-SUP_OVERHEAD!G41</f>
        <v>0</v>
      </c>
      <c r="H12" s="72">
        <f>H8-H9-H10-H11-SUP_OVERHEAD!H41</f>
        <v>0</v>
      </c>
      <c r="I12" s="72">
        <f>I8-I9-I10-I11-SUP_OVERHEAD!I41</f>
        <v>0</v>
      </c>
      <c r="J12" s="72">
        <f>J8-J9-J10-J11-SUP_OVERHEAD!J41</f>
        <v>0</v>
      </c>
      <c r="K12" s="72">
        <f>K8-K9-K10-K11-SUP_OVERHEAD!K41</f>
        <v>0</v>
      </c>
      <c r="L12" s="72">
        <f>L8-L9-L10-L11-SUP_OVERHEAD!L41</f>
        <v>0</v>
      </c>
      <c r="M12" s="72">
        <f>M8-M9-M10-M11-SUP_OVERHEAD!M41</f>
        <v>0</v>
      </c>
      <c r="N12" s="72">
        <f>N8-N9-N10-N11-SUP_OVERHEAD!N41</f>
        <v>0</v>
      </c>
      <c r="O12" s="72">
        <f>O8-O9-O10-O11-SUP_OVERHEAD!O41</f>
        <v>0</v>
      </c>
      <c r="P12" s="72">
        <f>P8-P9-P10-P11-SUP_OVERHEAD!P41</f>
        <v>0</v>
      </c>
      <c r="Q12" s="72">
        <f>Q8-Q9-Q10-Q11-SUP_OVERHEAD!Q41</f>
        <v>0</v>
      </c>
      <c r="R12" s="72">
        <f>R8-R9-R10-R11-SUP_OVERHEAD!R41</f>
        <v>0</v>
      </c>
      <c r="S12" s="72">
        <f>S8-S9-S10-S11-SUP_OVERHEAD!S41</f>
        <v>0</v>
      </c>
      <c r="T12" s="72">
        <f>T8-T9-T10-T11-SUP_OVERHEAD!T41</f>
        <v>0</v>
      </c>
      <c r="U12" s="72">
        <f>U8-U9-U10-U11-SUP_OVERHEAD!U41</f>
        <v>0</v>
      </c>
      <c r="V12" s="72">
        <f>V8-V9-V10-V11-SUP_OVERHEAD!V41</f>
        <v>0</v>
      </c>
      <c r="W12" s="72">
        <f>W8-W9-W10-W11-SUP_OVERHEAD!W41</f>
        <v>0</v>
      </c>
      <c r="X12" s="72">
        <f>X8-X9-X10-X11-SUP_OVERHEAD!X41</f>
        <v>0</v>
      </c>
      <c r="Y12" s="72">
        <f>Y8-Y9-Y10-Y11-SUP_OVERHEAD!Y41</f>
        <v>0</v>
      </c>
      <c r="Z12" s="72">
        <f>Z8-Z9-Z10-Z11-SUP_OVERHEAD!Z41</f>
        <v>0</v>
      </c>
      <c r="AA12" s="72">
        <f>AA8-AA9-AA10-AA11-SUP_OVERHEAD!AA41</f>
        <v>0</v>
      </c>
      <c r="AB12" s="72">
        <f>AB8-AB9-AB10-AB11-SUP_OVERHEAD!AB41</f>
        <v>1830</v>
      </c>
      <c r="AC12" s="72">
        <f>AC8-AC9-AC10-AC11-SUP_OVERHEAD!AC41</f>
        <v>2313</v>
      </c>
      <c r="AD12" s="72">
        <f>AD8-AD9-AD10-AD11-SUP_OVERHEAD!AD41</f>
        <v>2796</v>
      </c>
      <c r="AE12" s="72">
        <f>AE8-AE9-AE10-AE11-SUP_OVERHEAD!AE41</f>
        <v>3279</v>
      </c>
      <c r="AF12" s="72">
        <f>AF8-AF9-AF10-AF11-SUP_OVERHEAD!AF41</f>
        <v>3762</v>
      </c>
      <c r="AG12" s="72">
        <f>AG8-AG9-AG10-AG11-SUP_OVERHEAD!AG41</f>
        <v>4245</v>
      </c>
      <c r="AH12" s="72">
        <f>AH8-AH9-AH10-AH11-SUP_OVERHEAD!AH41</f>
        <v>4728</v>
      </c>
      <c r="AI12" s="72">
        <f>AI8-AI9-AI10-AI11-SUP_OVERHEAD!AI41</f>
        <v>5211</v>
      </c>
      <c r="AJ12" s="72">
        <f>AJ8-AJ9-AJ10-AJ11-SUP_OVERHEAD!AJ41</f>
        <v>5694</v>
      </c>
      <c r="AK12" s="72">
        <f>AK8-AK9-AK10-AK11-SUP_OVERHEAD!AK41</f>
        <v>6177</v>
      </c>
      <c r="AL12" s="72">
        <f>AL8-AL9-AL10-AL11-SUP_OVERHEAD!AL41</f>
        <v>6660</v>
      </c>
      <c r="AM12" s="72">
        <f>AM8-AM9-AM10-AM11-SUP_OVERHEAD!AM41</f>
        <v>7143</v>
      </c>
      <c r="AN12" s="72">
        <f>AN8-AN9-AN10-AN11-SUP_OVERHEAD!AN41</f>
        <v>7626</v>
      </c>
      <c r="AO12" s="72">
        <f>AO8-AO9-AO10-AO11-SUP_OVERHEAD!AO41</f>
        <v>8109</v>
      </c>
      <c r="AP12" s="72">
        <f>AP8-AP9-AP10-AP11-SUP_OVERHEAD!AP41</f>
        <v>8592</v>
      </c>
      <c r="AQ12" s="72">
        <f>AQ8-AQ9-AQ10-AQ11-SUP_OVERHEAD!AQ41</f>
        <v>9075</v>
      </c>
      <c r="AR12" s="72">
        <f>AR8-AR9-AR10-AR11-SUP_OVERHEAD!AR41</f>
        <v>9558</v>
      </c>
      <c r="AS12" s="72">
        <f>AS8-AS9-AS10-AS11-SUP_OVERHEAD!AS41</f>
        <v>10041</v>
      </c>
      <c r="AT12" s="72">
        <f>AT8-AT9-AT10-AT11-SUP_OVERHEAD!AT41</f>
        <v>10524</v>
      </c>
      <c r="AU12" s="72">
        <f>AU8-AU9-AU10-AU11-SUP_OVERHEAD!AU41</f>
        <v>11007</v>
      </c>
      <c r="AV12" s="72">
        <f>AV8-AV9-AV10-AV11-SUP_OVERHEAD!AV41</f>
        <v>11490</v>
      </c>
      <c r="AW12" s="72">
        <f>AW8-AW9-AW10-AW11-SUP_OVERHEAD!AW41</f>
        <v>11973</v>
      </c>
      <c r="AX12" s="72">
        <f>AX8-AX9-AX10-AX11-SUP_OVERHEAD!AX41</f>
        <v>12456</v>
      </c>
      <c r="AY12" s="72">
        <f>AY8-AY9-AY10-AY11-SUP_OVERHEAD!AY41</f>
        <v>12939</v>
      </c>
      <c r="AZ12" s="72">
        <f>AZ8-AZ9-AZ10-AZ11-SUP_OVERHEAD!AZ41</f>
        <v>13422</v>
      </c>
      <c r="BA12" s="72">
        <f>BA8-BA9-BA10-BA11-SUP_OVERHEAD!BA41</f>
        <v>13905</v>
      </c>
      <c r="BB12" s="72">
        <f>BB8-BB9-BB10-BB11-SUP_OVERHEAD!BB41</f>
        <v>14388</v>
      </c>
      <c r="BC12" s="72">
        <f>BC8-BC9-BC10-BC11-SUP_OVERHEAD!BC41</f>
        <v>14871</v>
      </c>
      <c r="BD12" s="72">
        <f>BD8-BD9-BD10-BD11-SUP_OVERHEAD!BD41</f>
        <v>15354</v>
      </c>
      <c r="BE12" s="72">
        <f>BE8-BE9-BE10-BE11-SUP_OVERHEAD!BE41</f>
        <v>15837</v>
      </c>
      <c r="BF12" s="72">
        <f>BF8-BF9-BF10-BF11-SUP_OVERHEAD!BF41</f>
        <v>16320</v>
      </c>
      <c r="BG12" s="72">
        <f>BG8-BG9-BG10-BG11-SUP_OVERHEAD!BG41</f>
        <v>16803</v>
      </c>
      <c r="BH12" s="72">
        <f>BH8-BH9-BH10-BH11-SUP_OVERHEAD!BH41</f>
        <v>17286</v>
      </c>
      <c r="BI12" s="72">
        <f>BI8-BI9-BI10-BI11-SUP_OVERHEAD!BI41</f>
        <v>17769</v>
      </c>
      <c r="BJ12" s="72">
        <f>BJ8-BJ9-BJ10-BJ11-SUP_OVERHEAD!BJ41</f>
        <v>18252</v>
      </c>
      <c r="BK12" s="72">
        <f>BK8-BK9-BK10-BK11-SUP_OVERHEAD!BK41</f>
        <v>18735</v>
      </c>
      <c r="BL12" s="72">
        <f>BL8-BL9-BL10-BL11-SUP_OVERHEAD!BL41</f>
        <v>19218</v>
      </c>
      <c r="BM12" s="72">
        <f>BM8-BM9-BM10-BM11-SUP_OVERHEAD!BM41</f>
        <v>19701</v>
      </c>
      <c r="BN12" s="72">
        <f>BN8-BN9-BN10-BN11-SUP_OVERHEAD!BN41</f>
        <v>20184</v>
      </c>
      <c r="BO12" s="72">
        <f>BO8-BO9-BO10-BO11-SUP_OVERHEAD!BO41</f>
        <v>20667</v>
      </c>
      <c r="BP12" s="72">
        <f>BP8-BP9-BP10-BP11-SUP_OVERHEAD!BP41</f>
        <v>21150</v>
      </c>
      <c r="BQ12" s="72">
        <f>BQ8-BQ9-BQ10-BQ11-SUP_OVERHEAD!BQ41</f>
        <v>21633</v>
      </c>
      <c r="BR12" s="72">
        <f>BR8-BR9-BR10-BR11-SUP_OVERHEAD!BR41</f>
        <v>22116</v>
      </c>
      <c r="BS12" s="72">
        <f>BS8-BS9-BS10-BS11-SUP_OVERHEAD!BS41</f>
        <v>22599</v>
      </c>
      <c r="BT12" s="72">
        <f>BT8-BT9-BT10-BT11-SUP_OVERHEAD!BT41</f>
        <v>23082</v>
      </c>
      <c r="BU12" s="72">
        <f>BU8-BU9-BU10-BU11-SUP_OVERHEAD!BU41</f>
        <v>23565</v>
      </c>
      <c r="BV12" s="72">
        <f>BV8-BV9-BV10-BV11-SUP_OVERHEAD!BV41</f>
        <v>24048</v>
      </c>
      <c r="BW12" s="72">
        <f>BW8-BW9-BW10-BW11-SUP_OVERHEAD!BW41</f>
        <v>24531</v>
      </c>
      <c r="BX12" s="72">
        <f>BX8-BX9-BX10-BX11-SUP_OVERHEAD!BX41</f>
        <v>25014</v>
      </c>
      <c r="BY12" s="72">
        <f>BY8-BY9-BY10-BY11-SUP_OVERHEAD!BY41</f>
        <v>25497</v>
      </c>
      <c r="BZ12" s="72">
        <f>BZ8-BZ9-BZ10-BZ11-SUP_OVERHEAD!BZ41</f>
        <v>25980</v>
      </c>
      <c r="CA12" s="72">
        <f>CA8-CA9-CA10-CA11-SUP_OVERHEAD!CA41</f>
        <v>25980</v>
      </c>
      <c r="CB12" s="72">
        <f>CB8-CB9-CB10-CB11-SUP_OVERHEAD!CB41</f>
        <v>25980</v>
      </c>
      <c r="CC12" s="72">
        <f>CC8-CC9-CC10-CC11-SUP_OVERHEAD!CC41</f>
        <v>25980</v>
      </c>
      <c r="CD12" s="72">
        <f>CD8-CD9-CD10-CD11-SUP_OVERHEAD!CD41</f>
        <v>25980</v>
      </c>
      <c r="CE12" s="72">
        <f>CE8-CE9-CE10-CE11-SUP_OVERHEAD!CE41</f>
        <v>25980</v>
      </c>
      <c r="CF12" s="72">
        <f>CF8-CF9-CF10-CF11-SUP_OVERHEAD!CF41</f>
        <v>25980</v>
      </c>
      <c r="CG12" s="72">
        <f>CG8-CG9-CG10-CG11-SUP_OVERHEAD!CG41</f>
        <v>25980</v>
      </c>
      <c r="CH12" s="72">
        <f>CH8-CH9-CH10-CH11-SUP_OVERHEAD!CH41</f>
        <v>25980</v>
      </c>
      <c r="CI12" s="72">
        <f>CI8-CI9-CI10-CI11-SUP_OVERHEAD!CI41</f>
        <v>25980</v>
      </c>
      <c r="CJ12" s="72">
        <f>CJ8-CJ9-CJ10-CJ11-SUP_OVERHEAD!CJ41</f>
        <v>25980</v>
      </c>
      <c r="CK12" s="72">
        <f>CK8-CK9-CK10-CK11-SUP_OVERHEAD!CK41</f>
        <v>25980</v>
      </c>
      <c r="CL12" s="72">
        <f>CL8-CL9-CL10-CL11-SUP_OVERHEAD!CL41</f>
        <v>25980</v>
      </c>
      <c r="CM12" s="72">
        <f>CM8-CM9-CM10-CM11-SUP_OVERHEAD!CM41</f>
        <v>25980</v>
      </c>
      <c r="CN12" s="72">
        <f>CN8-CN9-CN10-CN11-SUP_OVERHEAD!CN41</f>
        <v>25980</v>
      </c>
      <c r="CO12" s="72">
        <f>CO8-CO9-CO10-CO11-SUP_OVERHEAD!CO41</f>
        <v>25980</v>
      </c>
      <c r="CP12" s="72">
        <f>CP8-CP9-CP10-CP11-SUP_OVERHEAD!CP41</f>
        <v>25980</v>
      </c>
      <c r="CQ12" s="72">
        <f>CQ8-CQ9-CQ10-CQ11-SUP_OVERHEAD!CQ41</f>
        <v>25980</v>
      </c>
      <c r="CR12" s="72">
        <f>CR8-CR9-CR10-CR11-SUP_OVERHEAD!CR41</f>
        <v>25980</v>
      </c>
      <c r="CS12" s="72">
        <f>CS8-CS9-CS10-CS11-SUP_OVERHEAD!CS41</f>
        <v>25980</v>
      </c>
      <c r="CT12" s="72">
        <f>CT8-CT9-CT10-CT11-SUP_OVERHEAD!CT41</f>
        <v>25980</v>
      </c>
      <c r="CU12" s="72">
        <f>CU8-CU9-CU10-CU11-SUP_OVERHEAD!CU41</f>
        <v>25980</v>
      </c>
      <c r="CV12" s="72">
        <f>CV8-CV9-CV10-CV11-SUP_OVERHEAD!CV41</f>
        <v>25980</v>
      </c>
      <c r="CW12" s="72">
        <f>CW8-CW9-CW10-CW11-SUP_OVERHEAD!CW41</f>
        <v>25980</v>
      </c>
      <c r="CX12" s="72">
        <f>CX8-CX9-CX10-CX11-SUP_OVERHEAD!CX41</f>
        <v>25980</v>
      </c>
      <c r="CY12" s="72">
        <f>CY8-CY9-CY10-CY11-SUP_OVERHEAD!CY41</f>
        <v>25980</v>
      </c>
      <c r="CZ12" s="72">
        <f>CZ8-CZ9-CZ10-CZ11-SUP_OVERHEAD!CZ41</f>
        <v>25980</v>
      </c>
      <c r="DA12" s="72">
        <f>DA8-DA9-DA10-DA11-SUP_OVERHEAD!DA41</f>
        <v>25980</v>
      </c>
      <c r="DB12" s="72">
        <f>DB8-DB9-DB10-DB11-SUP_OVERHEAD!DB41</f>
        <v>25980</v>
      </c>
      <c r="DC12" s="72">
        <f>DC8-DC9-DC10-DC11-SUP_OVERHEAD!DC41</f>
        <v>25980</v>
      </c>
      <c r="DD12" s="72">
        <f>DD8-DD9-DD10-DD11-SUP_OVERHEAD!DD41</f>
        <v>25980</v>
      </c>
      <c r="DE12" s="72">
        <f>DE8-DE9-DE10-DE11-SUP_OVERHEAD!DE41</f>
        <v>25980</v>
      </c>
      <c r="DF12" s="72">
        <f>DF8-DF9-DF10-DF11-SUP_OVERHEAD!DF41</f>
        <v>25980</v>
      </c>
      <c r="DG12" s="72">
        <f>DG8-DG9-DG10-DG11-SUP_OVERHEAD!DG41</f>
        <v>25980</v>
      </c>
      <c r="DH12" s="72">
        <f>DH8-DH9-DH10-DH11-SUP_OVERHEAD!DH41</f>
        <v>25980</v>
      </c>
      <c r="DI12" s="72">
        <f>DI8-DI9-DI10-DI11-SUP_OVERHEAD!DI41</f>
        <v>25980</v>
      </c>
      <c r="DJ12" s="72">
        <f>DJ8-DJ9-DJ10-DJ11-SUP_OVERHEAD!DJ41</f>
        <v>25980</v>
      </c>
      <c r="DK12" s="72">
        <f>DK8-DK9-DK10-DK11-SUP_OVERHEAD!DK41</f>
        <v>25980</v>
      </c>
      <c r="DL12" s="72">
        <f>DL8-DL9-DL10-DL11-SUP_OVERHEAD!DL41</f>
        <v>25980</v>
      </c>
      <c r="DM12" s="72">
        <f>DM8-DM9-DM10-DM11-SUP_OVERHEAD!DM41</f>
        <v>25980</v>
      </c>
      <c r="DN12" s="72">
        <f>DN8-DN9-DN10-DN11-SUP_OVERHEAD!DN41</f>
        <v>25980</v>
      </c>
      <c r="DO12" s="72">
        <f>DO8-DO9-DO10-DO11-SUP_OVERHEAD!DO41</f>
        <v>25980</v>
      </c>
      <c r="DP12" s="72">
        <f>DP8-DP9-DP10-DP11-SUP_OVERHEAD!DP41</f>
        <v>25980</v>
      </c>
      <c r="DQ12" s="72">
        <f>DQ8-DQ9-DQ10-DQ11-SUP_OVERHEAD!DQ41</f>
        <v>25980</v>
      </c>
      <c r="DR12" s="72">
        <f>DR8-DR9-DR10-DR11-SUP_OVERHEAD!DR41</f>
        <v>25980</v>
      </c>
      <c r="DS12" s="72">
        <f>DS8-DS9-DS10-DS11-SUP_OVERHEAD!DS41</f>
        <v>25980</v>
      </c>
    </row>
    <row r="13" spans="1:123" ht="15" customHeight="1" x14ac:dyDescent="0.2">
      <c r="A13" s="25" t="s">
        <v>904</v>
      </c>
      <c r="B13" s="26"/>
      <c r="C13" s="26"/>
    </row>
    <row r="14" spans="1:123" ht="15" customHeight="1" x14ac:dyDescent="0.2">
      <c r="B14" s="37" t="s">
        <v>1103</v>
      </c>
      <c r="D14" s="77">
        <f>IF(D4=MAX(1,SUP_C4_RETAIL!$C$15-3),SUP_C4_RETAIL!$C$12,0)</f>
        <v>0</v>
      </c>
      <c r="E14" s="77">
        <f>IF(E4=MAX(1,SUP_C4_RETAIL!$C$15-3),SUP_C4_RETAIL!$C$12,0)</f>
        <v>0</v>
      </c>
      <c r="F14" s="77">
        <f>IF(F4=MAX(1,SUP_C4_RETAIL!$C$15-3),SUP_C4_RETAIL!$C$12,0)</f>
        <v>0</v>
      </c>
      <c r="G14" s="77">
        <f>IF(G4=MAX(1,SUP_C4_RETAIL!$C$15-3),SUP_C4_RETAIL!$C$12,0)</f>
        <v>0</v>
      </c>
      <c r="H14" s="77">
        <f>IF(H4=MAX(1,SUP_C4_RETAIL!$C$15-3),SUP_C4_RETAIL!$C$12,0)</f>
        <v>0</v>
      </c>
      <c r="I14" s="77">
        <f>IF(I4=MAX(1,SUP_C4_RETAIL!$C$15-3),SUP_C4_RETAIL!$C$12,0)</f>
        <v>0</v>
      </c>
      <c r="J14" s="77">
        <f>IF(J4=MAX(1,SUP_C4_RETAIL!$C$15-3),SUP_C4_RETAIL!$C$12,0)</f>
        <v>0</v>
      </c>
      <c r="K14" s="77">
        <f>IF(K4=MAX(1,SUP_C4_RETAIL!$C$15-3),SUP_C4_RETAIL!$C$12,0)</f>
        <v>0</v>
      </c>
      <c r="L14" s="77">
        <f>IF(L4=MAX(1,SUP_C4_RETAIL!$C$15-3),SUP_C4_RETAIL!$C$12,0)</f>
        <v>0</v>
      </c>
      <c r="M14" s="77">
        <f>IF(M4=MAX(1,SUP_C4_RETAIL!$C$15-3),SUP_C4_RETAIL!$C$12,0)</f>
        <v>0</v>
      </c>
      <c r="N14" s="77">
        <f>IF(N4=MAX(1,SUP_C4_RETAIL!$C$15-3),SUP_C4_RETAIL!$C$12,0)</f>
        <v>0</v>
      </c>
      <c r="O14" s="77">
        <f>IF(O4=MAX(1,SUP_C4_RETAIL!$C$15-3),SUP_C4_RETAIL!$C$12,0)</f>
        <v>0</v>
      </c>
      <c r="P14" s="77">
        <f>IF(P4=MAX(1,SUP_C4_RETAIL!$C$15-3),SUP_C4_RETAIL!$C$12,0)</f>
        <v>0</v>
      </c>
      <c r="Q14" s="77">
        <f>IF(Q4=MAX(1,SUP_C4_RETAIL!$C$15-3),SUP_C4_RETAIL!$C$12,0)</f>
        <v>0</v>
      </c>
      <c r="R14" s="77">
        <f>IF(R4=MAX(1,SUP_C4_RETAIL!$C$15-3),SUP_C4_RETAIL!$C$12,0)</f>
        <v>0</v>
      </c>
      <c r="S14" s="77">
        <f>IF(S4=MAX(1,SUP_C4_RETAIL!$C$15-3),SUP_C4_RETAIL!$C$12,0)</f>
        <v>0</v>
      </c>
      <c r="T14" s="77">
        <f>IF(T4=MAX(1,SUP_C4_RETAIL!$C$15-3),SUP_C4_RETAIL!$C$12,0)</f>
        <v>0</v>
      </c>
      <c r="U14" s="77">
        <f>IF(U4=MAX(1,SUP_C4_RETAIL!$C$15-3),SUP_C4_RETAIL!$C$12,0)</f>
        <v>0</v>
      </c>
      <c r="V14" s="77">
        <f>IF(V4=MAX(1,SUP_C4_RETAIL!$C$15-3),SUP_C4_RETAIL!$C$12,0)</f>
        <v>0</v>
      </c>
      <c r="W14" s="77">
        <f>IF(W4=MAX(1,SUP_C4_RETAIL!$C$15-3),SUP_C4_RETAIL!$C$12,0)</f>
        <v>0</v>
      </c>
      <c r="X14" s="77">
        <f>IF(X4=MAX(1,SUP_C4_RETAIL!$C$15-3),SUP_C4_RETAIL!$C$12,0)</f>
        <v>0</v>
      </c>
      <c r="Y14" s="77">
        <f>IF(Y4=MAX(1,SUP_C4_RETAIL!$C$15-3),SUP_C4_RETAIL!$C$12,0)</f>
        <v>225849.62400000004</v>
      </c>
      <c r="Z14" s="77">
        <f>IF(Z4=MAX(1,SUP_C4_RETAIL!$C$15-3),SUP_C4_RETAIL!$C$12,0)</f>
        <v>0</v>
      </c>
      <c r="AA14" s="77">
        <f>IF(AA4=MAX(1,SUP_C4_RETAIL!$C$15-3),SUP_C4_RETAIL!$C$12,0)</f>
        <v>0</v>
      </c>
      <c r="AB14" s="77">
        <f>IF(AB4=MAX(1,SUP_C4_RETAIL!$C$15-3),SUP_C4_RETAIL!$C$12,0)</f>
        <v>0</v>
      </c>
      <c r="AC14" s="77">
        <f>IF(AC4=MAX(1,SUP_C4_RETAIL!$C$15-3),SUP_C4_RETAIL!$C$12,0)</f>
        <v>0</v>
      </c>
      <c r="AD14" s="77">
        <f>IF(AD4=MAX(1,SUP_C4_RETAIL!$C$15-3),SUP_C4_RETAIL!$C$12,0)</f>
        <v>0</v>
      </c>
      <c r="AE14" s="77">
        <f>IF(AE4=MAX(1,SUP_C4_RETAIL!$C$15-3),SUP_C4_RETAIL!$C$12,0)</f>
        <v>0</v>
      </c>
      <c r="AF14" s="77">
        <f>IF(AF4=MAX(1,SUP_C4_RETAIL!$C$15-3),SUP_C4_RETAIL!$C$12,0)</f>
        <v>0</v>
      </c>
      <c r="AG14" s="77">
        <f>IF(AG4=MAX(1,SUP_C4_RETAIL!$C$15-3),SUP_C4_RETAIL!$C$12,0)</f>
        <v>0</v>
      </c>
      <c r="AH14" s="77">
        <f>IF(AH4=MAX(1,SUP_C4_RETAIL!$C$15-3),SUP_C4_RETAIL!$C$12,0)</f>
        <v>0</v>
      </c>
      <c r="AI14" s="77">
        <f>IF(AI4=MAX(1,SUP_C4_RETAIL!$C$15-3),SUP_C4_RETAIL!$C$12,0)</f>
        <v>0</v>
      </c>
      <c r="AJ14" s="77">
        <f>IF(AJ4=MAX(1,SUP_C4_RETAIL!$C$15-3),SUP_C4_RETAIL!$C$12,0)</f>
        <v>0</v>
      </c>
      <c r="AK14" s="77">
        <f>IF(AK4=MAX(1,SUP_C4_RETAIL!$C$15-3),SUP_C4_RETAIL!$C$12,0)</f>
        <v>0</v>
      </c>
      <c r="AL14" s="77">
        <f>IF(AL4=MAX(1,SUP_C4_RETAIL!$C$15-3),SUP_C4_RETAIL!$C$12,0)</f>
        <v>0</v>
      </c>
      <c r="AM14" s="77">
        <f>IF(AM4=MAX(1,SUP_C4_RETAIL!$C$15-3),SUP_C4_RETAIL!$C$12,0)</f>
        <v>0</v>
      </c>
      <c r="AN14" s="77">
        <f>IF(AN4=MAX(1,SUP_C4_RETAIL!$C$15-3),SUP_C4_RETAIL!$C$12,0)</f>
        <v>0</v>
      </c>
      <c r="AO14" s="77">
        <f>IF(AO4=MAX(1,SUP_C4_RETAIL!$C$15-3),SUP_C4_RETAIL!$C$12,0)</f>
        <v>0</v>
      </c>
      <c r="AP14" s="77">
        <f>IF(AP4=MAX(1,SUP_C4_RETAIL!$C$15-3),SUP_C4_RETAIL!$C$12,0)</f>
        <v>0</v>
      </c>
      <c r="AQ14" s="77">
        <f>IF(AQ4=MAX(1,SUP_C4_RETAIL!$C$15-3),SUP_C4_RETAIL!$C$12,0)</f>
        <v>0</v>
      </c>
      <c r="AR14" s="77">
        <f>IF(AR4=MAX(1,SUP_C4_RETAIL!$C$15-3),SUP_C4_RETAIL!$C$12,0)</f>
        <v>0</v>
      </c>
      <c r="AS14" s="77">
        <f>IF(AS4=MAX(1,SUP_C4_RETAIL!$C$15-3),SUP_C4_RETAIL!$C$12,0)</f>
        <v>0</v>
      </c>
      <c r="AT14" s="77">
        <f>IF(AT4=MAX(1,SUP_C4_RETAIL!$C$15-3),SUP_C4_RETAIL!$C$12,0)</f>
        <v>0</v>
      </c>
      <c r="AU14" s="77">
        <f>IF(AU4=MAX(1,SUP_C4_RETAIL!$C$15-3),SUP_C4_RETAIL!$C$12,0)</f>
        <v>0</v>
      </c>
      <c r="AV14" s="77">
        <f>IF(AV4=MAX(1,SUP_C4_RETAIL!$C$15-3),SUP_C4_RETAIL!$C$12,0)</f>
        <v>0</v>
      </c>
      <c r="AW14" s="77">
        <f>IF(AW4=MAX(1,SUP_C4_RETAIL!$C$15-3),SUP_C4_RETAIL!$C$12,0)</f>
        <v>0</v>
      </c>
      <c r="AX14" s="77">
        <f>IF(AX4=MAX(1,SUP_C4_RETAIL!$C$15-3),SUP_C4_RETAIL!$C$12,0)</f>
        <v>0</v>
      </c>
      <c r="AY14" s="77">
        <f>IF(AY4=MAX(1,SUP_C4_RETAIL!$C$15-3),SUP_C4_RETAIL!$C$12,0)</f>
        <v>0</v>
      </c>
      <c r="AZ14" s="77">
        <f>IF(AZ4=MAX(1,SUP_C4_RETAIL!$C$15-3),SUP_C4_RETAIL!$C$12,0)</f>
        <v>0</v>
      </c>
      <c r="BA14" s="77">
        <f>IF(BA4=MAX(1,SUP_C4_RETAIL!$C$15-3),SUP_C4_RETAIL!$C$12,0)</f>
        <v>0</v>
      </c>
      <c r="BB14" s="77">
        <f>IF(BB4=MAX(1,SUP_C4_RETAIL!$C$15-3),SUP_C4_RETAIL!$C$12,0)</f>
        <v>0</v>
      </c>
      <c r="BC14" s="77">
        <f>IF(BC4=MAX(1,SUP_C4_RETAIL!$C$15-3),SUP_C4_RETAIL!$C$12,0)</f>
        <v>0</v>
      </c>
      <c r="BD14" s="77">
        <f>IF(BD4=MAX(1,SUP_C4_RETAIL!$C$15-3),SUP_C4_RETAIL!$C$12,0)</f>
        <v>0</v>
      </c>
      <c r="BE14" s="77">
        <f>IF(BE4=MAX(1,SUP_C4_RETAIL!$C$15-3),SUP_C4_RETAIL!$C$12,0)</f>
        <v>0</v>
      </c>
      <c r="BF14" s="77">
        <f>IF(BF4=MAX(1,SUP_C4_RETAIL!$C$15-3),SUP_C4_RETAIL!$C$12,0)</f>
        <v>0</v>
      </c>
      <c r="BG14" s="77">
        <f>IF(BG4=MAX(1,SUP_C4_RETAIL!$C$15-3),SUP_C4_RETAIL!$C$12,0)</f>
        <v>0</v>
      </c>
      <c r="BH14" s="77">
        <f>IF(BH4=MAX(1,SUP_C4_RETAIL!$C$15-3),SUP_C4_RETAIL!$C$12,0)</f>
        <v>0</v>
      </c>
      <c r="BI14" s="77">
        <f>IF(BI4=MAX(1,SUP_C4_RETAIL!$C$15-3),SUP_C4_RETAIL!$C$12,0)</f>
        <v>0</v>
      </c>
      <c r="BJ14" s="77">
        <f>IF(BJ4=MAX(1,SUP_C4_RETAIL!$C$15-3),SUP_C4_RETAIL!$C$12,0)</f>
        <v>0</v>
      </c>
      <c r="BK14" s="77">
        <f>IF(BK4=MAX(1,SUP_C4_RETAIL!$C$15-3),SUP_C4_RETAIL!$C$12,0)</f>
        <v>0</v>
      </c>
      <c r="BL14" s="77">
        <f>IF(BL4=MAX(1,SUP_C4_RETAIL!$C$15-3),SUP_C4_RETAIL!$C$12,0)</f>
        <v>0</v>
      </c>
      <c r="BM14" s="77">
        <f>IF(BM4=MAX(1,SUP_C4_RETAIL!$C$15-3),SUP_C4_RETAIL!$C$12,0)</f>
        <v>0</v>
      </c>
      <c r="BN14" s="77">
        <f>IF(BN4=MAX(1,SUP_C4_RETAIL!$C$15-3),SUP_C4_RETAIL!$C$12,0)</f>
        <v>0</v>
      </c>
      <c r="BO14" s="77">
        <f>IF(BO4=MAX(1,SUP_C4_RETAIL!$C$15-3),SUP_C4_RETAIL!$C$12,0)</f>
        <v>0</v>
      </c>
      <c r="BP14" s="77">
        <f>IF(BP4=MAX(1,SUP_C4_RETAIL!$C$15-3),SUP_C4_RETAIL!$C$12,0)</f>
        <v>0</v>
      </c>
      <c r="BQ14" s="77">
        <f>IF(BQ4=MAX(1,SUP_C4_RETAIL!$C$15-3),SUP_C4_RETAIL!$C$12,0)</f>
        <v>0</v>
      </c>
      <c r="BR14" s="77">
        <f>IF(BR4=MAX(1,SUP_C4_RETAIL!$C$15-3),SUP_C4_RETAIL!$C$12,0)</f>
        <v>0</v>
      </c>
      <c r="BS14" s="77">
        <f>IF(BS4=MAX(1,SUP_C4_RETAIL!$C$15-3),SUP_C4_RETAIL!$C$12,0)</f>
        <v>0</v>
      </c>
      <c r="BT14" s="77">
        <f>IF(BT4=MAX(1,SUP_C4_RETAIL!$C$15-3),SUP_C4_RETAIL!$C$12,0)</f>
        <v>0</v>
      </c>
      <c r="BU14" s="77">
        <f>IF(BU4=MAX(1,SUP_C4_RETAIL!$C$15-3),SUP_C4_RETAIL!$C$12,0)</f>
        <v>0</v>
      </c>
      <c r="BV14" s="77">
        <f>IF(BV4=MAX(1,SUP_C4_RETAIL!$C$15-3),SUP_C4_RETAIL!$C$12,0)</f>
        <v>0</v>
      </c>
      <c r="BW14" s="77">
        <f>IF(BW4=MAX(1,SUP_C4_RETAIL!$C$15-3),SUP_C4_RETAIL!$C$12,0)</f>
        <v>0</v>
      </c>
      <c r="BX14" s="77">
        <f>IF(BX4=MAX(1,SUP_C4_RETAIL!$C$15-3),SUP_C4_RETAIL!$C$12,0)</f>
        <v>0</v>
      </c>
      <c r="BY14" s="77">
        <f>IF(BY4=MAX(1,SUP_C4_RETAIL!$C$15-3),SUP_C4_RETAIL!$C$12,0)</f>
        <v>0</v>
      </c>
      <c r="BZ14" s="77">
        <f>IF(BZ4=MAX(1,SUP_C4_RETAIL!$C$15-3),SUP_C4_RETAIL!$C$12,0)</f>
        <v>0</v>
      </c>
      <c r="CA14" s="77">
        <f>IF(CA4=MAX(1,SUP_C4_RETAIL!$C$15-3),SUP_C4_RETAIL!$C$12,0)</f>
        <v>0</v>
      </c>
      <c r="CB14" s="77">
        <f>IF(CB4=MAX(1,SUP_C4_RETAIL!$C$15-3),SUP_C4_RETAIL!$C$12,0)</f>
        <v>0</v>
      </c>
      <c r="CC14" s="77">
        <f>IF(CC4=MAX(1,SUP_C4_RETAIL!$C$15-3),SUP_C4_RETAIL!$C$12,0)</f>
        <v>0</v>
      </c>
      <c r="CD14" s="77">
        <f>IF(CD4=MAX(1,SUP_C4_RETAIL!$C$15-3),SUP_C4_RETAIL!$C$12,0)</f>
        <v>0</v>
      </c>
      <c r="CE14" s="77">
        <f>IF(CE4=MAX(1,SUP_C4_RETAIL!$C$15-3),SUP_C4_RETAIL!$C$12,0)</f>
        <v>0</v>
      </c>
      <c r="CF14" s="77">
        <f>IF(CF4=MAX(1,SUP_C4_RETAIL!$C$15-3),SUP_C4_RETAIL!$C$12,0)</f>
        <v>0</v>
      </c>
      <c r="CG14" s="77">
        <f>IF(CG4=MAX(1,SUP_C4_RETAIL!$C$15-3),SUP_C4_RETAIL!$C$12,0)</f>
        <v>0</v>
      </c>
      <c r="CH14" s="77">
        <f>IF(CH4=MAX(1,SUP_C4_RETAIL!$C$15-3),SUP_C4_RETAIL!$C$12,0)</f>
        <v>0</v>
      </c>
      <c r="CI14" s="77">
        <f>IF(CI4=MAX(1,SUP_C4_RETAIL!$C$15-3),SUP_C4_RETAIL!$C$12,0)</f>
        <v>0</v>
      </c>
      <c r="CJ14" s="77">
        <f>IF(CJ4=MAX(1,SUP_C4_RETAIL!$C$15-3),SUP_C4_RETAIL!$C$12,0)</f>
        <v>0</v>
      </c>
      <c r="CK14" s="77">
        <f>IF(CK4=MAX(1,SUP_C4_RETAIL!$C$15-3),SUP_C4_RETAIL!$C$12,0)</f>
        <v>0</v>
      </c>
      <c r="CL14" s="77">
        <f>IF(CL4=MAX(1,SUP_C4_RETAIL!$C$15-3),SUP_C4_RETAIL!$C$12,0)</f>
        <v>0</v>
      </c>
      <c r="CM14" s="77">
        <f>IF(CM4=MAX(1,SUP_C4_RETAIL!$C$15-3),SUP_C4_RETAIL!$C$12,0)</f>
        <v>0</v>
      </c>
      <c r="CN14" s="77">
        <f>IF(CN4=MAX(1,SUP_C4_RETAIL!$C$15-3),SUP_C4_RETAIL!$C$12,0)</f>
        <v>0</v>
      </c>
      <c r="CO14" s="77">
        <f>IF(CO4=MAX(1,SUP_C4_RETAIL!$C$15-3),SUP_C4_RETAIL!$C$12,0)</f>
        <v>0</v>
      </c>
      <c r="CP14" s="77">
        <f>IF(CP4=MAX(1,SUP_C4_RETAIL!$C$15-3),SUP_C4_RETAIL!$C$12,0)</f>
        <v>0</v>
      </c>
      <c r="CQ14" s="77">
        <f>IF(CQ4=MAX(1,SUP_C4_RETAIL!$C$15-3),SUP_C4_RETAIL!$C$12,0)</f>
        <v>0</v>
      </c>
      <c r="CR14" s="77">
        <f>IF(CR4=MAX(1,SUP_C4_RETAIL!$C$15-3),SUP_C4_RETAIL!$C$12,0)</f>
        <v>0</v>
      </c>
      <c r="CS14" s="77">
        <f>IF(CS4=MAX(1,SUP_C4_RETAIL!$C$15-3),SUP_C4_RETAIL!$C$12,0)</f>
        <v>0</v>
      </c>
      <c r="CT14" s="77">
        <f>IF(CT4=MAX(1,SUP_C4_RETAIL!$C$15-3),SUP_C4_RETAIL!$C$12,0)</f>
        <v>0</v>
      </c>
      <c r="CU14" s="77">
        <f>IF(CU4=MAX(1,SUP_C4_RETAIL!$C$15-3),SUP_C4_RETAIL!$C$12,0)</f>
        <v>0</v>
      </c>
      <c r="CV14" s="77">
        <f>IF(CV4=MAX(1,SUP_C4_RETAIL!$C$15-3),SUP_C4_RETAIL!$C$12,0)</f>
        <v>0</v>
      </c>
      <c r="CW14" s="77">
        <f>IF(CW4=MAX(1,SUP_C4_RETAIL!$C$15-3),SUP_C4_RETAIL!$C$12,0)</f>
        <v>0</v>
      </c>
      <c r="CX14" s="77">
        <f>IF(CX4=MAX(1,SUP_C4_RETAIL!$C$15-3),SUP_C4_RETAIL!$C$12,0)</f>
        <v>0</v>
      </c>
      <c r="CY14" s="77">
        <f>IF(CY4=MAX(1,SUP_C4_RETAIL!$C$15-3),SUP_C4_RETAIL!$C$12,0)</f>
        <v>0</v>
      </c>
      <c r="CZ14" s="77">
        <f>IF(CZ4=MAX(1,SUP_C4_RETAIL!$C$15-3),SUP_C4_RETAIL!$C$12,0)</f>
        <v>0</v>
      </c>
      <c r="DA14" s="77">
        <f>IF(DA4=MAX(1,SUP_C4_RETAIL!$C$15-3),SUP_C4_RETAIL!$C$12,0)</f>
        <v>0</v>
      </c>
      <c r="DB14" s="77">
        <f>IF(DB4=MAX(1,SUP_C4_RETAIL!$C$15-3),SUP_C4_RETAIL!$C$12,0)</f>
        <v>0</v>
      </c>
      <c r="DC14" s="77">
        <f>IF(DC4=MAX(1,SUP_C4_RETAIL!$C$15-3),SUP_C4_RETAIL!$C$12,0)</f>
        <v>0</v>
      </c>
      <c r="DD14" s="77">
        <f>IF(DD4=MAX(1,SUP_C4_RETAIL!$C$15-3),SUP_C4_RETAIL!$C$12,0)</f>
        <v>0</v>
      </c>
      <c r="DE14" s="77">
        <f>IF(DE4=MAX(1,SUP_C4_RETAIL!$C$15-3),SUP_C4_RETAIL!$C$12,0)</f>
        <v>0</v>
      </c>
      <c r="DF14" s="77">
        <f>IF(DF4=MAX(1,SUP_C4_RETAIL!$C$15-3),SUP_C4_RETAIL!$C$12,0)</f>
        <v>0</v>
      </c>
      <c r="DG14" s="77">
        <f>IF(DG4=MAX(1,SUP_C4_RETAIL!$C$15-3),SUP_C4_RETAIL!$C$12,0)</f>
        <v>0</v>
      </c>
      <c r="DH14" s="77">
        <f>IF(DH4=MAX(1,SUP_C4_RETAIL!$C$15-3),SUP_C4_RETAIL!$C$12,0)</f>
        <v>0</v>
      </c>
      <c r="DI14" s="77">
        <f>IF(DI4=MAX(1,SUP_C4_RETAIL!$C$15-3),SUP_C4_RETAIL!$C$12,0)</f>
        <v>0</v>
      </c>
      <c r="DJ14" s="77">
        <f>IF(DJ4=MAX(1,SUP_C4_RETAIL!$C$15-3),SUP_C4_RETAIL!$C$12,0)</f>
        <v>0</v>
      </c>
      <c r="DK14" s="77">
        <f>IF(DK4=MAX(1,SUP_C4_RETAIL!$C$15-3),SUP_C4_RETAIL!$C$12,0)</f>
        <v>0</v>
      </c>
      <c r="DL14" s="77">
        <f>IF(DL4=MAX(1,SUP_C4_RETAIL!$C$15-3),SUP_C4_RETAIL!$C$12,0)</f>
        <v>0</v>
      </c>
      <c r="DM14" s="77">
        <f>IF(DM4=MAX(1,SUP_C4_RETAIL!$C$15-3),SUP_C4_RETAIL!$C$12,0)</f>
        <v>0</v>
      </c>
      <c r="DN14" s="77">
        <f>IF(DN4=MAX(1,SUP_C4_RETAIL!$C$15-3),SUP_C4_RETAIL!$C$12,0)</f>
        <v>0</v>
      </c>
      <c r="DO14" s="77">
        <f>IF(DO4=MAX(1,SUP_C4_RETAIL!$C$15-3),SUP_C4_RETAIL!$C$12,0)</f>
        <v>0</v>
      </c>
      <c r="DP14" s="77">
        <f>IF(DP4=MAX(1,SUP_C4_RETAIL!$C$15-3),SUP_C4_RETAIL!$C$12,0)</f>
        <v>0</v>
      </c>
      <c r="DQ14" s="77">
        <f>IF(DQ4=MAX(1,SUP_C4_RETAIL!$C$15-3),SUP_C4_RETAIL!$C$12,0)</f>
        <v>0</v>
      </c>
      <c r="DR14" s="77">
        <f>IF(DR4=MAX(1,SUP_C4_RETAIL!$C$15-3),SUP_C4_RETAIL!$C$12,0)</f>
        <v>0</v>
      </c>
      <c r="DS14" s="77">
        <f>IF(DS4=MAX(1,SUP_C4_RETAIL!$C$15-3),SUP_C4_RETAIL!$C$12,0)</f>
        <v>0</v>
      </c>
    </row>
    <row r="15" spans="1:123" ht="15" customHeight="1" x14ac:dyDescent="0.2">
      <c r="B15" s="37" t="s">
        <v>946</v>
      </c>
      <c r="D15" s="77">
        <f>D14</f>
        <v>0</v>
      </c>
      <c r="E15" s="77">
        <f t="shared" ref="E15:AJ15" si="0">D15+E14</f>
        <v>0</v>
      </c>
      <c r="F15" s="77">
        <f t="shared" si="0"/>
        <v>0</v>
      </c>
      <c r="G15" s="77">
        <f t="shared" si="0"/>
        <v>0</v>
      </c>
      <c r="H15" s="77">
        <f t="shared" si="0"/>
        <v>0</v>
      </c>
      <c r="I15" s="77">
        <f t="shared" si="0"/>
        <v>0</v>
      </c>
      <c r="J15" s="77">
        <f t="shared" si="0"/>
        <v>0</v>
      </c>
      <c r="K15" s="77">
        <f t="shared" si="0"/>
        <v>0</v>
      </c>
      <c r="L15" s="77">
        <f t="shared" si="0"/>
        <v>0</v>
      </c>
      <c r="M15" s="77">
        <f t="shared" si="0"/>
        <v>0</v>
      </c>
      <c r="N15" s="77">
        <f t="shared" si="0"/>
        <v>0</v>
      </c>
      <c r="O15" s="77">
        <f t="shared" si="0"/>
        <v>0</v>
      </c>
      <c r="P15" s="77">
        <f t="shared" si="0"/>
        <v>0</v>
      </c>
      <c r="Q15" s="77">
        <f t="shared" si="0"/>
        <v>0</v>
      </c>
      <c r="R15" s="77">
        <f t="shared" si="0"/>
        <v>0</v>
      </c>
      <c r="S15" s="77">
        <f t="shared" si="0"/>
        <v>0</v>
      </c>
      <c r="T15" s="77">
        <f t="shared" si="0"/>
        <v>0</v>
      </c>
      <c r="U15" s="77">
        <f t="shared" si="0"/>
        <v>0</v>
      </c>
      <c r="V15" s="77">
        <f t="shared" si="0"/>
        <v>0</v>
      </c>
      <c r="W15" s="77">
        <f t="shared" si="0"/>
        <v>0</v>
      </c>
      <c r="X15" s="77">
        <f t="shared" si="0"/>
        <v>0</v>
      </c>
      <c r="Y15" s="77">
        <f t="shared" si="0"/>
        <v>225849.62400000004</v>
      </c>
      <c r="Z15" s="77">
        <f t="shared" si="0"/>
        <v>225849.62400000004</v>
      </c>
      <c r="AA15" s="77">
        <f t="shared" si="0"/>
        <v>225849.62400000004</v>
      </c>
      <c r="AB15" s="77">
        <f t="shared" si="0"/>
        <v>225849.62400000004</v>
      </c>
      <c r="AC15" s="77">
        <f t="shared" si="0"/>
        <v>225849.62400000004</v>
      </c>
      <c r="AD15" s="77">
        <f t="shared" si="0"/>
        <v>225849.62400000004</v>
      </c>
      <c r="AE15" s="77">
        <f t="shared" si="0"/>
        <v>225849.62400000004</v>
      </c>
      <c r="AF15" s="77">
        <f t="shared" si="0"/>
        <v>225849.62400000004</v>
      </c>
      <c r="AG15" s="77">
        <f t="shared" si="0"/>
        <v>225849.62400000004</v>
      </c>
      <c r="AH15" s="77">
        <f t="shared" si="0"/>
        <v>225849.62400000004</v>
      </c>
      <c r="AI15" s="77">
        <f t="shared" si="0"/>
        <v>225849.62400000004</v>
      </c>
      <c r="AJ15" s="77">
        <f t="shared" si="0"/>
        <v>225849.62400000004</v>
      </c>
      <c r="AK15" s="77">
        <f t="shared" ref="AK15:BP15" si="1">AJ15+AK14</f>
        <v>225849.62400000004</v>
      </c>
      <c r="AL15" s="77">
        <f t="shared" si="1"/>
        <v>225849.62400000004</v>
      </c>
      <c r="AM15" s="77">
        <f t="shared" si="1"/>
        <v>225849.62400000004</v>
      </c>
      <c r="AN15" s="77">
        <f t="shared" si="1"/>
        <v>225849.62400000004</v>
      </c>
      <c r="AO15" s="77">
        <f t="shared" si="1"/>
        <v>225849.62400000004</v>
      </c>
      <c r="AP15" s="77">
        <f t="shared" si="1"/>
        <v>225849.62400000004</v>
      </c>
      <c r="AQ15" s="77">
        <f t="shared" si="1"/>
        <v>225849.62400000004</v>
      </c>
      <c r="AR15" s="77">
        <f t="shared" si="1"/>
        <v>225849.62400000004</v>
      </c>
      <c r="AS15" s="77">
        <f t="shared" si="1"/>
        <v>225849.62400000004</v>
      </c>
      <c r="AT15" s="77">
        <f t="shared" si="1"/>
        <v>225849.62400000004</v>
      </c>
      <c r="AU15" s="77">
        <f t="shared" si="1"/>
        <v>225849.62400000004</v>
      </c>
      <c r="AV15" s="77">
        <f t="shared" si="1"/>
        <v>225849.62400000004</v>
      </c>
      <c r="AW15" s="77">
        <f t="shared" si="1"/>
        <v>225849.62400000004</v>
      </c>
      <c r="AX15" s="77">
        <f t="shared" si="1"/>
        <v>225849.62400000004</v>
      </c>
      <c r="AY15" s="77">
        <f t="shared" si="1"/>
        <v>225849.62400000004</v>
      </c>
      <c r="AZ15" s="77">
        <f t="shared" si="1"/>
        <v>225849.62400000004</v>
      </c>
      <c r="BA15" s="77">
        <f t="shared" si="1"/>
        <v>225849.62400000004</v>
      </c>
      <c r="BB15" s="77">
        <f t="shared" si="1"/>
        <v>225849.62400000004</v>
      </c>
      <c r="BC15" s="77">
        <f t="shared" si="1"/>
        <v>225849.62400000004</v>
      </c>
      <c r="BD15" s="77">
        <f t="shared" si="1"/>
        <v>225849.62400000004</v>
      </c>
      <c r="BE15" s="77">
        <f t="shared" si="1"/>
        <v>225849.62400000004</v>
      </c>
      <c r="BF15" s="77">
        <f t="shared" si="1"/>
        <v>225849.62400000004</v>
      </c>
      <c r="BG15" s="77">
        <f t="shared" si="1"/>
        <v>225849.62400000004</v>
      </c>
      <c r="BH15" s="77">
        <f t="shared" si="1"/>
        <v>225849.62400000004</v>
      </c>
      <c r="BI15" s="77">
        <f t="shared" si="1"/>
        <v>225849.62400000004</v>
      </c>
      <c r="BJ15" s="77">
        <f t="shared" si="1"/>
        <v>225849.62400000004</v>
      </c>
      <c r="BK15" s="77">
        <f t="shared" si="1"/>
        <v>225849.62400000004</v>
      </c>
      <c r="BL15" s="77">
        <f t="shared" si="1"/>
        <v>225849.62400000004</v>
      </c>
      <c r="BM15" s="77">
        <f t="shared" si="1"/>
        <v>225849.62400000004</v>
      </c>
      <c r="BN15" s="77">
        <f t="shared" si="1"/>
        <v>225849.62400000004</v>
      </c>
      <c r="BO15" s="77">
        <f t="shared" si="1"/>
        <v>225849.62400000004</v>
      </c>
      <c r="BP15" s="77">
        <f t="shared" si="1"/>
        <v>225849.62400000004</v>
      </c>
      <c r="BQ15" s="77">
        <f t="shared" ref="BQ15:CV15" si="2">BP15+BQ14</f>
        <v>225849.62400000004</v>
      </c>
      <c r="BR15" s="77">
        <f t="shared" si="2"/>
        <v>225849.62400000004</v>
      </c>
      <c r="BS15" s="77">
        <f t="shared" si="2"/>
        <v>225849.62400000004</v>
      </c>
      <c r="BT15" s="77">
        <f t="shared" si="2"/>
        <v>225849.62400000004</v>
      </c>
      <c r="BU15" s="77">
        <f t="shared" si="2"/>
        <v>225849.62400000004</v>
      </c>
      <c r="BV15" s="77">
        <f t="shared" si="2"/>
        <v>225849.62400000004</v>
      </c>
      <c r="BW15" s="77">
        <f t="shared" si="2"/>
        <v>225849.62400000004</v>
      </c>
      <c r="BX15" s="77">
        <f t="shared" si="2"/>
        <v>225849.62400000004</v>
      </c>
      <c r="BY15" s="77">
        <f t="shared" si="2"/>
        <v>225849.62400000004</v>
      </c>
      <c r="BZ15" s="77">
        <f t="shared" si="2"/>
        <v>225849.62400000004</v>
      </c>
      <c r="CA15" s="77">
        <f t="shared" si="2"/>
        <v>225849.62400000004</v>
      </c>
      <c r="CB15" s="77">
        <f t="shared" si="2"/>
        <v>225849.62400000004</v>
      </c>
      <c r="CC15" s="77">
        <f t="shared" si="2"/>
        <v>225849.62400000004</v>
      </c>
      <c r="CD15" s="77">
        <f t="shared" si="2"/>
        <v>225849.62400000004</v>
      </c>
      <c r="CE15" s="77">
        <f t="shared" si="2"/>
        <v>225849.62400000004</v>
      </c>
      <c r="CF15" s="77">
        <f t="shared" si="2"/>
        <v>225849.62400000004</v>
      </c>
      <c r="CG15" s="77">
        <f t="shared" si="2"/>
        <v>225849.62400000004</v>
      </c>
      <c r="CH15" s="77">
        <f t="shared" si="2"/>
        <v>225849.62400000004</v>
      </c>
      <c r="CI15" s="77">
        <f t="shared" si="2"/>
        <v>225849.62400000004</v>
      </c>
      <c r="CJ15" s="77">
        <f t="shared" si="2"/>
        <v>225849.62400000004</v>
      </c>
      <c r="CK15" s="77">
        <f t="shared" si="2"/>
        <v>225849.62400000004</v>
      </c>
      <c r="CL15" s="77">
        <f t="shared" si="2"/>
        <v>225849.62400000004</v>
      </c>
      <c r="CM15" s="77">
        <f t="shared" si="2"/>
        <v>225849.62400000004</v>
      </c>
      <c r="CN15" s="77">
        <f t="shared" si="2"/>
        <v>225849.62400000004</v>
      </c>
      <c r="CO15" s="77">
        <f t="shared" si="2"/>
        <v>225849.62400000004</v>
      </c>
      <c r="CP15" s="77">
        <f t="shared" si="2"/>
        <v>225849.62400000004</v>
      </c>
      <c r="CQ15" s="77">
        <f t="shared" si="2"/>
        <v>225849.62400000004</v>
      </c>
      <c r="CR15" s="77">
        <f t="shared" si="2"/>
        <v>225849.62400000004</v>
      </c>
      <c r="CS15" s="77">
        <f t="shared" si="2"/>
        <v>225849.62400000004</v>
      </c>
      <c r="CT15" s="77">
        <f t="shared" si="2"/>
        <v>225849.62400000004</v>
      </c>
      <c r="CU15" s="77">
        <f t="shared" si="2"/>
        <v>225849.62400000004</v>
      </c>
      <c r="CV15" s="77">
        <f t="shared" si="2"/>
        <v>225849.62400000004</v>
      </c>
      <c r="CW15" s="77">
        <f t="shared" ref="CW15:EB15" si="3">CV15+CW14</f>
        <v>225849.62400000004</v>
      </c>
      <c r="CX15" s="77">
        <f t="shared" si="3"/>
        <v>225849.62400000004</v>
      </c>
      <c r="CY15" s="77">
        <f t="shared" si="3"/>
        <v>225849.62400000004</v>
      </c>
      <c r="CZ15" s="77">
        <f t="shared" si="3"/>
        <v>225849.62400000004</v>
      </c>
      <c r="DA15" s="77">
        <f t="shared" si="3"/>
        <v>225849.62400000004</v>
      </c>
      <c r="DB15" s="77">
        <f t="shared" si="3"/>
        <v>225849.62400000004</v>
      </c>
      <c r="DC15" s="77">
        <f t="shared" si="3"/>
        <v>225849.62400000004</v>
      </c>
      <c r="DD15" s="77">
        <f t="shared" si="3"/>
        <v>225849.62400000004</v>
      </c>
      <c r="DE15" s="77">
        <f t="shared" si="3"/>
        <v>225849.62400000004</v>
      </c>
      <c r="DF15" s="77">
        <f t="shared" si="3"/>
        <v>225849.62400000004</v>
      </c>
      <c r="DG15" s="77">
        <f t="shared" si="3"/>
        <v>225849.62400000004</v>
      </c>
      <c r="DH15" s="77">
        <f t="shared" si="3"/>
        <v>225849.62400000004</v>
      </c>
      <c r="DI15" s="77">
        <f t="shared" si="3"/>
        <v>225849.62400000004</v>
      </c>
      <c r="DJ15" s="77">
        <f t="shared" si="3"/>
        <v>225849.62400000004</v>
      </c>
      <c r="DK15" s="77">
        <f t="shared" si="3"/>
        <v>225849.62400000004</v>
      </c>
      <c r="DL15" s="77">
        <f t="shared" si="3"/>
        <v>225849.62400000004</v>
      </c>
      <c r="DM15" s="77">
        <f t="shared" si="3"/>
        <v>225849.62400000004</v>
      </c>
      <c r="DN15" s="77">
        <f t="shared" si="3"/>
        <v>225849.62400000004</v>
      </c>
      <c r="DO15" s="77">
        <f t="shared" si="3"/>
        <v>225849.62400000004</v>
      </c>
      <c r="DP15" s="77">
        <f t="shared" si="3"/>
        <v>225849.62400000004</v>
      </c>
      <c r="DQ15" s="77">
        <f t="shared" si="3"/>
        <v>225849.62400000004</v>
      </c>
      <c r="DR15" s="77">
        <f t="shared" si="3"/>
        <v>225849.62400000004</v>
      </c>
      <c r="DS15" s="77">
        <f t="shared" si="3"/>
        <v>225849.62400000004</v>
      </c>
    </row>
    <row r="16" spans="1:123" ht="15" customHeight="1" x14ac:dyDescent="0.2">
      <c r="B16" s="37" t="s">
        <v>947</v>
      </c>
      <c r="D16" s="77">
        <f>D15/(SUP_OPEX!$C$43*12)</f>
        <v>0</v>
      </c>
      <c r="E16" s="77">
        <f>E15/(SUP_OPEX!$C$43*12)</f>
        <v>0</v>
      </c>
      <c r="F16" s="77">
        <f>F15/(SUP_OPEX!$C$43*12)</f>
        <v>0</v>
      </c>
      <c r="G16" s="77">
        <f>G15/(SUP_OPEX!$C$43*12)</f>
        <v>0</v>
      </c>
      <c r="H16" s="77">
        <f>H15/(SUP_OPEX!$C$43*12)</f>
        <v>0</v>
      </c>
      <c r="I16" s="77">
        <f>I15/(SUP_OPEX!$C$43*12)</f>
        <v>0</v>
      </c>
      <c r="J16" s="77">
        <f>J15/(SUP_OPEX!$C$43*12)</f>
        <v>0</v>
      </c>
      <c r="K16" s="77">
        <f>K15/(SUP_OPEX!$C$43*12)</f>
        <v>0</v>
      </c>
      <c r="L16" s="77">
        <f>L15/(SUP_OPEX!$C$43*12)</f>
        <v>0</v>
      </c>
      <c r="M16" s="77">
        <f>M15/(SUP_OPEX!$C$43*12)</f>
        <v>0</v>
      </c>
      <c r="N16" s="77">
        <f>N15/(SUP_OPEX!$C$43*12)</f>
        <v>0</v>
      </c>
      <c r="O16" s="77">
        <f>O15/(SUP_OPEX!$C$43*12)</f>
        <v>0</v>
      </c>
      <c r="P16" s="77">
        <f>P15/(SUP_OPEX!$C$43*12)</f>
        <v>0</v>
      </c>
      <c r="Q16" s="77">
        <f>Q15/(SUP_OPEX!$C$43*12)</f>
        <v>0</v>
      </c>
      <c r="R16" s="77">
        <f>R15/(SUP_OPEX!$C$43*12)</f>
        <v>0</v>
      </c>
      <c r="S16" s="77">
        <f>S15/(SUP_OPEX!$C$43*12)</f>
        <v>0</v>
      </c>
      <c r="T16" s="77">
        <f>T15/(SUP_OPEX!$C$43*12)</f>
        <v>0</v>
      </c>
      <c r="U16" s="77">
        <f>U15/(SUP_OPEX!$C$43*12)</f>
        <v>0</v>
      </c>
      <c r="V16" s="77">
        <f>V15/(SUP_OPEX!$C$43*12)</f>
        <v>0</v>
      </c>
      <c r="W16" s="77">
        <f>W15/(SUP_OPEX!$C$43*12)</f>
        <v>0</v>
      </c>
      <c r="X16" s="77">
        <f>X15/(SUP_OPEX!$C$43*12)</f>
        <v>0</v>
      </c>
      <c r="Y16" s="77">
        <f>Y15/(SUP_OPEX!$C$43*12)</f>
        <v>1882.0802000000003</v>
      </c>
      <c r="Z16" s="77">
        <f>Z15/(SUP_OPEX!$C$43*12)</f>
        <v>1882.0802000000003</v>
      </c>
      <c r="AA16" s="77">
        <f>AA15/(SUP_OPEX!$C$43*12)</f>
        <v>1882.0802000000003</v>
      </c>
      <c r="AB16" s="77">
        <f>AB15/(SUP_OPEX!$C$43*12)</f>
        <v>1882.0802000000003</v>
      </c>
      <c r="AC16" s="77">
        <f>AC15/(SUP_OPEX!$C$43*12)</f>
        <v>1882.0802000000003</v>
      </c>
      <c r="AD16" s="77">
        <f>AD15/(SUP_OPEX!$C$43*12)</f>
        <v>1882.0802000000003</v>
      </c>
      <c r="AE16" s="77">
        <f>AE15/(SUP_OPEX!$C$43*12)</f>
        <v>1882.0802000000003</v>
      </c>
      <c r="AF16" s="77">
        <f>AF15/(SUP_OPEX!$C$43*12)</f>
        <v>1882.0802000000003</v>
      </c>
      <c r="AG16" s="77">
        <f>AG15/(SUP_OPEX!$C$43*12)</f>
        <v>1882.0802000000003</v>
      </c>
      <c r="AH16" s="77">
        <f>AH15/(SUP_OPEX!$C$43*12)</f>
        <v>1882.0802000000003</v>
      </c>
      <c r="AI16" s="77">
        <f>AI15/(SUP_OPEX!$C$43*12)</f>
        <v>1882.0802000000003</v>
      </c>
      <c r="AJ16" s="77">
        <f>AJ15/(SUP_OPEX!$C$43*12)</f>
        <v>1882.0802000000003</v>
      </c>
      <c r="AK16" s="77">
        <f>AK15/(SUP_OPEX!$C$43*12)</f>
        <v>1882.0802000000003</v>
      </c>
      <c r="AL16" s="77">
        <f>AL15/(SUP_OPEX!$C$43*12)</f>
        <v>1882.0802000000003</v>
      </c>
      <c r="AM16" s="77">
        <f>AM15/(SUP_OPEX!$C$43*12)</f>
        <v>1882.0802000000003</v>
      </c>
      <c r="AN16" s="77">
        <f>AN15/(SUP_OPEX!$C$43*12)</f>
        <v>1882.0802000000003</v>
      </c>
      <c r="AO16" s="77">
        <f>AO15/(SUP_OPEX!$C$43*12)</f>
        <v>1882.0802000000003</v>
      </c>
      <c r="AP16" s="77">
        <f>AP15/(SUP_OPEX!$C$43*12)</f>
        <v>1882.0802000000003</v>
      </c>
      <c r="AQ16" s="77">
        <f>AQ15/(SUP_OPEX!$C$43*12)</f>
        <v>1882.0802000000003</v>
      </c>
      <c r="AR16" s="77">
        <f>AR15/(SUP_OPEX!$C$43*12)</f>
        <v>1882.0802000000003</v>
      </c>
      <c r="AS16" s="77">
        <f>AS15/(SUP_OPEX!$C$43*12)</f>
        <v>1882.0802000000003</v>
      </c>
      <c r="AT16" s="77">
        <f>AT15/(SUP_OPEX!$C$43*12)</f>
        <v>1882.0802000000003</v>
      </c>
      <c r="AU16" s="77">
        <f>AU15/(SUP_OPEX!$C$43*12)</f>
        <v>1882.0802000000003</v>
      </c>
      <c r="AV16" s="77">
        <f>AV15/(SUP_OPEX!$C$43*12)</f>
        <v>1882.0802000000003</v>
      </c>
      <c r="AW16" s="77">
        <f>AW15/(SUP_OPEX!$C$43*12)</f>
        <v>1882.0802000000003</v>
      </c>
      <c r="AX16" s="77">
        <f>AX15/(SUP_OPEX!$C$43*12)</f>
        <v>1882.0802000000003</v>
      </c>
      <c r="AY16" s="77">
        <f>AY15/(SUP_OPEX!$C$43*12)</f>
        <v>1882.0802000000003</v>
      </c>
      <c r="AZ16" s="77">
        <f>AZ15/(SUP_OPEX!$C$43*12)</f>
        <v>1882.0802000000003</v>
      </c>
      <c r="BA16" s="77">
        <f>BA15/(SUP_OPEX!$C$43*12)</f>
        <v>1882.0802000000003</v>
      </c>
      <c r="BB16" s="77">
        <f>BB15/(SUP_OPEX!$C$43*12)</f>
        <v>1882.0802000000003</v>
      </c>
      <c r="BC16" s="77">
        <f>BC15/(SUP_OPEX!$C$43*12)</f>
        <v>1882.0802000000003</v>
      </c>
      <c r="BD16" s="77">
        <f>BD15/(SUP_OPEX!$C$43*12)</f>
        <v>1882.0802000000003</v>
      </c>
      <c r="BE16" s="77">
        <f>BE15/(SUP_OPEX!$C$43*12)</f>
        <v>1882.0802000000003</v>
      </c>
      <c r="BF16" s="77">
        <f>BF15/(SUP_OPEX!$C$43*12)</f>
        <v>1882.0802000000003</v>
      </c>
      <c r="BG16" s="77">
        <f>BG15/(SUP_OPEX!$C$43*12)</f>
        <v>1882.0802000000003</v>
      </c>
      <c r="BH16" s="77">
        <f>BH15/(SUP_OPEX!$C$43*12)</f>
        <v>1882.0802000000003</v>
      </c>
      <c r="BI16" s="77">
        <f>BI15/(SUP_OPEX!$C$43*12)</f>
        <v>1882.0802000000003</v>
      </c>
      <c r="BJ16" s="77">
        <f>BJ15/(SUP_OPEX!$C$43*12)</f>
        <v>1882.0802000000003</v>
      </c>
      <c r="BK16" s="77">
        <f>BK15/(SUP_OPEX!$C$43*12)</f>
        <v>1882.0802000000003</v>
      </c>
      <c r="BL16" s="77">
        <f>BL15/(SUP_OPEX!$C$43*12)</f>
        <v>1882.0802000000003</v>
      </c>
      <c r="BM16" s="77">
        <f>BM15/(SUP_OPEX!$C$43*12)</f>
        <v>1882.0802000000003</v>
      </c>
      <c r="BN16" s="77">
        <f>BN15/(SUP_OPEX!$C$43*12)</f>
        <v>1882.0802000000003</v>
      </c>
      <c r="BO16" s="77">
        <f>BO15/(SUP_OPEX!$C$43*12)</f>
        <v>1882.0802000000003</v>
      </c>
      <c r="BP16" s="77">
        <f>BP15/(SUP_OPEX!$C$43*12)</f>
        <v>1882.0802000000003</v>
      </c>
      <c r="BQ16" s="77">
        <f>BQ15/(SUP_OPEX!$C$43*12)</f>
        <v>1882.0802000000003</v>
      </c>
      <c r="BR16" s="77">
        <f>BR15/(SUP_OPEX!$C$43*12)</f>
        <v>1882.0802000000003</v>
      </c>
      <c r="BS16" s="77">
        <f>BS15/(SUP_OPEX!$C$43*12)</f>
        <v>1882.0802000000003</v>
      </c>
      <c r="BT16" s="77">
        <f>BT15/(SUP_OPEX!$C$43*12)</f>
        <v>1882.0802000000003</v>
      </c>
      <c r="BU16" s="77">
        <f>BU15/(SUP_OPEX!$C$43*12)</f>
        <v>1882.0802000000003</v>
      </c>
      <c r="BV16" s="77">
        <f>BV15/(SUP_OPEX!$C$43*12)</f>
        <v>1882.0802000000003</v>
      </c>
      <c r="BW16" s="77">
        <f>BW15/(SUP_OPEX!$C$43*12)</f>
        <v>1882.0802000000003</v>
      </c>
      <c r="BX16" s="77">
        <f>BX15/(SUP_OPEX!$C$43*12)</f>
        <v>1882.0802000000003</v>
      </c>
      <c r="BY16" s="77">
        <f>BY15/(SUP_OPEX!$C$43*12)</f>
        <v>1882.0802000000003</v>
      </c>
      <c r="BZ16" s="77">
        <f>BZ15/(SUP_OPEX!$C$43*12)</f>
        <v>1882.0802000000003</v>
      </c>
      <c r="CA16" s="77">
        <f>CA15/(SUP_OPEX!$C$43*12)</f>
        <v>1882.0802000000003</v>
      </c>
      <c r="CB16" s="77">
        <f>CB15/(SUP_OPEX!$C$43*12)</f>
        <v>1882.0802000000003</v>
      </c>
      <c r="CC16" s="77">
        <f>CC15/(SUP_OPEX!$C$43*12)</f>
        <v>1882.0802000000003</v>
      </c>
      <c r="CD16" s="77">
        <f>CD15/(SUP_OPEX!$C$43*12)</f>
        <v>1882.0802000000003</v>
      </c>
      <c r="CE16" s="77">
        <f>CE15/(SUP_OPEX!$C$43*12)</f>
        <v>1882.0802000000003</v>
      </c>
      <c r="CF16" s="77">
        <f>CF15/(SUP_OPEX!$C$43*12)</f>
        <v>1882.0802000000003</v>
      </c>
      <c r="CG16" s="77">
        <f>CG15/(SUP_OPEX!$C$43*12)</f>
        <v>1882.0802000000003</v>
      </c>
      <c r="CH16" s="77">
        <f>CH15/(SUP_OPEX!$C$43*12)</f>
        <v>1882.0802000000003</v>
      </c>
      <c r="CI16" s="77">
        <f>CI15/(SUP_OPEX!$C$43*12)</f>
        <v>1882.0802000000003</v>
      </c>
      <c r="CJ16" s="77">
        <f>CJ15/(SUP_OPEX!$C$43*12)</f>
        <v>1882.0802000000003</v>
      </c>
      <c r="CK16" s="77">
        <f>CK15/(SUP_OPEX!$C$43*12)</f>
        <v>1882.0802000000003</v>
      </c>
      <c r="CL16" s="77">
        <f>CL15/(SUP_OPEX!$C$43*12)</f>
        <v>1882.0802000000003</v>
      </c>
      <c r="CM16" s="77">
        <f>CM15/(SUP_OPEX!$C$43*12)</f>
        <v>1882.0802000000003</v>
      </c>
      <c r="CN16" s="77">
        <f>CN15/(SUP_OPEX!$C$43*12)</f>
        <v>1882.0802000000003</v>
      </c>
      <c r="CO16" s="77">
        <f>CO15/(SUP_OPEX!$C$43*12)</f>
        <v>1882.0802000000003</v>
      </c>
      <c r="CP16" s="77">
        <f>CP15/(SUP_OPEX!$C$43*12)</f>
        <v>1882.0802000000003</v>
      </c>
      <c r="CQ16" s="77">
        <f>CQ15/(SUP_OPEX!$C$43*12)</f>
        <v>1882.0802000000003</v>
      </c>
      <c r="CR16" s="77">
        <f>CR15/(SUP_OPEX!$C$43*12)</f>
        <v>1882.0802000000003</v>
      </c>
      <c r="CS16" s="77">
        <f>CS15/(SUP_OPEX!$C$43*12)</f>
        <v>1882.0802000000003</v>
      </c>
      <c r="CT16" s="77">
        <f>CT15/(SUP_OPEX!$C$43*12)</f>
        <v>1882.0802000000003</v>
      </c>
      <c r="CU16" s="77">
        <f>CU15/(SUP_OPEX!$C$43*12)</f>
        <v>1882.0802000000003</v>
      </c>
      <c r="CV16" s="77">
        <f>CV15/(SUP_OPEX!$C$43*12)</f>
        <v>1882.0802000000003</v>
      </c>
      <c r="CW16" s="77">
        <f>CW15/(SUP_OPEX!$C$43*12)</f>
        <v>1882.0802000000003</v>
      </c>
      <c r="CX16" s="77">
        <f>CX15/(SUP_OPEX!$C$43*12)</f>
        <v>1882.0802000000003</v>
      </c>
      <c r="CY16" s="77">
        <f>CY15/(SUP_OPEX!$C$43*12)</f>
        <v>1882.0802000000003</v>
      </c>
      <c r="CZ16" s="77">
        <f>CZ15/(SUP_OPEX!$C$43*12)</f>
        <v>1882.0802000000003</v>
      </c>
      <c r="DA16" s="77">
        <f>DA15/(SUP_OPEX!$C$43*12)</f>
        <v>1882.0802000000003</v>
      </c>
      <c r="DB16" s="77">
        <f>DB15/(SUP_OPEX!$C$43*12)</f>
        <v>1882.0802000000003</v>
      </c>
      <c r="DC16" s="77">
        <f>DC15/(SUP_OPEX!$C$43*12)</f>
        <v>1882.0802000000003</v>
      </c>
      <c r="DD16" s="77">
        <f>DD15/(SUP_OPEX!$C$43*12)</f>
        <v>1882.0802000000003</v>
      </c>
      <c r="DE16" s="77">
        <f>DE15/(SUP_OPEX!$C$43*12)</f>
        <v>1882.0802000000003</v>
      </c>
      <c r="DF16" s="77">
        <f>DF15/(SUP_OPEX!$C$43*12)</f>
        <v>1882.0802000000003</v>
      </c>
      <c r="DG16" s="77">
        <f>DG15/(SUP_OPEX!$C$43*12)</f>
        <v>1882.0802000000003</v>
      </c>
      <c r="DH16" s="77">
        <f>DH15/(SUP_OPEX!$C$43*12)</f>
        <v>1882.0802000000003</v>
      </c>
      <c r="DI16" s="77">
        <f>DI15/(SUP_OPEX!$C$43*12)</f>
        <v>1882.0802000000003</v>
      </c>
      <c r="DJ16" s="77">
        <f>DJ15/(SUP_OPEX!$C$43*12)</f>
        <v>1882.0802000000003</v>
      </c>
      <c r="DK16" s="77">
        <f>DK15/(SUP_OPEX!$C$43*12)</f>
        <v>1882.0802000000003</v>
      </c>
      <c r="DL16" s="77">
        <f>DL15/(SUP_OPEX!$C$43*12)</f>
        <v>1882.0802000000003</v>
      </c>
      <c r="DM16" s="77">
        <f>DM15/(SUP_OPEX!$C$43*12)</f>
        <v>1882.0802000000003</v>
      </c>
      <c r="DN16" s="77">
        <f>DN15/(SUP_OPEX!$C$43*12)</f>
        <v>1882.0802000000003</v>
      </c>
      <c r="DO16" s="77">
        <f>DO15/(SUP_OPEX!$C$43*12)</f>
        <v>1882.0802000000003</v>
      </c>
      <c r="DP16" s="77">
        <f>DP15/(SUP_OPEX!$C$43*12)</f>
        <v>1882.0802000000003</v>
      </c>
      <c r="DQ16" s="77">
        <f>DQ15/(SUP_OPEX!$C$43*12)</f>
        <v>1882.0802000000003</v>
      </c>
      <c r="DR16" s="77">
        <f>DR15/(SUP_OPEX!$C$43*12)</f>
        <v>1882.0802000000003</v>
      </c>
      <c r="DS16" s="77">
        <f>DS15/(SUP_OPEX!$C$43*12)</f>
        <v>1882.0802000000003</v>
      </c>
    </row>
    <row r="17" spans="1:123" ht="15" customHeight="1" x14ac:dyDescent="0.2">
      <c r="B17" s="37" t="s">
        <v>910</v>
      </c>
      <c r="D17" s="77">
        <f t="shared" ref="D17:AI17" si="4">D12-D16</f>
        <v>0</v>
      </c>
      <c r="E17" s="77">
        <f t="shared" si="4"/>
        <v>0</v>
      </c>
      <c r="F17" s="77">
        <f t="shared" si="4"/>
        <v>0</v>
      </c>
      <c r="G17" s="77">
        <f t="shared" si="4"/>
        <v>0</v>
      </c>
      <c r="H17" s="77">
        <f t="shared" si="4"/>
        <v>0</v>
      </c>
      <c r="I17" s="77">
        <f t="shared" si="4"/>
        <v>0</v>
      </c>
      <c r="J17" s="77">
        <f t="shared" si="4"/>
        <v>0</v>
      </c>
      <c r="K17" s="77">
        <f t="shared" si="4"/>
        <v>0</v>
      </c>
      <c r="L17" s="77">
        <f t="shared" si="4"/>
        <v>0</v>
      </c>
      <c r="M17" s="77">
        <f t="shared" si="4"/>
        <v>0</v>
      </c>
      <c r="N17" s="77">
        <f t="shared" si="4"/>
        <v>0</v>
      </c>
      <c r="O17" s="77">
        <f t="shared" si="4"/>
        <v>0</v>
      </c>
      <c r="P17" s="77">
        <f t="shared" si="4"/>
        <v>0</v>
      </c>
      <c r="Q17" s="77">
        <f t="shared" si="4"/>
        <v>0</v>
      </c>
      <c r="R17" s="77">
        <f t="shared" si="4"/>
        <v>0</v>
      </c>
      <c r="S17" s="77">
        <f t="shared" si="4"/>
        <v>0</v>
      </c>
      <c r="T17" s="77">
        <f t="shared" si="4"/>
        <v>0</v>
      </c>
      <c r="U17" s="77">
        <f t="shared" si="4"/>
        <v>0</v>
      </c>
      <c r="V17" s="77">
        <f t="shared" si="4"/>
        <v>0</v>
      </c>
      <c r="W17" s="77">
        <f t="shared" si="4"/>
        <v>0</v>
      </c>
      <c r="X17" s="77">
        <f t="shared" si="4"/>
        <v>0</v>
      </c>
      <c r="Y17" s="77">
        <f t="shared" si="4"/>
        <v>-1882.0802000000003</v>
      </c>
      <c r="Z17" s="77">
        <f t="shared" si="4"/>
        <v>-1882.0802000000003</v>
      </c>
      <c r="AA17" s="77">
        <f t="shared" si="4"/>
        <v>-1882.0802000000003</v>
      </c>
      <c r="AB17" s="77">
        <f t="shared" si="4"/>
        <v>-52.080200000000332</v>
      </c>
      <c r="AC17" s="77">
        <f t="shared" si="4"/>
        <v>430.91979999999967</v>
      </c>
      <c r="AD17" s="77">
        <f t="shared" si="4"/>
        <v>913.91979999999967</v>
      </c>
      <c r="AE17" s="77">
        <f t="shared" si="4"/>
        <v>1396.9197999999997</v>
      </c>
      <c r="AF17" s="77">
        <f t="shared" si="4"/>
        <v>1879.9197999999997</v>
      </c>
      <c r="AG17" s="77">
        <f t="shared" si="4"/>
        <v>2362.9197999999997</v>
      </c>
      <c r="AH17" s="77">
        <f t="shared" si="4"/>
        <v>2845.9197999999997</v>
      </c>
      <c r="AI17" s="77">
        <f t="shared" si="4"/>
        <v>3328.9197999999997</v>
      </c>
      <c r="AJ17" s="77">
        <f t="shared" ref="AJ17:BO17" si="5">AJ12-AJ16</f>
        <v>3811.9197999999997</v>
      </c>
      <c r="AK17" s="77">
        <f t="shared" si="5"/>
        <v>4294.9197999999997</v>
      </c>
      <c r="AL17" s="77">
        <f t="shared" si="5"/>
        <v>4777.9197999999997</v>
      </c>
      <c r="AM17" s="77">
        <f t="shared" si="5"/>
        <v>5260.9197999999997</v>
      </c>
      <c r="AN17" s="77">
        <f t="shared" si="5"/>
        <v>5743.9197999999997</v>
      </c>
      <c r="AO17" s="77">
        <f t="shared" si="5"/>
        <v>6226.9197999999997</v>
      </c>
      <c r="AP17" s="77">
        <f t="shared" si="5"/>
        <v>6709.9197999999997</v>
      </c>
      <c r="AQ17" s="77">
        <f t="shared" si="5"/>
        <v>7192.9197999999997</v>
      </c>
      <c r="AR17" s="77">
        <f t="shared" si="5"/>
        <v>7675.9197999999997</v>
      </c>
      <c r="AS17" s="77">
        <f t="shared" si="5"/>
        <v>8158.9197999999997</v>
      </c>
      <c r="AT17" s="77">
        <f t="shared" si="5"/>
        <v>8641.9197999999997</v>
      </c>
      <c r="AU17" s="77">
        <f t="shared" si="5"/>
        <v>9124.9197999999997</v>
      </c>
      <c r="AV17" s="77">
        <f t="shared" si="5"/>
        <v>9607.9197999999997</v>
      </c>
      <c r="AW17" s="77">
        <f t="shared" si="5"/>
        <v>10090.9198</v>
      </c>
      <c r="AX17" s="77">
        <f t="shared" si="5"/>
        <v>10573.9198</v>
      </c>
      <c r="AY17" s="77">
        <f t="shared" si="5"/>
        <v>11056.9198</v>
      </c>
      <c r="AZ17" s="77">
        <f t="shared" si="5"/>
        <v>11539.9198</v>
      </c>
      <c r="BA17" s="77">
        <f t="shared" si="5"/>
        <v>12022.9198</v>
      </c>
      <c r="BB17" s="77">
        <f t="shared" si="5"/>
        <v>12505.9198</v>
      </c>
      <c r="BC17" s="77">
        <f t="shared" si="5"/>
        <v>12988.9198</v>
      </c>
      <c r="BD17" s="77">
        <f t="shared" si="5"/>
        <v>13471.9198</v>
      </c>
      <c r="BE17" s="77">
        <f t="shared" si="5"/>
        <v>13954.9198</v>
      </c>
      <c r="BF17" s="77">
        <f t="shared" si="5"/>
        <v>14437.9198</v>
      </c>
      <c r="BG17" s="77">
        <f t="shared" si="5"/>
        <v>14920.9198</v>
      </c>
      <c r="BH17" s="77">
        <f t="shared" si="5"/>
        <v>15403.9198</v>
      </c>
      <c r="BI17" s="77">
        <f t="shared" si="5"/>
        <v>15886.9198</v>
      </c>
      <c r="BJ17" s="77">
        <f t="shared" si="5"/>
        <v>16369.9198</v>
      </c>
      <c r="BK17" s="77">
        <f t="shared" si="5"/>
        <v>16852.9198</v>
      </c>
      <c r="BL17" s="77">
        <f t="shared" si="5"/>
        <v>17335.9198</v>
      </c>
      <c r="BM17" s="77">
        <f t="shared" si="5"/>
        <v>17818.9198</v>
      </c>
      <c r="BN17" s="77">
        <f t="shared" si="5"/>
        <v>18301.9198</v>
      </c>
      <c r="BO17" s="77">
        <f t="shared" si="5"/>
        <v>18784.9198</v>
      </c>
      <c r="BP17" s="77">
        <f t="shared" ref="BP17:CU17" si="6">BP12-BP16</f>
        <v>19267.9198</v>
      </c>
      <c r="BQ17" s="77">
        <f t="shared" si="6"/>
        <v>19750.9198</v>
      </c>
      <c r="BR17" s="77">
        <f t="shared" si="6"/>
        <v>20233.9198</v>
      </c>
      <c r="BS17" s="77">
        <f t="shared" si="6"/>
        <v>20716.9198</v>
      </c>
      <c r="BT17" s="77">
        <f t="shared" si="6"/>
        <v>21199.9198</v>
      </c>
      <c r="BU17" s="77">
        <f t="shared" si="6"/>
        <v>21682.9198</v>
      </c>
      <c r="BV17" s="77">
        <f t="shared" si="6"/>
        <v>22165.9198</v>
      </c>
      <c r="BW17" s="77">
        <f t="shared" si="6"/>
        <v>22648.9198</v>
      </c>
      <c r="BX17" s="77">
        <f t="shared" si="6"/>
        <v>23131.9198</v>
      </c>
      <c r="BY17" s="77">
        <f t="shared" si="6"/>
        <v>23614.9198</v>
      </c>
      <c r="BZ17" s="77">
        <f t="shared" si="6"/>
        <v>24097.9198</v>
      </c>
      <c r="CA17" s="77">
        <f t="shared" si="6"/>
        <v>24097.9198</v>
      </c>
      <c r="CB17" s="77">
        <f t="shared" si="6"/>
        <v>24097.9198</v>
      </c>
      <c r="CC17" s="77">
        <f t="shared" si="6"/>
        <v>24097.9198</v>
      </c>
      <c r="CD17" s="77">
        <f t="shared" si="6"/>
        <v>24097.9198</v>
      </c>
      <c r="CE17" s="77">
        <f t="shared" si="6"/>
        <v>24097.9198</v>
      </c>
      <c r="CF17" s="77">
        <f t="shared" si="6"/>
        <v>24097.9198</v>
      </c>
      <c r="CG17" s="77">
        <f t="shared" si="6"/>
        <v>24097.9198</v>
      </c>
      <c r="CH17" s="77">
        <f t="shared" si="6"/>
        <v>24097.9198</v>
      </c>
      <c r="CI17" s="77">
        <f t="shared" si="6"/>
        <v>24097.9198</v>
      </c>
      <c r="CJ17" s="77">
        <f t="shared" si="6"/>
        <v>24097.9198</v>
      </c>
      <c r="CK17" s="77">
        <f t="shared" si="6"/>
        <v>24097.9198</v>
      </c>
      <c r="CL17" s="77">
        <f t="shared" si="6"/>
        <v>24097.9198</v>
      </c>
      <c r="CM17" s="77">
        <f t="shared" si="6"/>
        <v>24097.9198</v>
      </c>
      <c r="CN17" s="77">
        <f t="shared" si="6"/>
        <v>24097.9198</v>
      </c>
      <c r="CO17" s="77">
        <f t="shared" si="6"/>
        <v>24097.9198</v>
      </c>
      <c r="CP17" s="77">
        <f t="shared" si="6"/>
        <v>24097.9198</v>
      </c>
      <c r="CQ17" s="77">
        <f t="shared" si="6"/>
        <v>24097.9198</v>
      </c>
      <c r="CR17" s="77">
        <f t="shared" si="6"/>
        <v>24097.9198</v>
      </c>
      <c r="CS17" s="77">
        <f t="shared" si="6"/>
        <v>24097.9198</v>
      </c>
      <c r="CT17" s="77">
        <f t="shared" si="6"/>
        <v>24097.9198</v>
      </c>
      <c r="CU17" s="77">
        <f t="shared" si="6"/>
        <v>24097.9198</v>
      </c>
      <c r="CV17" s="77">
        <f t="shared" ref="CV17:EA17" si="7">CV12-CV16</f>
        <v>24097.9198</v>
      </c>
      <c r="CW17" s="77">
        <f t="shared" si="7"/>
        <v>24097.9198</v>
      </c>
      <c r="CX17" s="77">
        <f t="shared" si="7"/>
        <v>24097.9198</v>
      </c>
      <c r="CY17" s="77">
        <f t="shared" si="7"/>
        <v>24097.9198</v>
      </c>
      <c r="CZ17" s="77">
        <f t="shared" si="7"/>
        <v>24097.9198</v>
      </c>
      <c r="DA17" s="77">
        <f t="shared" si="7"/>
        <v>24097.9198</v>
      </c>
      <c r="DB17" s="77">
        <f t="shared" si="7"/>
        <v>24097.9198</v>
      </c>
      <c r="DC17" s="77">
        <f t="shared" si="7"/>
        <v>24097.9198</v>
      </c>
      <c r="DD17" s="77">
        <f t="shared" si="7"/>
        <v>24097.9198</v>
      </c>
      <c r="DE17" s="77">
        <f t="shared" si="7"/>
        <v>24097.9198</v>
      </c>
      <c r="DF17" s="77">
        <f t="shared" si="7"/>
        <v>24097.9198</v>
      </c>
      <c r="DG17" s="77">
        <f t="shared" si="7"/>
        <v>24097.9198</v>
      </c>
      <c r="DH17" s="77">
        <f t="shared" si="7"/>
        <v>24097.9198</v>
      </c>
      <c r="DI17" s="77">
        <f t="shared" si="7"/>
        <v>24097.9198</v>
      </c>
      <c r="DJ17" s="77">
        <f t="shared" si="7"/>
        <v>24097.9198</v>
      </c>
      <c r="DK17" s="77">
        <f t="shared" si="7"/>
        <v>24097.9198</v>
      </c>
      <c r="DL17" s="77">
        <f t="shared" si="7"/>
        <v>24097.9198</v>
      </c>
      <c r="DM17" s="77">
        <f t="shared" si="7"/>
        <v>24097.9198</v>
      </c>
      <c r="DN17" s="77">
        <f t="shared" si="7"/>
        <v>24097.9198</v>
      </c>
      <c r="DO17" s="77">
        <f t="shared" si="7"/>
        <v>24097.9198</v>
      </c>
      <c r="DP17" s="77">
        <f t="shared" si="7"/>
        <v>24097.9198</v>
      </c>
      <c r="DQ17" s="77">
        <f t="shared" si="7"/>
        <v>24097.9198</v>
      </c>
      <c r="DR17" s="77">
        <f t="shared" si="7"/>
        <v>24097.9198</v>
      </c>
      <c r="DS17" s="77">
        <f t="shared" si="7"/>
        <v>24097.9198</v>
      </c>
    </row>
    <row r="18" spans="1:123" ht="15" customHeight="1" x14ac:dyDescent="0.2">
      <c r="B18" s="37" t="s">
        <v>948</v>
      </c>
      <c r="D18" s="77">
        <f>MAX(0,D17)*SUP_CONTROL!$C$33</f>
        <v>0</v>
      </c>
      <c r="E18" s="77">
        <f>MAX(0,E17)*SUP_CONTROL!$C$33</f>
        <v>0</v>
      </c>
      <c r="F18" s="77">
        <f>MAX(0,F17)*SUP_CONTROL!$C$33</f>
        <v>0</v>
      </c>
      <c r="G18" s="77">
        <f>MAX(0,G17)*SUP_CONTROL!$C$33</f>
        <v>0</v>
      </c>
      <c r="H18" s="77">
        <f>MAX(0,H17)*SUP_CONTROL!$C$33</f>
        <v>0</v>
      </c>
      <c r="I18" s="77">
        <f>MAX(0,I17)*SUP_CONTROL!$C$33</f>
        <v>0</v>
      </c>
      <c r="J18" s="77">
        <f>MAX(0,J17)*SUP_CONTROL!$C$33</f>
        <v>0</v>
      </c>
      <c r="K18" s="77">
        <f>MAX(0,K17)*SUP_CONTROL!$C$33</f>
        <v>0</v>
      </c>
      <c r="L18" s="77">
        <f>MAX(0,L17)*SUP_CONTROL!$C$33</f>
        <v>0</v>
      </c>
      <c r="M18" s="77">
        <f>MAX(0,M17)*SUP_CONTROL!$C$33</f>
        <v>0</v>
      </c>
      <c r="N18" s="77">
        <f>MAX(0,N17)*SUP_CONTROL!$C$33</f>
        <v>0</v>
      </c>
      <c r="O18" s="77">
        <f>MAX(0,O17)*SUP_CONTROL!$C$33</f>
        <v>0</v>
      </c>
      <c r="P18" s="77">
        <f>MAX(0,P17)*SUP_CONTROL!$C$33</f>
        <v>0</v>
      </c>
      <c r="Q18" s="77">
        <f>MAX(0,Q17)*SUP_CONTROL!$C$33</f>
        <v>0</v>
      </c>
      <c r="R18" s="77">
        <f>MAX(0,R17)*SUP_CONTROL!$C$33</f>
        <v>0</v>
      </c>
      <c r="S18" s="77">
        <f>MAX(0,S17)*SUP_CONTROL!$C$33</f>
        <v>0</v>
      </c>
      <c r="T18" s="77">
        <f>MAX(0,T17)*SUP_CONTROL!$C$33</f>
        <v>0</v>
      </c>
      <c r="U18" s="77">
        <f>MAX(0,U17)*SUP_CONTROL!$C$33</f>
        <v>0</v>
      </c>
      <c r="V18" s="77">
        <f>MAX(0,V17)*SUP_CONTROL!$C$33</f>
        <v>0</v>
      </c>
      <c r="W18" s="77">
        <f>MAX(0,W17)*SUP_CONTROL!$C$33</f>
        <v>0</v>
      </c>
      <c r="X18" s="77">
        <f>MAX(0,X17)*SUP_CONTROL!$C$33</f>
        <v>0</v>
      </c>
      <c r="Y18" s="77">
        <f>MAX(0,Y17)*SUP_CONTROL!$C$33</f>
        <v>0</v>
      </c>
      <c r="Z18" s="77">
        <f>MAX(0,Z17)*SUP_CONTROL!$C$33</f>
        <v>0</v>
      </c>
      <c r="AA18" s="77">
        <f>MAX(0,AA17)*SUP_CONTROL!$C$33</f>
        <v>0</v>
      </c>
      <c r="AB18" s="77">
        <f>MAX(0,AB17)*SUP_CONTROL!$C$33</f>
        <v>0</v>
      </c>
      <c r="AC18" s="77">
        <f>MAX(0,AC17)*SUP_CONTROL!$C$33</f>
        <v>146.51273199999989</v>
      </c>
      <c r="AD18" s="77">
        <f>MAX(0,AD17)*SUP_CONTROL!$C$33</f>
        <v>310.73273199999988</v>
      </c>
      <c r="AE18" s="77">
        <f>MAX(0,AE17)*SUP_CONTROL!$C$33</f>
        <v>474.95273199999991</v>
      </c>
      <c r="AF18" s="77">
        <f>MAX(0,AF17)*SUP_CONTROL!$C$33</f>
        <v>639.17273199999988</v>
      </c>
      <c r="AG18" s="77">
        <f>MAX(0,AG17)*SUP_CONTROL!$C$33</f>
        <v>803.39273199999991</v>
      </c>
      <c r="AH18" s="77">
        <f>MAX(0,AH17)*SUP_CONTROL!$C$33</f>
        <v>967.61273199999994</v>
      </c>
      <c r="AI18" s="77">
        <f>MAX(0,AI17)*SUP_CONTROL!$C$33</f>
        <v>1131.8327320000001</v>
      </c>
      <c r="AJ18" s="77">
        <f>MAX(0,AJ17)*SUP_CONTROL!$C$33</f>
        <v>1296.0527319999999</v>
      </c>
      <c r="AK18" s="77">
        <f>MAX(0,AK17)*SUP_CONTROL!$C$33</f>
        <v>1460.2727319999999</v>
      </c>
      <c r="AL18" s="77">
        <f>MAX(0,AL17)*SUP_CONTROL!$C$33</f>
        <v>1624.4927319999999</v>
      </c>
      <c r="AM18" s="77">
        <f>MAX(0,AM17)*SUP_CONTROL!$C$33</f>
        <v>1788.712732</v>
      </c>
      <c r="AN18" s="77">
        <f>MAX(0,AN17)*SUP_CONTROL!$C$33</f>
        <v>1952.932732</v>
      </c>
      <c r="AO18" s="77">
        <f>MAX(0,AO17)*SUP_CONTROL!$C$33</f>
        <v>2117.152732</v>
      </c>
      <c r="AP18" s="77">
        <f>MAX(0,AP17)*SUP_CONTROL!$C$33</f>
        <v>2281.3727320000003</v>
      </c>
      <c r="AQ18" s="77">
        <f>MAX(0,AQ17)*SUP_CONTROL!$C$33</f>
        <v>2445.5927320000001</v>
      </c>
      <c r="AR18" s="77">
        <f>MAX(0,AR17)*SUP_CONTROL!$C$33</f>
        <v>2609.8127319999999</v>
      </c>
      <c r="AS18" s="77">
        <f>MAX(0,AS17)*SUP_CONTROL!$C$33</f>
        <v>2774.0327320000001</v>
      </c>
      <c r="AT18" s="77">
        <f>MAX(0,AT17)*SUP_CONTROL!$C$33</f>
        <v>2938.2527319999999</v>
      </c>
      <c r="AU18" s="77">
        <f>MAX(0,AU17)*SUP_CONTROL!$C$33</f>
        <v>3102.4727320000002</v>
      </c>
      <c r="AV18" s="77">
        <f>MAX(0,AV17)*SUP_CONTROL!$C$33</f>
        <v>3266.692732</v>
      </c>
      <c r="AW18" s="77">
        <f>MAX(0,AW17)*SUP_CONTROL!$C$33</f>
        <v>3430.9127320000002</v>
      </c>
      <c r="AX18" s="77">
        <f>MAX(0,AX17)*SUP_CONTROL!$C$33</f>
        <v>3595.132732</v>
      </c>
      <c r="AY18" s="77">
        <f>MAX(0,AY17)*SUP_CONTROL!$C$33</f>
        <v>3759.3527320000003</v>
      </c>
      <c r="AZ18" s="77">
        <f>MAX(0,AZ17)*SUP_CONTROL!$C$33</f>
        <v>3923.5727320000001</v>
      </c>
      <c r="BA18" s="77">
        <f>MAX(0,BA17)*SUP_CONTROL!$C$33</f>
        <v>4087.7927320000003</v>
      </c>
      <c r="BB18" s="77">
        <f>MAX(0,BB17)*SUP_CONTROL!$C$33</f>
        <v>4252.0127320000001</v>
      </c>
      <c r="BC18" s="77">
        <f>MAX(0,BC17)*SUP_CONTROL!$C$33</f>
        <v>4416.2327320000004</v>
      </c>
      <c r="BD18" s="77">
        <f>MAX(0,BD17)*SUP_CONTROL!$C$33</f>
        <v>4580.4527320000007</v>
      </c>
      <c r="BE18" s="77">
        <f>MAX(0,BE17)*SUP_CONTROL!$C$33</f>
        <v>4744.672732</v>
      </c>
      <c r="BF18" s="77">
        <f>MAX(0,BF17)*SUP_CONTROL!$C$33</f>
        <v>4908.8927320000003</v>
      </c>
      <c r="BG18" s="77">
        <f>MAX(0,BG17)*SUP_CONTROL!$C$33</f>
        <v>5073.1127320000005</v>
      </c>
      <c r="BH18" s="77">
        <f>MAX(0,BH17)*SUP_CONTROL!$C$33</f>
        <v>5237.3327319999999</v>
      </c>
      <c r="BI18" s="77">
        <f>MAX(0,BI17)*SUP_CONTROL!$C$33</f>
        <v>5401.5527320000001</v>
      </c>
      <c r="BJ18" s="77">
        <f>MAX(0,BJ17)*SUP_CONTROL!$C$33</f>
        <v>5565.7727320000004</v>
      </c>
      <c r="BK18" s="77">
        <f>MAX(0,BK17)*SUP_CONTROL!$C$33</f>
        <v>5729.9927320000006</v>
      </c>
      <c r="BL18" s="77">
        <f>MAX(0,BL17)*SUP_CONTROL!$C$33</f>
        <v>5894.212732</v>
      </c>
      <c r="BM18" s="77">
        <f>MAX(0,BM17)*SUP_CONTROL!$C$33</f>
        <v>6058.4327320000002</v>
      </c>
      <c r="BN18" s="77">
        <f>MAX(0,BN17)*SUP_CONTROL!$C$33</f>
        <v>6222.6527320000005</v>
      </c>
      <c r="BO18" s="77">
        <f>MAX(0,BO17)*SUP_CONTROL!$C$33</f>
        <v>6386.8727320000007</v>
      </c>
      <c r="BP18" s="77">
        <f>MAX(0,BP17)*SUP_CONTROL!$C$33</f>
        <v>6551.0927320000001</v>
      </c>
      <c r="BQ18" s="77">
        <f>MAX(0,BQ17)*SUP_CONTROL!$C$33</f>
        <v>6715.3127320000003</v>
      </c>
      <c r="BR18" s="77">
        <f>MAX(0,BR17)*SUP_CONTROL!$C$33</f>
        <v>6879.5327320000006</v>
      </c>
      <c r="BS18" s="77">
        <f>MAX(0,BS17)*SUP_CONTROL!$C$33</f>
        <v>7043.7527320000008</v>
      </c>
      <c r="BT18" s="77">
        <f>MAX(0,BT17)*SUP_CONTROL!$C$33</f>
        <v>7207.9727320000002</v>
      </c>
      <c r="BU18" s="77">
        <f>MAX(0,BU17)*SUP_CONTROL!$C$33</f>
        <v>7372.1927320000004</v>
      </c>
      <c r="BV18" s="77">
        <f>MAX(0,BV17)*SUP_CONTROL!$C$33</f>
        <v>7536.4127320000007</v>
      </c>
      <c r="BW18" s="77">
        <f>MAX(0,BW17)*SUP_CONTROL!$C$33</f>
        <v>7700.632732</v>
      </c>
      <c r="BX18" s="77">
        <f>MAX(0,BX17)*SUP_CONTROL!$C$33</f>
        <v>7864.8527320000003</v>
      </c>
      <c r="BY18" s="77">
        <f>MAX(0,BY17)*SUP_CONTROL!$C$33</f>
        <v>8029.0727320000005</v>
      </c>
      <c r="BZ18" s="77">
        <f>MAX(0,BZ17)*SUP_CONTROL!$C$33</f>
        <v>8193.2927319999999</v>
      </c>
      <c r="CA18" s="77">
        <f>MAX(0,CA17)*SUP_CONTROL!$C$33</f>
        <v>8193.2927319999999</v>
      </c>
      <c r="CB18" s="77">
        <f>MAX(0,CB17)*SUP_CONTROL!$C$33</f>
        <v>8193.2927319999999</v>
      </c>
      <c r="CC18" s="77">
        <f>MAX(0,CC17)*SUP_CONTROL!$C$33</f>
        <v>8193.2927319999999</v>
      </c>
      <c r="CD18" s="77">
        <f>MAX(0,CD17)*SUP_CONTROL!$C$33</f>
        <v>8193.2927319999999</v>
      </c>
      <c r="CE18" s="77">
        <f>MAX(0,CE17)*SUP_CONTROL!$C$33</f>
        <v>8193.2927319999999</v>
      </c>
      <c r="CF18" s="77">
        <f>MAX(0,CF17)*SUP_CONTROL!$C$33</f>
        <v>8193.2927319999999</v>
      </c>
      <c r="CG18" s="77">
        <f>MAX(0,CG17)*SUP_CONTROL!$C$33</f>
        <v>8193.2927319999999</v>
      </c>
      <c r="CH18" s="77">
        <f>MAX(0,CH17)*SUP_CONTROL!$C$33</f>
        <v>8193.2927319999999</v>
      </c>
      <c r="CI18" s="77">
        <f>MAX(0,CI17)*SUP_CONTROL!$C$33</f>
        <v>8193.2927319999999</v>
      </c>
      <c r="CJ18" s="77">
        <f>MAX(0,CJ17)*SUP_CONTROL!$C$33</f>
        <v>8193.2927319999999</v>
      </c>
      <c r="CK18" s="77">
        <f>MAX(0,CK17)*SUP_CONTROL!$C$33</f>
        <v>8193.2927319999999</v>
      </c>
      <c r="CL18" s="77">
        <f>MAX(0,CL17)*SUP_CONTROL!$C$33</f>
        <v>8193.2927319999999</v>
      </c>
      <c r="CM18" s="77">
        <f>MAX(0,CM17)*SUP_CONTROL!$C$33</f>
        <v>8193.2927319999999</v>
      </c>
      <c r="CN18" s="77">
        <f>MAX(0,CN17)*SUP_CONTROL!$C$33</f>
        <v>8193.2927319999999</v>
      </c>
      <c r="CO18" s="77">
        <f>MAX(0,CO17)*SUP_CONTROL!$C$33</f>
        <v>8193.2927319999999</v>
      </c>
      <c r="CP18" s="77">
        <f>MAX(0,CP17)*SUP_CONTROL!$C$33</f>
        <v>8193.2927319999999</v>
      </c>
      <c r="CQ18" s="77">
        <f>MAX(0,CQ17)*SUP_CONTROL!$C$33</f>
        <v>8193.2927319999999</v>
      </c>
      <c r="CR18" s="77">
        <f>MAX(0,CR17)*SUP_CONTROL!$C$33</f>
        <v>8193.2927319999999</v>
      </c>
      <c r="CS18" s="77">
        <f>MAX(0,CS17)*SUP_CONTROL!$C$33</f>
        <v>8193.2927319999999</v>
      </c>
      <c r="CT18" s="77">
        <f>MAX(0,CT17)*SUP_CONTROL!$C$33</f>
        <v>8193.2927319999999</v>
      </c>
      <c r="CU18" s="77">
        <f>MAX(0,CU17)*SUP_CONTROL!$C$33</f>
        <v>8193.2927319999999</v>
      </c>
      <c r="CV18" s="77">
        <f>MAX(0,CV17)*SUP_CONTROL!$C$33</f>
        <v>8193.2927319999999</v>
      </c>
      <c r="CW18" s="77">
        <f>MAX(0,CW17)*SUP_CONTROL!$C$33</f>
        <v>8193.2927319999999</v>
      </c>
      <c r="CX18" s="77">
        <f>MAX(0,CX17)*SUP_CONTROL!$C$33</f>
        <v>8193.2927319999999</v>
      </c>
      <c r="CY18" s="77">
        <f>MAX(0,CY17)*SUP_CONTROL!$C$33</f>
        <v>8193.2927319999999</v>
      </c>
      <c r="CZ18" s="77">
        <f>MAX(0,CZ17)*SUP_CONTROL!$C$33</f>
        <v>8193.2927319999999</v>
      </c>
      <c r="DA18" s="77">
        <f>MAX(0,DA17)*SUP_CONTROL!$C$33</f>
        <v>8193.2927319999999</v>
      </c>
      <c r="DB18" s="77">
        <f>MAX(0,DB17)*SUP_CONTROL!$C$33</f>
        <v>8193.2927319999999</v>
      </c>
      <c r="DC18" s="77">
        <f>MAX(0,DC17)*SUP_CONTROL!$C$33</f>
        <v>8193.2927319999999</v>
      </c>
      <c r="DD18" s="77">
        <f>MAX(0,DD17)*SUP_CONTROL!$C$33</f>
        <v>8193.2927319999999</v>
      </c>
      <c r="DE18" s="77">
        <f>MAX(0,DE17)*SUP_CONTROL!$C$33</f>
        <v>8193.2927319999999</v>
      </c>
      <c r="DF18" s="77">
        <f>MAX(0,DF17)*SUP_CONTROL!$C$33</f>
        <v>8193.2927319999999</v>
      </c>
      <c r="DG18" s="77">
        <f>MAX(0,DG17)*SUP_CONTROL!$C$33</f>
        <v>8193.2927319999999</v>
      </c>
      <c r="DH18" s="77">
        <f>MAX(0,DH17)*SUP_CONTROL!$C$33</f>
        <v>8193.2927319999999</v>
      </c>
      <c r="DI18" s="77">
        <f>MAX(0,DI17)*SUP_CONTROL!$C$33</f>
        <v>8193.2927319999999</v>
      </c>
      <c r="DJ18" s="77">
        <f>MAX(0,DJ17)*SUP_CONTROL!$C$33</f>
        <v>8193.2927319999999</v>
      </c>
      <c r="DK18" s="77">
        <f>MAX(0,DK17)*SUP_CONTROL!$C$33</f>
        <v>8193.2927319999999</v>
      </c>
      <c r="DL18" s="77">
        <f>MAX(0,DL17)*SUP_CONTROL!$C$33</f>
        <v>8193.2927319999999</v>
      </c>
      <c r="DM18" s="77">
        <f>MAX(0,DM17)*SUP_CONTROL!$C$33</f>
        <v>8193.2927319999999</v>
      </c>
      <c r="DN18" s="77">
        <f>MAX(0,DN17)*SUP_CONTROL!$C$33</f>
        <v>8193.2927319999999</v>
      </c>
      <c r="DO18" s="77">
        <f>MAX(0,DO17)*SUP_CONTROL!$C$33</f>
        <v>8193.2927319999999</v>
      </c>
      <c r="DP18" s="77">
        <f>MAX(0,DP17)*SUP_CONTROL!$C$33</f>
        <v>8193.2927319999999</v>
      </c>
      <c r="DQ18" s="77">
        <f>MAX(0,DQ17)*SUP_CONTROL!$C$33</f>
        <v>8193.2927319999999</v>
      </c>
      <c r="DR18" s="77">
        <f>MAX(0,DR17)*SUP_CONTROL!$C$33</f>
        <v>8193.2927319999999</v>
      </c>
      <c r="DS18" s="77">
        <f>MAX(0,DS17)*SUP_CONTROL!$C$33</f>
        <v>8193.2927319999999</v>
      </c>
    </row>
    <row r="19" spans="1:123" ht="15" customHeight="1" x14ac:dyDescent="0.2">
      <c r="B19" s="20" t="s">
        <v>1104</v>
      </c>
      <c r="D19" s="72">
        <f t="shared" ref="D19:AI19" si="8">D12-D18</f>
        <v>0</v>
      </c>
      <c r="E19" s="72">
        <f t="shared" si="8"/>
        <v>0</v>
      </c>
      <c r="F19" s="72">
        <f t="shared" si="8"/>
        <v>0</v>
      </c>
      <c r="G19" s="72">
        <f t="shared" si="8"/>
        <v>0</v>
      </c>
      <c r="H19" s="72">
        <f t="shared" si="8"/>
        <v>0</v>
      </c>
      <c r="I19" s="72">
        <f t="shared" si="8"/>
        <v>0</v>
      </c>
      <c r="J19" s="72">
        <f t="shared" si="8"/>
        <v>0</v>
      </c>
      <c r="K19" s="72">
        <f t="shared" si="8"/>
        <v>0</v>
      </c>
      <c r="L19" s="72">
        <f t="shared" si="8"/>
        <v>0</v>
      </c>
      <c r="M19" s="72">
        <f t="shared" si="8"/>
        <v>0</v>
      </c>
      <c r="N19" s="72">
        <f t="shared" si="8"/>
        <v>0</v>
      </c>
      <c r="O19" s="72">
        <f t="shared" si="8"/>
        <v>0</v>
      </c>
      <c r="P19" s="72">
        <f t="shared" si="8"/>
        <v>0</v>
      </c>
      <c r="Q19" s="72">
        <f t="shared" si="8"/>
        <v>0</v>
      </c>
      <c r="R19" s="72">
        <f t="shared" si="8"/>
        <v>0</v>
      </c>
      <c r="S19" s="72">
        <f t="shared" si="8"/>
        <v>0</v>
      </c>
      <c r="T19" s="72">
        <f t="shared" si="8"/>
        <v>0</v>
      </c>
      <c r="U19" s="72">
        <f t="shared" si="8"/>
        <v>0</v>
      </c>
      <c r="V19" s="72">
        <f t="shared" si="8"/>
        <v>0</v>
      </c>
      <c r="W19" s="72">
        <f t="shared" si="8"/>
        <v>0</v>
      </c>
      <c r="X19" s="72">
        <f t="shared" si="8"/>
        <v>0</v>
      </c>
      <c r="Y19" s="72">
        <f t="shared" si="8"/>
        <v>0</v>
      </c>
      <c r="Z19" s="72">
        <f t="shared" si="8"/>
        <v>0</v>
      </c>
      <c r="AA19" s="72">
        <f t="shared" si="8"/>
        <v>0</v>
      </c>
      <c r="AB19" s="72">
        <f t="shared" si="8"/>
        <v>1830</v>
      </c>
      <c r="AC19" s="72">
        <f t="shared" si="8"/>
        <v>2166.4872680000003</v>
      </c>
      <c r="AD19" s="72">
        <f t="shared" si="8"/>
        <v>2485.2672680000001</v>
      </c>
      <c r="AE19" s="72">
        <f t="shared" si="8"/>
        <v>2804.0472680000003</v>
      </c>
      <c r="AF19" s="72">
        <f t="shared" si="8"/>
        <v>3122.827268</v>
      </c>
      <c r="AG19" s="72">
        <f t="shared" si="8"/>
        <v>3441.6072680000002</v>
      </c>
      <c r="AH19" s="72">
        <f t="shared" si="8"/>
        <v>3760.3872679999999</v>
      </c>
      <c r="AI19" s="72">
        <f t="shared" si="8"/>
        <v>4079.1672680000001</v>
      </c>
      <c r="AJ19" s="72">
        <f t="shared" ref="AJ19:BO19" si="9">AJ12-AJ18</f>
        <v>4397.9472679999999</v>
      </c>
      <c r="AK19" s="72">
        <f t="shared" si="9"/>
        <v>4716.7272680000005</v>
      </c>
      <c r="AL19" s="72">
        <f t="shared" si="9"/>
        <v>5035.5072680000003</v>
      </c>
      <c r="AM19" s="72">
        <f t="shared" si="9"/>
        <v>5354.287268</v>
      </c>
      <c r="AN19" s="72">
        <f t="shared" si="9"/>
        <v>5673.0672679999998</v>
      </c>
      <c r="AO19" s="72">
        <f t="shared" si="9"/>
        <v>5991.8472679999995</v>
      </c>
      <c r="AP19" s="72">
        <f t="shared" si="9"/>
        <v>6310.6272680000002</v>
      </c>
      <c r="AQ19" s="72">
        <f t="shared" si="9"/>
        <v>6629.4072679999999</v>
      </c>
      <c r="AR19" s="72">
        <f t="shared" si="9"/>
        <v>6948.1872679999997</v>
      </c>
      <c r="AS19" s="72">
        <f t="shared" si="9"/>
        <v>7266.9672680000003</v>
      </c>
      <c r="AT19" s="72">
        <f t="shared" si="9"/>
        <v>7585.7472680000001</v>
      </c>
      <c r="AU19" s="72">
        <f t="shared" si="9"/>
        <v>7904.5272679999998</v>
      </c>
      <c r="AV19" s="72">
        <f t="shared" si="9"/>
        <v>8223.3072680000005</v>
      </c>
      <c r="AW19" s="72">
        <f t="shared" si="9"/>
        <v>8542.0872679999993</v>
      </c>
      <c r="AX19" s="72">
        <f t="shared" si="9"/>
        <v>8860.867268</v>
      </c>
      <c r="AY19" s="72">
        <f t="shared" si="9"/>
        <v>9179.6472680000006</v>
      </c>
      <c r="AZ19" s="72">
        <f t="shared" si="9"/>
        <v>9498.4272679999995</v>
      </c>
      <c r="BA19" s="72">
        <f t="shared" si="9"/>
        <v>9817.2072680000001</v>
      </c>
      <c r="BB19" s="72">
        <f t="shared" si="9"/>
        <v>10135.987268000001</v>
      </c>
      <c r="BC19" s="72">
        <f t="shared" si="9"/>
        <v>10454.767268</v>
      </c>
      <c r="BD19" s="72">
        <f t="shared" si="9"/>
        <v>10773.547267999998</v>
      </c>
      <c r="BE19" s="72">
        <f t="shared" si="9"/>
        <v>11092.327268000001</v>
      </c>
      <c r="BF19" s="72">
        <f t="shared" si="9"/>
        <v>11411.107268</v>
      </c>
      <c r="BG19" s="72">
        <f t="shared" si="9"/>
        <v>11729.887267999999</v>
      </c>
      <c r="BH19" s="72">
        <f t="shared" si="9"/>
        <v>12048.667268000001</v>
      </c>
      <c r="BI19" s="72">
        <f t="shared" si="9"/>
        <v>12367.447268</v>
      </c>
      <c r="BJ19" s="72">
        <f t="shared" si="9"/>
        <v>12686.227267999999</v>
      </c>
      <c r="BK19" s="72">
        <f t="shared" si="9"/>
        <v>13005.007267999999</v>
      </c>
      <c r="BL19" s="72">
        <f t="shared" si="9"/>
        <v>13323.787268</v>
      </c>
      <c r="BM19" s="72">
        <f t="shared" si="9"/>
        <v>13642.567267999999</v>
      </c>
      <c r="BN19" s="72">
        <f t="shared" si="9"/>
        <v>13961.347268</v>
      </c>
      <c r="BO19" s="72">
        <f t="shared" si="9"/>
        <v>14280.127268</v>
      </c>
      <c r="BP19" s="72">
        <f t="shared" ref="BP19:CU19" si="10">BP12-BP18</f>
        <v>14598.907267999999</v>
      </c>
      <c r="BQ19" s="72">
        <f t="shared" si="10"/>
        <v>14917.687268</v>
      </c>
      <c r="BR19" s="72">
        <f t="shared" si="10"/>
        <v>15236.467268</v>
      </c>
      <c r="BS19" s="72">
        <f t="shared" si="10"/>
        <v>15555.247267999999</v>
      </c>
      <c r="BT19" s="72">
        <f t="shared" si="10"/>
        <v>15874.027268</v>
      </c>
      <c r="BU19" s="72">
        <f t="shared" si="10"/>
        <v>16192.807268</v>
      </c>
      <c r="BV19" s="72">
        <f t="shared" si="10"/>
        <v>16511.587267999999</v>
      </c>
      <c r="BW19" s="72">
        <f t="shared" si="10"/>
        <v>16830.367268000002</v>
      </c>
      <c r="BX19" s="72">
        <f t="shared" si="10"/>
        <v>17149.147268000001</v>
      </c>
      <c r="BY19" s="72">
        <f t="shared" si="10"/>
        <v>17467.927267999999</v>
      </c>
      <c r="BZ19" s="72">
        <f t="shared" si="10"/>
        <v>17786.707267999998</v>
      </c>
      <c r="CA19" s="72">
        <f t="shared" si="10"/>
        <v>17786.707267999998</v>
      </c>
      <c r="CB19" s="72">
        <f t="shared" si="10"/>
        <v>17786.707267999998</v>
      </c>
      <c r="CC19" s="72">
        <f t="shared" si="10"/>
        <v>17786.707267999998</v>
      </c>
      <c r="CD19" s="72">
        <f t="shared" si="10"/>
        <v>17786.707267999998</v>
      </c>
      <c r="CE19" s="72">
        <f t="shared" si="10"/>
        <v>17786.707267999998</v>
      </c>
      <c r="CF19" s="72">
        <f t="shared" si="10"/>
        <v>17786.707267999998</v>
      </c>
      <c r="CG19" s="72">
        <f t="shared" si="10"/>
        <v>17786.707267999998</v>
      </c>
      <c r="CH19" s="72">
        <f t="shared" si="10"/>
        <v>17786.707267999998</v>
      </c>
      <c r="CI19" s="72">
        <f t="shared" si="10"/>
        <v>17786.707267999998</v>
      </c>
      <c r="CJ19" s="72">
        <f t="shared" si="10"/>
        <v>17786.707267999998</v>
      </c>
      <c r="CK19" s="72">
        <f t="shared" si="10"/>
        <v>17786.707267999998</v>
      </c>
      <c r="CL19" s="72">
        <f t="shared" si="10"/>
        <v>17786.707267999998</v>
      </c>
      <c r="CM19" s="72">
        <f t="shared" si="10"/>
        <v>17786.707267999998</v>
      </c>
      <c r="CN19" s="72">
        <f t="shared" si="10"/>
        <v>17786.707267999998</v>
      </c>
      <c r="CO19" s="72">
        <f t="shared" si="10"/>
        <v>17786.707267999998</v>
      </c>
      <c r="CP19" s="72">
        <f t="shared" si="10"/>
        <v>17786.707267999998</v>
      </c>
      <c r="CQ19" s="72">
        <f t="shared" si="10"/>
        <v>17786.707267999998</v>
      </c>
      <c r="CR19" s="72">
        <f t="shared" si="10"/>
        <v>17786.707267999998</v>
      </c>
      <c r="CS19" s="72">
        <f t="shared" si="10"/>
        <v>17786.707267999998</v>
      </c>
      <c r="CT19" s="72">
        <f t="shared" si="10"/>
        <v>17786.707267999998</v>
      </c>
      <c r="CU19" s="72">
        <f t="shared" si="10"/>
        <v>17786.707267999998</v>
      </c>
      <c r="CV19" s="72">
        <f t="shared" ref="CV19:EA19" si="11">CV12-CV18</f>
        <v>17786.707267999998</v>
      </c>
      <c r="CW19" s="72">
        <f t="shared" si="11"/>
        <v>17786.707267999998</v>
      </c>
      <c r="CX19" s="72">
        <f t="shared" si="11"/>
        <v>17786.707267999998</v>
      </c>
      <c r="CY19" s="72">
        <f t="shared" si="11"/>
        <v>17786.707267999998</v>
      </c>
      <c r="CZ19" s="72">
        <f t="shared" si="11"/>
        <v>17786.707267999998</v>
      </c>
      <c r="DA19" s="72">
        <f t="shared" si="11"/>
        <v>17786.707267999998</v>
      </c>
      <c r="DB19" s="72">
        <f t="shared" si="11"/>
        <v>17786.707267999998</v>
      </c>
      <c r="DC19" s="72">
        <f t="shared" si="11"/>
        <v>17786.707267999998</v>
      </c>
      <c r="DD19" s="72">
        <f t="shared" si="11"/>
        <v>17786.707267999998</v>
      </c>
      <c r="DE19" s="72">
        <f t="shared" si="11"/>
        <v>17786.707267999998</v>
      </c>
      <c r="DF19" s="72">
        <f t="shared" si="11"/>
        <v>17786.707267999998</v>
      </c>
      <c r="DG19" s="72">
        <f t="shared" si="11"/>
        <v>17786.707267999998</v>
      </c>
      <c r="DH19" s="72">
        <f t="shared" si="11"/>
        <v>17786.707267999998</v>
      </c>
      <c r="DI19" s="72">
        <f t="shared" si="11"/>
        <v>17786.707267999998</v>
      </c>
      <c r="DJ19" s="72">
        <f t="shared" si="11"/>
        <v>17786.707267999998</v>
      </c>
      <c r="DK19" s="72">
        <f t="shared" si="11"/>
        <v>17786.707267999998</v>
      </c>
      <c r="DL19" s="72">
        <f t="shared" si="11"/>
        <v>17786.707267999998</v>
      </c>
      <c r="DM19" s="72">
        <f t="shared" si="11"/>
        <v>17786.707267999998</v>
      </c>
      <c r="DN19" s="72">
        <f t="shared" si="11"/>
        <v>17786.707267999998</v>
      </c>
      <c r="DO19" s="72">
        <f t="shared" si="11"/>
        <v>17786.707267999998</v>
      </c>
      <c r="DP19" s="72">
        <f t="shared" si="11"/>
        <v>17786.707267999998</v>
      </c>
      <c r="DQ19" s="72">
        <f t="shared" si="11"/>
        <v>17786.707267999998</v>
      </c>
      <c r="DR19" s="72">
        <f t="shared" si="11"/>
        <v>17786.707267999998</v>
      </c>
      <c r="DS19" s="72">
        <f t="shared" si="11"/>
        <v>17786.707267999998</v>
      </c>
    </row>
    <row r="20" spans="1:123" ht="15" customHeight="1" x14ac:dyDescent="0.2">
      <c r="B20" s="20" t="s">
        <v>949</v>
      </c>
      <c r="D20" s="72">
        <f t="shared" ref="D20:AI20" si="12">D19-D14</f>
        <v>0</v>
      </c>
      <c r="E20" s="72">
        <f t="shared" si="12"/>
        <v>0</v>
      </c>
      <c r="F20" s="72">
        <f t="shared" si="12"/>
        <v>0</v>
      </c>
      <c r="G20" s="72">
        <f t="shared" si="12"/>
        <v>0</v>
      </c>
      <c r="H20" s="72">
        <f t="shared" si="12"/>
        <v>0</v>
      </c>
      <c r="I20" s="72">
        <f t="shared" si="12"/>
        <v>0</v>
      </c>
      <c r="J20" s="72">
        <f t="shared" si="12"/>
        <v>0</v>
      </c>
      <c r="K20" s="72">
        <f t="shared" si="12"/>
        <v>0</v>
      </c>
      <c r="L20" s="72">
        <f t="shared" si="12"/>
        <v>0</v>
      </c>
      <c r="M20" s="72">
        <f t="shared" si="12"/>
        <v>0</v>
      </c>
      <c r="N20" s="72">
        <f t="shared" si="12"/>
        <v>0</v>
      </c>
      <c r="O20" s="72">
        <f t="shared" si="12"/>
        <v>0</v>
      </c>
      <c r="P20" s="72">
        <f t="shared" si="12"/>
        <v>0</v>
      </c>
      <c r="Q20" s="72">
        <f t="shared" si="12"/>
        <v>0</v>
      </c>
      <c r="R20" s="72">
        <f t="shared" si="12"/>
        <v>0</v>
      </c>
      <c r="S20" s="72">
        <f t="shared" si="12"/>
        <v>0</v>
      </c>
      <c r="T20" s="72">
        <f t="shared" si="12"/>
        <v>0</v>
      </c>
      <c r="U20" s="72">
        <f t="shared" si="12"/>
        <v>0</v>
      </c>
      <c r="V20" s="72">
        <f t="shared" si="12"/>
        <v>0</v>
      </c>
      <c r="W20" s="72">
        <f t="shared" si="12"/>
        <v>0</v>
      </c>
      <c r="X20" s="72">
        <f t="shared" si="12"/>
        <v>0</v>
      </c>
      <c r="Y20" s="72">
        <f t="shared" si="12"/>
        <v>-225849.62400000004</v>
      </c>
      <c r="Z20" s="72">
        <f t="shared" si="12"/>
        <v>0</v>
      </c>
      <c r="AA20" s="72">
        <f t="shared" si="12"/>
        <v>0</v>
      </c>
      <c r="AB20" s="72">
        <f t="shared" si="12"/>
        <v>1830</v>
      </c>
      <c r="AC20" s="72">
        <f t="shared" si="12"/>
        <v>2166.4872680000003</v>
      </c>
      <c r="AD20" s="72">
        <f t="shared" si="12"/>
        <v>2485.2672680000001</v>
      </c>
      <c r="AE20" s="72">
        <f t="shared" si="12"/>
        <v>2804.0472680000003</v>
      </c>
      <c r="AF20" s="72">
        <f t="shared" si="12"/>
        <v>3122.827268</v>
      </c>
      <c r="AG20" s="72">
        <f t="shared" si="12"/>
        <v>3441.6072680000002</v>
      </c>
      <c r="AH20" s="72">
        <f t="shared" si="12"/>
        <v>3760.3872679999999</v>
      </c>
      <c r="AI20" s="72">
        <f t="shared" si="12"/>
        <v>4079.1672680000001</v>
      </c>
      <c r="AJ20" s="72">
        <f t="shared" ref="AJ20:BO20" si="13">AJ19-AJ14</f>
        <v>4397.9472679999999</v>
      </c>
      <c r="AK20" s="72">
        <f t="shared" si="13"/>
        <v>4716.7272680000005</v>
      </c>
      <c r="AL20" s="72">
        <f t="shared" si="13"/>
        <v>5035.5072680000003</v>
      </c>
      <c r="AM20" s="72">
        <f t="shared" si="13"/>
        <v>5354.287268</v>
      </c>
      <c r="AN20" s="72">
        <f t="shared" si="13"/>
        <v>5673.0672679999998</v>
      </c>
      <c r="AO20" s="72">
        <f t="shared" si="13"/>
        <v>5991.8472679999995</v>
      </c>
      <c r="AP20" s="72">
        <f t="shared" si="13"/>
        <v>6310.6272680000002</v>
      </c>
      <c r="AQ20" s="72">
        <f t="shared" si="13"/>
        <v>6629.4072679999999</v>
      </c>
      <c r="AR20" s="72">
        <f t="shared" si="13"/>
        <v>6948.1872679999997</v>
      </c>
      <c r="AS20" s="72">
        <f t="shared" si="13"/>
        <v>7266.9672680000003</v>
      </c>
      <c r="AT20" s="72">
        <f t="shared" si="13"/>
        <v>7585.7472680000001</v>
      </c>
      <c r="AU20" s="72">
        <f t="shared" si="13"/>
        <v>7904.5272679999998</v>
      </c>
      <c r="AV20" s="72">
        <f t="shared" si="13"/>
        <v>8223.3072680000005</v>
      </c>
      <c r="AW20" s="72">
        <f t="shared" si="13"/>
        <v>8542.0872679999993</v>
      </c>
      <c r="AX20" s="72">
        <f t="shared" si="13"/>
        <v>8860.867268</v>
      </c>
      <c r="AY20" s="72">
        <f t="shared" si="13"/>
        <v>9179.6472680000006</v>
      </c>
      <c r="AZ20" s="72">
        <f t="shared" si="13"/>
        <v>9498.4272679999995</v>
      </c>
      <c r="BA20" s="72">
        <f t="shared" si="13"/>
        <v>9817.2072680000001</v>
      </c>
      <c r="BB20" s="72">
        <f t="shared" si="13"/>
        <v>10135.987268000001</v>
      </c>
      <c r="BC20" s="72">
        <f t="shared" si="13"/>
        <v>10454.767268</v>
      </c>
      <c r="BD20" s="72">
        <f t="shared" si="13"/>
        <v>10773.547267999998</v>
      </c>
      <c r="BE20" s="72">
        <f t="shared" si="13"/>
        <v>11092.327268000001</v>
      </c>
      <c r="BF20" s="72">
        <f t="shared" si="13"/>
        <v>11411.107268</v>
      </c>
      <c r="BG20" s="72">
        <f t="shared" si="13"/>
        <v>11729.887267999999</v>
      </c>
      <c r="BH20" s="72">
        <f t="shared" si="13"/>
        <v>12048.667268000001</v>
      </c>
      <c r="BI20" s="72">
        <f t="shared" si="13"/>
        <v>12367.447268</v>
      </c>
      <c r="BJ20" s="72">
        <f t="shared" si="13"/>
        <v>12686.227267999999</v>
      </c>
      <c r="BK20" s="72">
        <f t="shared" si="13"/>
        <v>13005.007267999999</v>
      </c>
      <c r="BL20" s="72">
        <f t="shared" si="13"/>
        <v>13323.787268</v>
      </c>
      <c r="BM20" s="72">
        <f t="shared" si="13"/>
        <v>13642.567267999999</v>
      </c>
      <c r="BN20" s="72">
        <f t="shared" si="13"/>
        <v>13961.347268</v>
      </c>
      <c r="BO20" s="72">
        <f t="shared" si="13"/>
        <v>14280.127268</v>
      </c>
      <c r="BP20" s="72">
        <f t="shared" ref="BP20:CU20" si="14">BP19-BP14</f>
        <v>14598.907267999999</v>
      </c>
      <c r="BQ20" s="72">
        <f t="shared" si="14"/>
        <v>14917.687268</v>
      </c>
      <c r="BR20" s="72">
        <f t="shared" si="14"/>
        <v>15236.467268</v>
      </c>
      <c r="BS20" s="72">
        <f t="shared" si="14"/>
        <v>15555.247267999999</v>
      </c>
      <c r="BT20" s="72">
        <f t="shared" si="14"/>
        <v>15874.027268</v>
      </c>
      <c r="BU20" s="72">
        <f t="shared" si="14"/>
        <v>16192.807268</v>
      </c>
      <c r="BV20" s="72">
        <f t="shared" si="14"/>
        <v>16511.587267999999</v>
      </c>
      <c r="BW20" s="72">
        <f t="shared" si="14"/>
        <v>16830.367268000002</v>
      </c>
      <c r="BX20" s="72">
        <f t="shared" si="14"/>
        <v>17149.147268000001</v>
      </c>
      <c r="BY20" s="72">
        <f t="shared" si="14"/>
        <v>17467.927267999999</v>
      </c>
      <c r="BZ20" s="72">
        <f t="shared" si="14"/>
        <v>17786.707267999998</v>
      </c>
      <c r="CA20" s="72">
        <f t="shared" si="14"/>
        <v>17786.707267999998</v>
      </c>
      <c r="CB20" s="72">
        <f t="shared" si="14"/>
        <v>17786.707267999998</v>
      </c>
      <c r="CC20" s="72">
        <f t="shared" si="14"/>
        <v>17786.707267999998</v>
      </c>
      <c r="CD20" s="72">
        <f t="shared" si="14"/>
        <v>17786.707267999998</v>
      </c>
      <c r="CE20" s="72">
        <f t="shared" si="14"/>
        <v>17786.707267999998</v>
      </c>
      <c r="CF20" s="72">
        <f t="shared" si="14"/>
        <v>17786.707267999998</v>
      </c>
      <c r="CG20" s="72">
        <f t="shared" si="14"/>
        <v>17786.707267999998</v>
      </c>
      <c r="CH20" s="72">
        <f t="shared" si="14"/>
        <v>17786.707267999998</v>
      </c>
      <c r="CI20" s="72">
        <f t="shared" si="14"/>
        <v>17786.707267999998</v>
      </c>
      <c r="CJ20" s="72">
        <f t="shared" si="14"/>
        <v>17786.707267999998</v>
      </c>
      <c r="CK20" s="72">
        <f t="shared" si="14"/>
        <v>17786.707267999998</v>
      </c>
      <c r="CL20" s="72">
        <f t="shared" si="14"/>
        <v>17786.707267999998</v>
      </c>
      <c r="CM20" s="72">
        <f t="shared" si="14"/>
        <v>17786.707267999998</v>
      </c>
      <c r="CN20" s="72">
        <f t="shared" si="14"/>
        <v>17786.707267999998</v>
      </c>
      <c r="CO20" s="72">
        <f t="shared" si="14"/>
        <v>17786.707267999998</v>
      </c>
      <c r="CP20" s="72">
        <f t="shared" si="14"/>
        <v>17786.707267999998</v>
      </c>
      <c r="CQ20" s="72">
        <f t="shared" si="14"/>
        <v>17786.707267999998</v>
      </c>
      <c r="CR20" s="72">
        <f t="shared" si="14"/>
        <v>17786.707267999998</v>
      </c>
      <c r="CS20" s="72">
        <f t="shared" si="14"/>
        <v>17786.707267999998</v>
      </c>
      <c r="CT20" s="72">
        <f t="shared" si="14"/>
        <v>17786.707267999998</v>
      </c>
      <c r="CU20" s="72">
        <f t="shared" si="14"/>
        <v>17786.707267999998</v>
      </c>
      <c r="CV20" s="72">
        <f t="shared" ref="CV20:EA20" si="15">CV19-CV14</f>
        <v>17786.707267999998</v>
      </c>
      <c r="CW20" s="72">
        <f t="shared" si="15"/>
        <v>17786.707267999998</v>
      </c>
      <c r="CX20" s="72">
        <f t="shared" si="15"/>
        <v>17786.707267999998</v>
      </c>
      <c r="CY20" s="72">
        <f t="shared" si="15"/>
        <v>17786.707267999998</v>
      </c>
      <c r="CZ20" s="72">
        <f t="shared" si="15"/>
        <v>17786.707267999998</v>
      </c>
      <c r="DA20" s="72">
        <f t="shared" si="15"/>
        <v>17786.707267999998</v>
      </c>
      <c r="DB20" s="72">
        <f t="shared" si="15"/>
        <v>17786.707267999998</v>
      </c>
      <c r="DC20" s="72">
        <f t="shared" si="15"/>
        <v>17786.707267999998</v>
      </c>
      <c r="DD20" s="72">
        <f t="shared" si="15"/>
        <v>17786.707267999998</v>
      </c>
      <c r="DE20" s="72">
        <f t="shared" si="15"/>
        <v>17786.707267999998</v>
      </c>
      <c r="DF20" s="72">
        <f t="shared" si="15"/>
        <v>17786.707267999998</v>
      </c>
      <c r="DG20" s="72">
        <f t="shared" si="15"/>
        <v>17786.707267999998</v>
      </c>
      <c r="DH20" s="72">
        <f t="shared" si="15"/>
        <v>17786.707267999998</v>
      </c>
      <c r="DI20" s="72">
        <f t="shared" si="15"/>
        <v>17786.707267999998</v>
      </c>
      <c r="DJ20" s="72">
        <f t="shared" si="15"/>
        <v>17786.707267999998</v>
      </c>
      <c r="DK20" s="72">
        <f t="shared" si="15"/>
        <v>17786.707267999998</v>
      </c>
      <c r="DL20" s="72">
        <f t="shared" si="15"/>
        <v>17786.707267999998</v>
      </c>
      <c r="DM20" s="72">
        <f t="shared" si="15"/>
        <v>17786.707267999998</v>
      </c>
      <c r="DN20" s="72">
        <f t="shared" si="15"/>
        <v>17786.707267999998</v>
      </c>
      <c r="DO20" s="72">
        <f t="shared" si="15"/>
        <v>17786.707267999998</v>
      </c>
      <c r="DP20" s="72">
        <f t="shared" si="15"/>
        <v>17786.707267999998</v>
      </c>
      <c r="DQ20" s="72">
        <f t="shared" si="15"/>
        <v>17786.707267999998</v>
      </c>
      <c r="DR20" s="72">
        <f t="shared" si="15"/>
        <v>17786.707267999998</v>
      </c>
      <c r="DS20" s="72">
        <f t="shared" si="15"/>
        <v>17786.707267999998</v>
      </c>
    </row>
    <row r="21" spans="1:123" ht="15" customHeight="1" x14ac:dyDescent="0.2">
      <c r="B21" s="37" t="s">
        <v>914</v>
      </c>
      <c r="D21" s="77">
        <f>D20</f>
        <v>0</v>
      </c>
      <c r="E21" s="77">
        <f t="shared" ref="E21:AJ21" si="16">D21+E20</f>
        <v>0</v>
      </c>
      <c r="F21" s="77">
        <f t="shared" si="16"/>
        <v>0</v>
      </c>
      <c r="G21" s="77">
        <f t="shared" si="16"/>
        <v>0</v>
      </c>
      <c r="H21" s="77">
        <f t="shared" si="16"/>
        <v>0</v>
      </c>
      <c r="I21" s="77">
        <f t="shared" si="16"/>
        <v>0</v>
      </c>
      <c r="J21" s="77">
        <f t="shared" si="16"/>
        <v>0</v>
      </c>
      <c r="K21" s="77">
        <f t="shared" si="16"/>
        <v>0</v>
      </c>
      <c r="L21" s="77">
        <f t="shared" si="16"/>
        <v>0</v>
      </c>
      <c r="M21" s="77">
        <f t="shared" si="16"/>
        <v>0</v>
      </c>
      <c r="N21" s="77">
        <f t="shared" si="16"/>
        <v>0</v>
      </c>
      <c r="O21" s="77">
        <f t="shared" si="16"/>
        <v>0</v>
      </c>
      <c r="P21" s="77">
        <f t="shared" si="16"/>
        <v>0</v>
      </c>
      <c r="Q21" s="77">
        <f t="shared" si="16"/>
        <v>0</v>
      </c>
      <c r="R21" s="77">
        <f t="shared" si="16"/>
        <v>0</v>
      </c>
      <c r="S21" s="77">
        <f t="shared" si="16"/>
        <v>0</v>
      </c>
      <c r="T21" s="77">
        <f t="shared" si="16"/>
        <v>0</v>
      </c>
      <c r="U21" s="77">
        <f t="shared" si="16"/>
        <v>0</v>
      </c>
      <c r="V21" s="77">
        <f t="shared" si="16"/>
        <v>0</v>
      </c>
      <c r="W21" s="77">
        <f t="shared" si="16"/>
        <v>0</v>
      </c>
      <c r="X21" s="77">
        <f t="shared" si="16"/>
        <v>0</v>
      </c>
      <c r="Y21" s="77">
        <f t="shared" si="16"/>
        <v>-225849.62400000004</v>
      </c>
      <c r="Z21" s="77">
        <f t="shared" si="16"/>
        <v>-225849.62400000004</v>
      </c>
      <c r="AA21" s="77">
        <f t="shared" si="16"/>
        <v>-225849.62400000004</v>
      </c>
      <c r="AB21" s="77">
        <f t="shared" si="16"/>
        <v>-224019.62400000004</v>
      </c>
      <c r="AC21" s="77">
        <f t="shared" si="16"/>
        <v>-221853.13673200004</v>
      </c>
      <c r="AD21" s="77">
        <f t="shared" si="16"/>
        <v>-219367.86946400005</v>
      </c>
      <c r="AE21" s="77">
        <f t="shared" si="16"/>
        <v>-216563.82219600005</v>
      </c>
      <c r="AF21" s="77">
        <f t="shared" si="16"/>
        <v>-213440.99492800006</v>
      </c>
      <c r="AG21" s="77">
        <f t="shared" si="16"/>
        <v>-209999.38766000007</v>
      </c>
      <c r="AH21" s="77">
        <f t="shared" si="16"/>
        <v>-206239.00039200007</v>
      </c>
      <c r="AI21" s="77">
        <f t="shared" si="16"/>
        <v>-202159.83312400008</v>
      </c>
      <c r="AJ21" s="77">
        <f t="shared" si="16"/>
        <v>-197761.8858560001</v>
      </c>
      <c r="AK21" s="77">
        <f t="shared" ref="AK21:BP21" si="17">AJ21+AK20</f>
        <v>-193045.15858800011</v>
      </c>
      <c r="AL21" s="77">
        <f t="shared" si="17"/>
        <v>-188009.65132000012</v>
      </c>
      <c r="AM21" s="77">
        <f t="shared" si="17"/>
        <v>-182655.36405200011</v>
      </c>
      <c r="AN21" s="77">
        <f t="shared" si="17"/>
        <v>-176982.29678400009</v>
      </c>
      <c r="AO21" s="77">
        <f t="shared" si="17"/>
        <v>-170990.44951600008</v>
      </c>
      <c r="AP21" s="77">
        <f t="shared" si="17"/>
        <v>-164679.82224800007</v>
      </c>
      <c r="AQ21" s="77">
        <f t="shared" si="17"/>
        <v>-158050.41498000006</v>
      </c>
      <c r="AR21" s="77">
        <f t="shared" si="17"/>
        <v>-151102.22771200005</v>
      </c>
      <c r="AS21" s="77">
        <f t="shared" si="17"/>
        <v>-143835.26044400004</v>
      </c>
      <c r="AT21" s="77">
        <f t="shared" si="17"/>
        <v>-136249.51317600004</v>
      </c>
      <c r="AU21" s="77">
        <f t="shared" si="17"/>
        <v>-128344.98590800003</v>
      </c>
      <c r="AV21" s="77">
        <f t="shared" si="17"/>
        <v>-120121.67864000003</v>
      </c>
      <c r="AW21" s="77">
        <f t="shared" si="17"/>
        <v>-111579.59137200002</v>
      </c>
      <c r="AX21" s="77">
        <f t="shared" si="17"/>
        <v>-102718.72410400002</v>
      </c>
      <c r="AY21" s="77">
        <f t="shared" si="17"/>
        <v>-93539.076836000022</v>
      </c>
      <c r="AZ21" s="77">
        <f t="shared" si="17"/>
        <v>-84040.649568000023</v>
      </c>
      <c r="BA21" s="77">
        <f t="shared" si="17"/>
        <v>-74223.442300000024</v>
      </c>
      <c r="BB21" s="77">
        <f t="shared" si="17"/>
        <v>-64087.455032000027</v>
      </c>
      <c r="BC21" s="77">
        <f t="shared" si="17"/>
        <v>-53632.687764000031</v>
      </c>
      <c r="BD21" s="77">
        <f t="shared" si="17"/>
        <v>-42859.140496000036</v>
      </c>
      <c r="BE21" s="77">
        <f t="shared" si="17"/>
        <v>-31766.813228000035</v>
      </c>
      <c r="BF21" s="77">
        <f t="shared" si="17"/>
        <v>-20355.705960000036</v>
      </c>
      <c r="BG21" s="77">
        <f t="shared" si="17"/>
        <v>-8625.8186920000371</v>
      </c>
      <c r="BH21" s="77">
        <f t="shared" si="17"/>
        <v>3422.8485759999639</v>
      </c>
      <c r="BI21" s="77">
        <f t="shared" si="17"/>
        <v>15790.295843999964</v>
      </c>
      <c r="BJ21" s="77">
        <f t="shared" si="17"/>
        <v>28476.523111999963</v>
      </c>
      <c r="BK21" s="77">
        <f t="shared" si="17"/>
        <v>41481.53037999996</v>
      </c>
      <c r="BL21" s="77">
        <f t="shared" si="17"/>
        <v>54805.31764799996</v>
      </c>
      <c r="BM21" s="77">
        <f t="shared" si="17"/>
        <v>68447.884915999952</v>
      </c>
      <c r="BN21" s="77">
        <f t="shared" si="17"/>
        <v>82409.232183999949</v>
      </c>
      <c r="BO21" s="77">
        <f t="shared" si="17"/>
        <v>96689.359451999946</v>
      </c>
      <c r="BP21" s="77">
        <f t="shared" si="17"/>
        <v>111288.26671999994</v>
      </c>
      <c r="BQ21" s="77">
        <f t="shared" ref="BQ21:CV21" si="18">BP21+BQ20</f>
        <v>126205.95398799994</v>
      </c>
      <c r="BR21" s="77">
        <f t="shared" si="18"/>
        <v>141442.42125599994</v>
      </c>
      <c r="BS21" s="77">
        <f t="shared" si="18"/>
        <v>156997.66852399995</v>
      </c>
      <c r="BT21" s="77">
        <f t="shared" si="18"/>
        <v>172871.69579199995</v>
      </c>
      <c r="BU21" s="77">
        <f t="shared" si="18"/>
        <v>189064.50305999996</v>
      </c>
      <c r="BV21" s="77">
        <f t="shared" si="18"/>
        <v>205576.09032799996</v>
      </c>
      <c r="BW21" s="77">
        <f t="shared" si="18"/>
        <v>222406.45759599996</v>
      </c>
      <c r="BX21" s="77">
        <f t="shared" si="18"/>
        <v>239555.60486399996</v>
      </c>
      <c r="BY21" s="77">
        <f t="shared" si="18"/>
        <v>257023.53213199996</v>
      </c>
      <c r="BZ21" s="77">
        <f t="shared" si="18"/>
        <v>274810.23939999996</v>
      </c>
      <c r="CA21" s="77">
        <f t="shared" si="18"/>
        <v>292596.94666799996</v>
      </c>
      <c r="CB21" s="77">
        <f t="shared" si="18"/>
        <v>310383.65393599996</v>
      </c>
      <c r="CC21" s="77">
        <f t="shared" si="18"/>
        <v>328170.36120399996</v>
      </c>
      <c r="CD21" s="77">
        <f t="shared" si="18"/>
        <v>345957.06847199996</v>
      </c>
      <c r="CE21" s="77">
        <f t="shared" si="18"/>
        <v>363743.77573999995</v>
      </c>
      <c r="CF21" s="77">
        <f t="shared" si="18"/>
        <v>381530.48300799995</v>
      </c>
      <c r="CG21" s="77">
        <f t="shared" si="18"/>
        <v>399317.19027599995</v>
      </c>
      <c r="CH21" s="77">
        <f t="shared" si="18"/>
        <v>417103.89754399995</v>
      </c>
      <c r="CI21" s="77">
        <f t="shared" si="18"/>
        <v>434890.60481199995</v>
      </c>
      <c r="CJ21" s="77">
        <f t="shared" si="18"/>
        <v>452677.31207999995</v>
      </c>
      <c r="CK21" s="77">
        <f t="shared" si="18"/>
        <v>470464.01934799994</v>
      </c>
      <c r="CL21" s="77">
        <f t="shared" si="18"/>
        <v>488250.72661599994</v>
      </c>
      <c r="CM21" s="77">
        <f t="shared" si="18"/>
        <v>506037.43388399994</v>
      </c>
      <c r="CN21" s="77">
        <f t="shared" si="18"/>
        <v>523824.14115199994</v>
      </c>
      <c r="CO21" s="77">
        <f t="shared" si="18"/>
        <v>541610.84841999994</v>
      </c>
      <c r="CP21" s="77">
        <f t="shared" si="18"/>
        <v>559397.55568799993</v>
      </c>
      <c r="CQ21" s="77">
        <f t="shared" si="18"/>
        <v>577184.26295599993</v>
      </c>
      <c r="CR21" s="77">
        <f t="shared" si="18"/>
        <v>594970.97022399993</v>
      </c>
      <c r="CS21" s="77">
        <f t="shared" si="18"/>
        <v>612757.67749199993</v>
      </c>
      <c r="CT21" s="77">
        <f t="shared" si="18"/>
        <v>630544.38475999993</v>
      </c>
      <c r="CU21" s="77">
        <f t="shared" si="18"/>
        <v>648331.09202799993</v>
      </c>
      <c r="CV21" s="77">
        <f t="shared" si="18"/>
        <v>666117.79929599992</v>
      </c>
      <c r="CW21" s="77">
        <f t="shared" ref="CW21:EB21" si="19">CV21+CW20</f>
        <v>683904.50656399992</v>
      </c>
      <c r="CX21" s="77">
        <f t="shared" si="19"/>
        <v>701691.21383199992</v>
      </c>
      <c r="CY21" s="77">
        <f t="shared" si="19"/>
        <v>719477.92109999992</v>
      </c>
      <c r="CZ21" s="77">
        <f t="shared" si="19"/>
        <v>737264.62836799992</v>
      </c>
      <c r="DA21" s="77">
        <f t="shared" si="19"/>
        <v>755051.33563599992</v>
      </c>
      <c r="DB21" s="77">
        <f t="shared" si="19"/>
        <v>772838.04290399991</v>
      </c>
      <c r="DC21" s="77">
        <f t="shared" si="19"/>
        <v>790624.75017199991</v>
      </c>
      <c r="DD21" s="77">
        <f t="shared" si="19"/>
        <v>808411.45743999991</v>
      </c>
      <c r="DE21" s="77">
        <f t="shared" si="19"/>
        <v>826198.16470799991</v>
      </c>
      <c r="DF21" s="77">
        <f t="shared" si="19"/>
        <v>843984.87197599991</v>
      </c>
      <c r="DG21" s="77">
        <f t="shared" si="19"/>
        <v>861771.57924399991</v>
      </c>
      <c r="DH21" s="77">
        <f t="shared" si="19"/>
        <v>879558.2865119999</v>
      </c>
      <c r="DI21" s="77">
        <f t="shared" si="19"/>
        <v>897344.9937799999</v>
      </c>
      <c r="DJ21" s="77">
        <f t="shared" si="19"/>
        <v>915131.7010479999</v>
      </c>
      <c r="DK21" s="77">
        <f t="shared" si="19"/>
        <v>932918.4083159999</v>
      </c>
      <c r="DL21" s="77">
        <f t="shared" si="19"/>
        <v>950705.1155839999</v>
      </c>
      <c r="DM21" s="77">
        <f t="shared" si="19"/>
        <v>968491.8228519999</v>
      </c>
      <c r="DN21" s="77">
        <f t="shared" si="19"/>
        <v>986278.53011999989</v>
      </c>
      <c r="DO21" s="77">
        <f t="shared" si="19"/>
        <v>1004065.2373879999</v>
      </c>
      <c r="DP21" s="77">
        <f t="shared" si="19"/>
        <v>1021851.9446559999</v>
      </c>
      <c r="DQ21" s="77">
        <f t="shared" si="19"/>
        <v>1039638.6519239999</v>
      </c>
      <c r="DR21" s="77">
        <f t="shared" si="19"/>
        <v>1057425.3591919998</v>
      </c>
      <c r="DS21" s="77">
        <f t="shared" si="19"/>
        <v>1075212.0664599999</v>
      </c>
    </row>
    <row r="22" spans="1:123" ht="15" customHeight="1" x14ac:dyDescent="0.2">
      <c r="B22" s="37" t="s">
        <v>915</v>
      </c>
      <c r="D22" s="77">
        <f>D20/(1+SUP_CONTROL!$C$32)^D4</f>
        <v>0</v>
      </c>
      <c r="E22" s="77">
        <f>E20/(1+SUP_CONTROL!$C$32)^E4</f>
        <v>0</v>
      </c>
      <c r="F22" s="77">
        <f>F20/(1+SUP_CONTROL!$C$32)^F4</f>
        <v>0</v>
      </c>
      <c r="G22" s="77">
        <f>G20/(1+SUP_CONTROL!$C$32)^G4</f>
        <v>0</v>
      </c>
      <c r="H22" s="77">
        <f>H20/(1+SUP_CONTROL!$C$32)^H4</f>
        <v>0</v>
      </c>
      <c r="I22" s="77">
        <f>I20/(1+SUP_CONTROL!$C$32)^I4</f>
        <v>0</v>
      </c>
      <c r="J22" s="77">
        <f>J20/(1+SUP_CONTROL!$C$32)^J4</f>
        <v>0</v>
      </c>
      <c r="K22" s="77">
        <f>K20/(1+SUP_CONTROL!$C$32)^K4</f>
        <v>0</v>
      </c>
      <c r="L22" s="77">
        <f>L20/(1+SUP_CONTROL!$C$32)^L4</f>
        <v>0</v>
      </c>
      <c r="M22" s="77">
        <f>M20/(1+SUP_CONTROL!$C$32)^M4</f>
        <v>0</v>
      </c>
      <c r="N22" s="77">
        <f>N20/(1+SUP_CONTROL!$C$32)^N4</f>
        <v>0</v>
      </c>
      <c r="O22" s="77">
        <f>O20/(1+SUP_CONTROL!$C$32)^O4</f>
        <v>0</v>
      </c>
      <c r="P22" s="77">
        <f>P20/(1+SUP_CONTROL!$C$32)^P4</f>
        <v>0</v>
      </c>
      <c r="Q22" s="77">
        <f>Q20/(1+SUP_CONTROL!$C$32)^Q4</f>
        <v>0</v>
      </c>
      <c r="R22" s="77">
        <f>R20/(1+SUP_CONTROL!$C$32)^R4</f>
        <v>0</v>
      </c>
      <c r="S22" s="77">
        <f>S20/(1+SUP_CONTROL!$C$32)^S4</f>
        <v>0</v>
      </c>
      <c r="T22" s="77">
        <f>T20/(1+SUP_CONTROL!$C$32)^T4</f>
        <v>0</v>
      </c>
      <c r="U22" s="77">
        <f>U20/(1+SUP_CONTROL!$C$32)^U4</f>
        <v>0</v>
      </c>
      <c r="V22" s="77">
        <f>V20/(1+SUP_CONTROL!$C$32)^V4</f>
        <v>0</v>
      </c>
      <c r="W22" s="77">
        <f>W20/(1+SUP_CONTROL!$C$32)^W4</f>
        <v>0</v>
      </c>
      <c r="X22" s="77">
        <f>X20/(1+SUP_CONTROL!$C$32)^X4</f>
        <v>0</v>
      </c>
      <c r="Y22" s="77">
        <f>Y20/(1+SUP_CONTROL!$C$32)^Y4</f>
        <v>-150020.64028571112</v>
      </c>
      <c r="Z22" s="77">
        <f>Z20/(1+SUP_CONTROL!$C$32)^Z4</f>
        <v>0</v>
      </c>
      <c r="AA22" s="77">
        <f>AA20/(1+SUP_CONTROL!$C$32)^AA4</f>
        <v>0</v>
      </c>
      <c r="AB22" s="77">
        <f>AB20/(1+SUP_CONTROL!$C$32)^AB4</f>
        <v>1149.6224317881349</v>
      </c>
      <c r="AC22" s="77">
        <f>AC20/(1+SUP_CONTROL!$C$32)^AC4</f>
        <v>1335.9322876144086</v>
      </c>
      <c r="AD22" s="77">
        <f>AD20/(1+SUP_CONTROL!$C$32)^AD4</f>
        <v>1504.2692254983936</v>
      </c>
      <c r="AE22" s="77">
        <f>AE20/(1+SUP_CONTROL!$C$32)^AE4</f>
        <v>1665.9500144731112</v>
      </c>
      <c r="AF22" s="77">
        <f>AF20/(1+SUP_CONTROL!$C$32)^AF4</f>
        <v>1821.1627756205919</v>
      </c>
      <c r="AG22" s="77">
        <f>AG20/(1+SUP_CONTROL!$C$32)^AG4</f>
        <v>1970.0909575949597</v>
      </c>
      <c r="AH22" s="77">
        <f>AH20/(1+SUP_CONTROL!$C$32)^AH4</f>
        <v>2112.9134449342432</v>
      </c>
      <c r="AI22" s="77">
        <f>AI20/(1+SUP_CONTROL!$C$32)^AI4</f>
        <v>2249.8046639671693</v>
      </c>
      <c r="AJ22" s="77">
        <f>AJ20/(1+SUP_CONTROL!$C$32)^AJ4</f>
        <v>2380.9346863667815</v>
      </c>
      <c r="AK22" s="77">
        <f>AK20/(1+SUP_CONTROL!$C$32)^AK4</f>
        <v>2506.4693304016555</v>
      </c>
      <c r="AL22" s="77">
        <f>AL20/(1+SUP_CONTROL!$C$32)^AL4</f>
        <v>2626.5702599343836</v>
      </c>
      <c r="AM22" s="77">
        <f>AM20/(1+SUP_CONTROL!$C$32)^AM4</f>
        <v>2741.3950812159896</v>
      </c>
      <c r="AN22" s="77">
        <f>AN20/(1+SUP_CONTROL!$C$32)^AN4</f>
        <v>2851.0974375238566</v>
      </c>
      <c r="AO22" s="77">
        <f>AO20/(1+SUP_CONTROL!$C$32)^AO4</f>
        <v>2955.827101689802</v>
      </c>
      <c r="AP22" s="77">
        <f>AP20/(1+SUP_CONTROL!$C$32)^AP4</f>
        <v>3055.7300665638959</v>
      </c>
      <c r="AQ22" s="77">
        <f>AQ20/(1+SUP_CONTROL!$C$32)^AQ4</f>
        <v>3150.948633458695</v>
      </c>
      <c r="AR22" s="77">
        <f>AR20/(1+SUP_CONTROL!$C$32)^AR4</f>
        <v>3241.6214986175846</v>
      </c>
      <c r="AS22" s="77">
        <f>AS20/(1+SUP_CONTROL!$C$32)^AS4</f>
        <v>3327.8838377500383</v>
      </c>
      <c r="AT22" s="77">
        <f>AT20/(1+SUP_CONTROL!$C$32)^AT4</f>
        <v>3409.867388675646</v>
      </c>
      <c r="AU22" s="77">
        <f>AU20/(1+SUP_CONTROL!$C$32)^AU4</f>
        <v>3487.7005321179281</v>
      </c>
      <c r="AV22" s="77">
        <f>AV20/(1+SUP_CONTROL!$C$32)^AV4</f>
        <v>3561.5083706880378</v>
      </c>
      <c r="AW22" s="77">
        <f>AW20/(1+SUP_CONTROL!$C$32)^AW4</f>
        <v>3631.4128060976423</v>
      </c>
      <c r="AX22" s="77">
        <f>AX20/(1+SUP_CONTROL!$C$32)^AX4</f>
        <v>3697.5326146394195</v>
      </c>
      <c r="AY22" s="77">
        <f>AY20/(1+SUP_CONTROL!$C$32)^AY4</f>
        <v>3759.9835209727803</v>
      </c>
      <c r="AZ22" s="77">
        <f>AZ20/(1+SUP_CONTROL!$C$32)^AZ4</f>
        <v>3818.8782702516669</v>
      </c>
      <c r="BA22" s="77">
        <f>BA20/(1+SUP_CONTROL!$C$32)^BA4</f>
        <v>3874.3266986304584</v>
      </c>
      <c r="BB22" s="77">
        <f>BB20/(1+SUP_CONTROL!$C$32)^BB4</f>
        <v>3926.4358021832591</v>
      </c>
      <c r="BC22" s="77">
        <f>BC20/(1+SUP_CONTROL!$C$32)^BC4</f>
        <v>3975.3098042711163</v>
      </c>
      <c r="BD22" s="77">
        <f>BD20/(1+SUP_CONTROL!$C$32)^BD4</f>
        <v>4021.0502213909522</v>
      </c>
      <c r="BE22" s="77">
        <f>BE20/(1+SUP_CONTROL!$C$32)^BE4</f>
        <v>4063.7559275392841</v>
      </c>
      <c r="BF22" s="77">
        <f>BF20/(1+SUP_CONTROL!$C$32)^BF4</f>
        <v>4103.5232171231146</v>
      </c>
      <c r="BG22" s="77">
        <f>BG20/(1+SUP_CONTROL!$C$32)^BG4</f>
        <v>4140.4458664496933</v>
      </c>
      <c r="BH22" s="77">
        <f>BH20/(1+SUP_CONTROL!$C$32)^BH4</f>
        <v>4174.6151938261164</v>
      </c>
      <c r="BI22" s="77">
        <f>BI20/(1+SUP_CONTROL!$C$32)^BI4</f>
        <v>4206.1201182991663</v>
      </c>
      <c r="BJ22" s="77">
        <f>BJ20/(1+SUP_CONTROL!$C$32)^BJ4</f>
        <v>4235.0472170650619</v>
      </c>
      <c r="BK22" s="77">
        <f>BK20/(1+SUP_CONTROL!$C$32)^BK4</f>
        <v>4261.4807815782124</v>
      </c>
      <c r="BL22" s="77">
        <f>BL20/(1+SUP_CONTROL!$C$32)^BL4</f>
        <v>4285.5028723873966</v>
      </c>
      <c r="BM22" s="77">
        <f>BM20/(1+SUP_CONTROL!$C$32)^BM4</f>
        <v>4307.1933727272562</v>
      </c>
      <c r="BN22" s="77">
        <f>BN20/(1+SUP_CONTROL!$C$32)^BN4</f>
        <v>4326.6300408923171</v>
      </c>
      <c r="BO22" s="77">
        <f>BO20/(1+SUP_CONTROL!$C$32)^BO4</f>
        <v>4343.88856142022</v>
      </c>
      <c r="BP22" s="77">
        <f>BP20/(1+SUP_CONTROL!$C$32)^BP4</f>
        <v>4359.042595110267</v>
      </c>
      <c r="BQ22" s="77">
        <f>BQ20/(1+SUP_CONTROL!$C$32)^BQ4</f>
        <v>4372.1638279028257</v>
      </c>
      <c r="BR22" s="77">
        <f>BR20/(1+SUP_CONTROL!$C$32)^BR4</f>
        <v>4383.3220186445669</v>
      </c>
      <c r="BS22" s="77">
        <f>BS20/(1+SUP_CONTROL!$C$32)^BS4</f>
        <v>4392.5850457640317</v>
      </c>
      <c r="BT22" s="77">
        <f>BT20/(1+SUP_CONTROL!$C$32)^BT4</f>
        <v>4400.018952881439</v>
      </c>
      <c r="BU22" s="77">
        <f>BU20/(1+SUP_CONTROL!$C$32)^BU4</f>
        <v>4405.687993376172</v>
      </c>
      <c r="BV22" s="77">
        <f>BV20/(1+SUP_CONTROL!$C$32)^BV4</f>
        <v>4409.6546739348687</v>
      </c>
      <c r="BW22" s="77">
        <f>BW20/(1+SUP_CONTROL!$C$32)^BW4</f>
        <v>4411.9797971025582</v>
      </c>
      <c r="BX22" s="77">
        <f>BX20/(1+SUP_CONTROL!$C$32)^BX4</f>
        <v>4412.7225028587654</v>
      </c>
      <c r="BY22" s="77">
        <f>BY20/(1+SUP_CONTROL!$C$32)^BY4</f>
        <v>4411.9403092401153</v>
      </c>
      <c r="BZ22" s="77">
        <f>BZ20/(1+SUP_CONTROL!$C$32)^BZ4</f>
        <v>4409.6891520304189</v>
      </c>
      <c r="CA22" s="77">
        <f>CA20/(1+SUP_CONTROL!$C$32)^CA4</f>
        <v>4328.4473756719453</v>
      </c>
      <c r="CB22" s="77">
        <f>CB20/(1+SUP_CONTROL!$C$32)^CB4</f>
        <v>4248.7023547532144</v>
      </c>
      <c r="CC22" s="77">
        <f>CC20/(1+SUP_CONTROL!$C$32)^CC4</f>
        <v>4170.4265138450965</v>
      </c>
      <c r="CD22" s="77">
        <f>CD20/(1+SUP_CONTROL!$C$32)^CD4</f>
        <v>4093.5927855535579</v>
      </c>
      <c r="CE22" s="77">
        <f>CE20/(1+SUP_CONTROL!$C$32)^CE4</f>
        <v>4018.1746011598852</v>
      </c>
      <c r="CF22" s="77">
        <f>CF20/(1+SUP_CONTROL!$C$32)^CF4</f>
        <v>3944.1458814333664</v>
      </c>
      <c r="CG22" s="77">
        <f>CG20/(1+SUP_CONTROL!$C$32)^CG4</f>
        <v>3871.481027613213</v>
      </c>
      <c r="CH22" s="77">
        <f>CH20/(1+SUP_CONTROL!$C$32)^CH4</f>
        <v>3800.154912556643</v>
      </c>
      <c r="CI22" s="77">
        <f>CI20/(1+SUP_CONTROL!$C$32)^CI4</f>
        <v>3730.1428720500394</v>
      </c>
      <c r="CJ22" s="77">
        <f>CJ20/(1+SUP_CONTROL!$C$32)^CJ4</f>
        <v>3661.4206962801873</v>
      </c>
      <c r="CK22" s="77">
        <f>CK20/(1+SUP_CONTROL!$C$32)^CK4</f>
        <v>3593.9646214626418</v>
      </c>
      <c r="CL22" s="77">
        <f>CL20/(1+SUP_CONTROL!$C$32)^CL4</f>
        <v>3527.7513216243301</v>
      </c>
      <c r="CM22" s="77">
        <f>CM20/(1+SUP_CONTROL!$C$32)^CM4</f>
        <v>3462.7579005375514</v>
      </c>
      <c r="CN22" s="77">
        <f>CN20/(1+SUP_CONTROL!$C$32)^CN4</f>
        <v>3398.9618838025672</v>
      </c>
      <c r="CO22" s="77">
        <f>CO20/(1+SUP_CONTROL!$C$32)^CO4</f>
        <v>3336.3412110760737</v>
      </c>
      <c r="CP22" s="77">
        <f>CP20/(1+SUP_CONTROL!$C$32)^CP4</f>
        <v>3274.8742284428413</v>
      </c>
      <c r="CQ22" s="77">
        <f>CQ20/(1+SUP_CONTROL!$C$32)^CQ4</f>
        <v>3214.5396809279041</v>
      </c>
      <c r="CR22" s="77">
        <f>CR20/(1+SUP_CONTROL!$C$32)^CR4</f>
        <v>3155.3167051466885</v>
      </c>
      <c r="CS22" s="77">
        <f>CS20/(1+SUP_CONTROL!$C$32)^CS4</f>
        <v>3097.1848220905663</v>
      </c>
      <c r="CT22" s="77">
        <f>CT20/(1+SUP_CONTROL!$C$32)^CT4</f>
        <v>3040.1239300453103</v>
      </c>
      <c r="CU22" s="77">
        <f>CU20/(1+SUP_CONTROL!$C$32)^CU4</f>
        <v>2984.1142976400279</v>
      </c>
      <c r="CV22" s="77">
        <f>CV20/(1+SUP_CONTROL!$C$32)^CV4</f>
        <v>2929.136557024146</v>
      </c>
      <c r="CW22" s="77">
        <f>CW20/(1+SUP_CONTROL!$C$32)^CW4</f>
        <v>2875.1716971701094</v>
      </c>
      <c r="CX22" s="77">
        <f>CX20/(1+SUP_CONTROL!$C$32)^CX4</f>
        <v>2822.2010572994604</v>
      </c>
      <c r="CY22" s="77">
        <f>CY20/(1+SUP_CONTROL!$C$32)^CY4</f>
        <v>2770.2063204300375</v>
      </c>
      <c r="CZ22" s="77">
        <f>CZ20/(1+SUP_CONTROL!$C$32)^CZ4</f>
        <v>2719.1695070420501</v>
      </c>
      <c r="DA22" s="77">
        <f>DA20/(1+SUP_CONTROL!$C$32)^DA4</f>
        <v>2669.0729688608553</v>
      </c>
      <c r="DB22" s="77">
        <f>DB20/(1+SUP_CONTROL!$C$32)^DB4</f>
        <v>2619.8993827542695</v>
      </c>
      <c r="DC22" s="77">
        <f>DC20/(1+SUP_CONTROL!$C$32)^DC4</f>
        <v>2571.6317447423203</v>
      </c>
      <c r="DD22" s="77">
        <f>DD20/(1+SUP_CONTROL!$C$32)^DD4</f>
        <v>2524.2533641173477</v>
      </c>
      <c r="DE22" s="77">
        <f>DE20/(1+SUP_CONTROL!$C$32)^DE4</f>
        <v>2477.7478576724498</v>
      </c>
      <c r="DF22" s="77">
        <f>DF20/(1+SUP_CONTROL!$C$32)^DF4</f>
        <v>2432.099144036245</v>
      </c>
      <c r="DG22" s="77">
        <f>DG20/(1+SUP_CONTROL!$C$32)^DG4</f>
        <v>2387.2914381120195</v>
      </c>
      <c r="DH22" s="77">
        <f>DH20/(1+SUP_CONTROL!$C$32)^DH4</f>
        <v>2343.309245619314</v>
      </c>
      <c r="DI22" s="77">
        <f>DI20/(1+SUP_CONTROL!$C$32)^DI4</f>
        <v>2300.1373577360846</v>
      </c>
      <c r="DJ22" s="77">
        <f>DJ20/(1+SUP_CONTROL!$C$32)^DJ4</f>
        <v>2257.7608458395653</v>
      </c>
      <c r="DK22" s="77">
        <f>DK20/(1+SUP_CONTROL!$C$32)^DK4</f>
        <v>2216.1650563440267</v>
      </c>
      <c r="DL22" s="77">
        <f>DL20/(1+SUP_CONTROL!$C$32)^DL4</f>
        <v>2175.335605633637</v>
      </c>
      <c r="DM22" s="77">
        <f>DM20/(1+SUP_CONTROL!$C$32)^DM4</f>
        <v>2135.2583750886811</v>
      </c>
      <c r="DN22" s="77">
        <f>DN20/(1+SUP_CONTROL!$C$32)^DN4</f>
        <v>2095.9195062034132</v>
      </c>
      <c r="DO22" s="77">
        <f>DO20/(1+SUP_CONTROL!$C$32)^DO4</f>
        <v>2057.3053957938532</v>
      </c>
      <c r="DP22" s="77">
        <f>DP20/(1+SUP_CONTROL!$C$32)^DP4</f>
        <v>2019.4026912938755</v>
      </c>
      <c r="DQ22" s="77">
        <f>DQ20/(1+SUP_CONTROL!$C$32)^DQ4</f>
        <v>1982.1982861379574</v>
      </c>
      <c r="DR22" s="77">
        <f>DR20/(1+SUP_CONTROL!$C$32)^DR4</f>
        <v>1945.6793152289933</v>
      </c>
      <c r="DS22" s="77">
        <f>DS20/(1+SUP_CONTROL!$C$32)^DS4</f>
        <v>1909.833150489613</v>
      </c>
    </row>
    <row r="23" spans="1:123" ht="15" customHeight="1" x14ac:dyDescent="0.2">
      <c r="B23" s="37" t="s">
        <v>916</v>
      </c>
      <c r="D23" s="77">
        <f>D22</f>
        <v>0</v>
      </c>
      <c r="E23" s="77">
        <f t="shared" ref="E23:AJ23" si="20">D23+E22</f>
        <v>0</v>
      </c>
      <c r="F23" s="77">
        <f t="shared" si="20"/>
        <v>0</v>
      </c>
      <c r="G23" s="77">
        <f t="shared" si="20"/>
        <v>0</v>
      </c>
      <c r="H23" s="77">
        <f t="shared" si="20"/>
        <v>0</v>
      </c>
      <c r="I23" s="77">
        <f t="shared" si="20"/>
        <v>0</v>
      </c>
      <c r="J23" s="77">
        <f t="shared" si="20"/>
        <v>0</v>
      </c>
      <c r="K23" s="77">
        <f t="shared" si="20"/>
        <v>0</v>
      </c>
      <c r="L23" s="77">
        <f t="shared" si="20"/>
        <v>0</v>
      </c>
      <c r="M23" s="77">
        <f t="shared" si="20"/>
        <v>0</v>
      </c>
      <c r="N23" s="77">
        <f t="shared" si="20"/>
        <v>0</v>
      </c>
      <c r="O23" s="77">
        <f t="shared" si="20"/>
        <v>0</v>
      </c>
      <c r="P23" s="77">
        <f t="shared" si="20"/>
        <v>0</v>
      </c>
      <c r="Q23" s="77">
        <f t="shared" si="20"/>
        <v>0</v>
      </c>
      <c r="R23" s="77">
        <f t="shared" si="20"/>
        <v>0</v>
      </c>
      <c r="S23" s="77">
        <f t="shared" si="20"/>
        <v>0</v>
      </c>
      <c r="T23" s="77">
        <f t="shared" si="20"/>
        <v>0</v>
      </c>
      <c r="U23" s="77">
        <f t="shared" si="20"/>
        <v>0</v>
      </c>
      <c r="V23" s="77">
        <f t="shared" si="20"/>
        <v>0</v>
      </c>
      <c r="W23" s="77">
        <f t="shared" si="20"/>
        <v>0</v>
      </c>
      <c r="X23" s="77">
        <f t="shared" si="20"/>
        <v>0</v>
      </c>
      <c r="Y23" s="77">
        <f t="shared" si="20"/>
        <v>-150020.64028571112</v>
      </c>
      <c r="Z23" s="77">
        <f t="shared" si="20"/>
        <v>-150020.64028571112</v>
      </c>
      <c r="AA23" s="77">
        <f t="shared" si="20"/>
        <v>-150020.64028571112</v>
      </c>
      <c r="AB23" s="77">
        <f t="shared" si="20"/>
        <v>-148871.017853923</v>
      </c>
      <c r="AC23" s="77">
        <f t="shared" si="20"/>
        <v>-147535.08556630858</v>
      </c>
      <c r="AD23" s="77">
        <f t="shared" si="20"/>
        <v>-146030.81634081018</v>
      </c>
      <c r="AE23" s="77">
        <f t="shared" si="20"/>
        <v>-144364.86632633707</v>
      </c>
      <c r="AF23" s="77">
        <f t="shared" si="20"/>
        <v>-142543.70355071648</v>
      </c>
      <c r="AG23" s="77">
        <f t="shared" si="20"/>
        <v>-140573.61259312154</v>
      </c>
      <c r="AH23" s="77">
        <f t="shared" si="20"/>
        <v>-138460.6991481873</v>
      </c>
      <c r="AI23" s="77">
        <f t="shared" si="20"/>
        <v>-136210.89448422013</v>
      </c>
      <c r="AJ23" s="77">
        <f t="shared" si="20"/>
        <v>-133829.95979785334</v>
      </c>
      <c r="AK23" s="77">
        <f t="shared" ref="AK23:BP23" si="21">AJ23+AK22</f>
        <v>-131323.49046745169</v>
      </c>
      <c r="AL23" s="77">
        <f t="shared" si="21"/>
        <v>-128696.92020751731</v>
      </c>
      <c r="AM23" s="77">
        <f t="shared" si="21"/>
        <v>-125955.52512630132</v>
      </c>
      <c r="AN23" s="77">
        <f t="shared" si="21"/>
        <v>-123104.42768877746</v>
      </c>
      <c r="AO23" s="77">
        <f t="shared" si="21"/>
        <v>-120148.60058708765</v>
      </c>
      <c r="AP23" s="77">
        <f t="shared" si="21"/>
        <v>-117092.87052052376</v>
      </c>
      <c r="AQ23" s="77">
        <f t="shared" si="21"/>
        <v>-113941.92188706507</v>
      </c>
      <c r="AR23" s="77">
        <f t="shared" si="21"/>
        <v>-110700.30038844747</v>
      </c>
      <c r="AS23" s="77">
        <f t="shared" si="21"/>
        <v>-107372.41655069744</v>
      </c>
      <c r="AT23" s="77">
        <f t="shared" si="21"/>
        <v>-103962.54916202179</v>
      </c>
      <c r="AU23" s="77">
        <f t="shared" si="21"/>
        <v>-100474.84862990386</v>
      </c>
      <c r="AV23" s="77">
        <f t="shared" si="21"/>
        <v>-96913.340259215824</v>
      </c>
      <c r="AW23" s="77">
        <f t="shared" si="21"/>
        <v>-93281.927453118187</v>
      </c>
      <c r="AX23" s="77">
        <f t="shared" si="21"/>
        <v>-89584.394838478765</v>
      </c>
      <c r="AY23" s="77">
        <f t="shared" si="21"/>
        <v>-85824.41131750599</v>
      </c>
      <c r="AZ23" s="77">
        <f t="shared" si="21"/>
        <v>-82005.533047254328</v>
      </c>
      <c r="BA23" s="77">
        <f t="shared" si="21"/>
        <v>-78131.206348623877</v>
      </c>
      <c r="BB23" s="77">
        <f t="shared" si="21"/>
        <v>-74204.770546440617</v>
      </c>
      <c r="BC23" s="77">
        <f t="shared" si="21"/>
        <v>-70229.460742169496</v>
      </c>
      <c r="BD23" s="77">
        <f t="shared" si="21"/>
        <v>-66208.410520778547</v>
      </c>
      <c r="BE23" s="77">
        <f t="shared" si="21"/>
        <v>-62144.654593239262</v>
      </c>
      <c r="BF23" s="77">
        <f t="shared" si="21"/>
        <v>-58041.131376116144</v>
      </c>
      <c r="BG23" s="77">
        <f t="shared" si="21"/>
        <v>-53900.685509666451</v>
      </c>
      <c r="BH23" s="77">
        <f t="shared" si="21"/>
        <v>-49726.070315840334</v>
      </c>
      <c r="BI23" s="77">
        <f t="shared" si="21"/>
        <v>-45519.950197541169</v>
      </c>
      <c r="BJ23" s="77">
        <f t="shared" si="21"/>
        <v>-41284.902980476108</v>
      </c>
      <c r="BK23" s="77">
        <f t="shared" si="21"/>
        <v>-37023.422198897897</v>
      </c>
      <c r="BL23" s="77">
        <f t="shared" si="21"/>
        <v>-32737.919326510499</v>
      </c>
      <c r="BM23" s="77">
        <f t="shared" si="21"/>
        <v>-28430.725953783243</v>
      </c>
      <c r="BN23" s="77">
        <f t="shared" si="21"/>
        <v>-24104.095912890927</v>
      </c>
      <c r="BO23" s="77">
        <f t="shared" si="21"/>
        <v>-19760.207351470708</v>
      </c>
      <c r="BP23" s="77">
        <f t="shared" si="21"/>
        <v>-15401.164756360442</v>
      </c>
      <c r="BQ23" s="77">
        <f t="shared" ref="BQ23:CV23" si="22">BP23+BQ22</f>
        <v>-11029.000928457615</v>
      </c>
      <c r="BR23" s="77">
        <f t="shared" si="22"/>
        <v>-6645.6789098130484</v>
      </c>
      <c r="BS23" s="77">
        <f t="shared" si="22"/>
        <v>-2253.0938640490167</v>
      </c>
      <c r="BT23" s="77">
        <f t="shared" si="22"/>
        <v>2146.9250888324223</v>
      </c>
      <c r="BU23" s="77">
        <f t="shared" si="22"/>
        <v>6552.6130822085943</v>
      </c>
      <c r="BV23" s="77">
        <f t="shared" si="22"/>
        <v>10962.267756143463</v>
      </c>
      <c r="BW23" s="77">
        <f t="shared" si="22"/>
        <v>15374.247553246021</v>
      </c>
      <c r="BX23" s="77">
        <f t="shared" si="22"/>
        <v>19786.970056104787</v>
      </c>
      <c r="BY23" s="77">
        <f t="shared" si="22"/>
        <v>24198.910365344902</v>
      </c>
      <c r="BZ23" s="77">
        <f t="shared" si="22"/>
        <v>28608.599517375322</v>
      </c>
      <c r="CA23" s="77">
        <f t="shared" si="22"/>
        <v>32937.046893047271</v>
      </c>
      <c r="CB23" s="77">
        <f t="shared" si="22"/>
        <v>37185.749247800486</v>
      </c>
      <c r="CC23" s="77">
        <f t="shared" si="22"/>
        <v>41356.17576164558</v>
      </c>
      <c r="CD23" s="77">
        <f t="shared" si="22"/>
        <v>45449.768547199135</v>
      </c>
      <c r="CE23" s="77">
        <f t="shared" si="22"/>
        <v>49467.943148359023</v>
      </c>
      <c r="CF23" s="77">
        <f t="shared" si="22"/>
        <v>53412.089029792391</v>
      </c>
      <c r="CG23" s="77">
        <f t="shared" si="22"/>
        <v>57283.570057405603</v>
      </c>
      <c r="CH23" s="77">
        <f t="shared" si="22"/>
        <v>61083.724969962248</v>
      </c>
      <c r="CI23" s="77">
        <f t="shared" si="22"/>
        <v>64813.867842012289</v>
      </c>
      <c r="CJ23" s="77">
        <f t="shared" si="22"/>
        <v>68475.288538292472</v>
      </c>
      <c r="CK23" s="77">
        <f t="shared" si="22"/>
        <v>72069.253159755113</v>
      </c>
      <c r="CL23" s="77">
        <f t="shared" si="22"/>
        <v>75597.004481379437</v>
      </c>
      <c r="CM23" s="77">
        <f t="shared" si="22"/>
        <v>79059.762381916982</v>
      </c>
      <c r="CN23" s="77">
        <f t="shared" si="22"/>
        <v>82458.724265719546</v>
      </c>
      <c r="CO23" s="77">
        <f t="shared" si="22"/>
        <v>85795.065476795615</v>
      </c>
      <c r="CP23" s="77">
        <f t="shared" si="22"/>
        <v>89069.939705238459</v>
      </c>
      <c r="CQ23" s="77">
        <f t="shared" si="22"/>
        <v>92284.479386166364</v>
      </c>
      <c r="CR23" s="77">
        <f t="shared" si="22"/>
        <v>95439.796091313052</v>
      </c>
      <c r="CS23" s="77">
        <f t="shared" si="22"/>
        <v>98536.980913403619</v>
      </c>
      <c r="CT23" s="77">
        <f t="shared" si="22"/>
        <v>101577.10484344893</v>
      </c>
      <c r="CU23" s="77">
        <f t="shared" si="22"/>
        <v>104561.21914108896</v>
      </c>
      <c r="CV23" s="77">
        <f t="shared" si="22"/>
        <v>107490.35569811311</v>
      </c>
      <c r="CW23" s="77">
        <f t="shared" ref="CW23:EB23" si="23">CV23+CW22</f>
        <v>110365.52739528322</v>
      </c>
      <c r="CX23" s="77">
        <f t="shared" si="23"/>
        <v>113187.72845258268</v>
      </c>
      <c r="CY23" s="77">
        <f t="shared" si="23"/>
        <v>115957.93477301272</v>
      </c>
      <c r="CZ23" s="77">
        <f t="shared" si="23"/>
        <v>118677.10428005477</v>
      </c>
      <c r="DA23" s="77">
        <f t="shared" si="23"/>
        <v>121346.17724891563</v>
      </c>
      <c r="DB23" s="77">
        <f t="shared" si="23"/>
        <v>123966.0766316699</v>
      </c>
      <c r="DC23" s="77">
        <f t="shared" si="23"/>
        <v>126537.70837641222</v>
      </c>
      <c r="DD23" s="77">
        <f t="shared" si="23"/>
        <v>129061.96174052957</v>
      </c>
      <c r="DE23" s="77">
        <f t="shared" si="23"/>
        <v>131539.70959820203</v>
      </c>
      <c r="DF23" s="77">
        <f t="shared" si="23"/>
        <v>133971.80874223827</v>
      </c>
      <c r="DG23" s="77">
        <f t="shared" si="23"/>
        <v>136359.10018035027</v>
      </c>
      <c r="DH23" s="77">
        <f t="shared" si="23"/>
        <v>138702.40942596958</v>
      </c>
      <c r="DI23" s="77">
        <f t="shared" si="23"/>
        <v>141002.54678370568</v>
      </c>
      <c r="DJ23" s="77">
        <f t="shared" si="23"/>
        <v>143260.30762954525</v>
      </c>
      <c r="DK23" s="77">
        <f t="shared" si="23"/>
        <v>145476.47268588928</v>
      </c>
      <c r="DL23" s="77">
        <f t="shared" si="23"/>
        <v>147651.80829152293</v>
      </c>
      <c r="DM23" s="77">
        <f t="shared" si="23"/>
        <v>149787.06666661162</v>
      </c>
      <c r="DN23" s="77">
        <f t="shared" si="23"/>
        <v>151882.98617281503</v>
      </c>
      <c r="DO23" s="77">
        <f t="shared" si="23"/>
        <v>153940.29156860887</v>
      </c>
      <c r="DP23" s="77">
        <f t="shared" si="23"/>
        <v>155959.69425990275</v>
      </c>
      <c r="DQ23" s="77">
        <f t="shared" si="23"/>
        <v>157941.8925460407</v>
      </c>
      <c r="DR23" s="77">
        <f t="shared" si="23"/>
        <v>159887.57186126971</v>
      </c>
      <c r="DS23" s="77">
        <f t="shared" si="23"/>
        <v>161797.40501175931</v>
      </c>
    </row>
    <row r="25" spans="1:123" ht="15" customHeight="1" x14ac:dyDescent="0.2">
      <c r="A25" s="25" t="s">
        <v>1105</v>
      </c>
      <c r="B25" s="26"/>
      <c r="C25" s="26"/>
    </row>
    <row r="26" spans="1:123" ht="15" customHeight="1" x14ac:dyDescent="0.2">
      <c r="B26" s="20" t="s">
        <v>1106</v>
      </c>
      <c r="C26" s="72">
        <f>SUP_C4_RETAIL!$C$12</f>
        <v>225849.62400000004</v>
      </c>
    </row>
    <row r="27" spans="1:123" ht="15" customHeight="1" x14ac:dyDescent="0.2">
      <c r="B27" s="20" t="s">
        <v>955</v>
      </c>
      <c r="C27" s="72">
        <f>NPV(SUP_CONTROL!$C$32,D20:DS20)</f>
        <v>161797.40501175966</v>
      </c>
    </row>
    <row r="28" spans="1:123" ht="15" customHeight="1" x14ac:dyDescent="0.2">
      <c r="B28" s="20" t="s">
        <v>1107</v>
      </c>
      <c r="C28" s="76">
        <f>IFERROR((1+IRR(D20:DS20,0.01))^12-1,"n/a")</f>
        <v>0.52172991748129216</v>
      </c>
    </row>
    <row r="29" spans="1:123" ht="15" customHeight="1" x14ac:dyDescent="0.2">
      <c r="B29" s="20" t="s">
        <v>953</v>
      </c>
      <c r="C29" s="83">
        <f>IF(COUNTIF(D21:DS21,"&lt;0")&gt;=120,"no recupera",COUNTIF(D21:DS21,"&lt;0")+1)</f>
        <v>36</v>
      </c>
    </row>
    <row r="30" spans="1:123" ht="15" customHeight="1" x14ac:dyDescent="0.2">
      <c r="B30" s="20" t="s">
        <v>954</v>
      </c>
      <c r="C30" s="83">
        <f>IF(COUNTIF(D23:DS23,"&lt;0")&gt;=120,"no recupera",COUNTIF(D23:DS23,"&lt;0")+1)</f>
        <v>48</v>
      </c>
    </row>
    <row r="31" spans="1:123" ht="15" customHeight="1" x14ac:dyDescent="0.2">
      <c r="B31" s="20" t="s">
        <v>1108</v>
      </c>
      <c r="C31" s="83">
        <f>DS7</f>
        <v>30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BF8F00"/>
  </sheetPr>
  <dimension ref="A1:DS73"/>
  <sheetViews>
    <sheetView zoomScaleNormal="100" workbookViewId="0"/>
  </sheetViews>
  <sheetFormatPr baseColWidth="10" defaultColWidth="8.6640625" defaultRowHeight="15" x14ac:dyDescent="0.2"/>
  <cols>
    <col min="1" max="1" width="4" customWidth="1"/>
    <col min="2" max="2" width="56" customWidth="1"/>
    <col min="3" max="3" width="26.1640625" bestFit="1" customWidth="1"/>
    <col min="4" max="123" width="10" customWidth="1"/>
  </cols>
  <sheetData>
    <row r="1" spans="1:123" ht="15" customHeight="1" x14ac:dyDescent="0.2">
      <c r="A1" s="24" t="s">
        <v>1109</v>
      </c>
      <c r="B1" s="14"/>
      <c r="C1" s="14"/>
      <c r="D1" s="14"/>
      <c r="E1" s="14"/>
      <c r="F1" s="14"/>
      <c r="G1" s="14"/>
      <c r="H1" s="14"/>
      <c r="I1" s="14"/>
    </row>
    <row r="2" spans="1:123" ht="15" customHeight="1" x14ac:dyDescent="0.2">
      <c r="A2" s="23" t="s">
        <v>1110</v>
      </c>
    </row>
    <row r="3" spans="1:123" ht="15" customHeight="1" x14ac:dyDescent="0.2">
      <c r="A3" s="23" t="s">
        <v>89</v>
      </c>
    </row>
    <row r="4" spans="1:123" ht="15" customHeight="1" x14ac:dyDescent="0.2">
      <c r="B4" s="20" t="s">
        <v>632</v>
      </c>
      <c r="D4" s="87">
        <v>1</v>
      </c>
      <c r="E4" s="87">
        <v>2</v>
      </c>
      <c r="F4" s="87">
        <v>3</v>
      </c>
      <c r="G4" s="87">
        <v>4</v>
      </c>
      <c r="H4" s="87">
        <v>5</v>
      </c>
      <c r="I4" s="87">
        <v>6</v>
      </c>
      <c r="J4" s="87">
        <v>7</v>
      </c>
      <c r="K4" s="87">
        <v>8</v>
      </c>
      <c r="L4" s="87">
        <v>9</v>
      </c>
      <c r="M4" s="87">
        <v>10</v>
      </c>
      <c r="N4" s="87">
        <v>11</v>
      </c>
      <c r="O4" s="87">
        <v>12</v>
      </c>
      <c r="P4" s="87">
        <v>13</v>
      </c>
      <c r="Q4" s="87">
        <v>14</v>
      </c>
      <c r="R4" s="87">
        <v>15</v>
      </c>
      <c r="S4" s="87">
        <v>16</v>
      </c>
      <c r="T4" s="87">
        <v>17</v>
      </c>
      <c r="U4" s="87">
        <v>18</v>
      </c>
      <c r="V4" s="87">
        <v>19</v>
      </c>
      <c r="W4" s="87">
        <v>20</v>
      </c>
      <c r="X4" s="87">
        <v>21</v>
      </c>
      <c r="Y4" s="87">
        <v>22</v>
      </c>
      <c r="Z4" s="87">
        <v>23</v>
      </c>
      <c r="AA4" s="87">
        <v>24</v>
      </c>
      <c r="AB4" s="87">
        <v>25</v>
      </c>
      <c r="AC4" s="87">
        <v>26</v>
      </c>
      <c r="AD4" s="87">
        <v>27</v>
      </c>
      <c r="AE4" s="87">
        <v>28</v>
      </c>
      <c r="AF4" s="87">
        <v>29</v>
      </c>
      <c r="AG4" s="87">
        <v>30</v>
      </c>
      <c r="AH4" s="87">
        <v>31</v>
      </c>
      <c r="AI4" s="87">
        <v>32</v>
      </c>
      <c r="AJ4" s="87">
        <v>33</v>
      </c>
      <c r="AK4" s="87">
        <v>34</v>
      </c>
      <c r="AL4" s="87">
        <v>35</v>
      </c>
      <c r="AM4" s="87">
        <v>36</v>
      </c>
      <c r="AN4" s="87">
        <v>37</v>
      </c>
      <c r="AO4" s="87">
        <v>38</v>
      </c>
      <c r="AP4" s="87">
        <v>39</v>
      </c>
      <c r="AQ4" s="87">
        <v>40</v>
      </c>
      <c r="AR4" s="87">
        <v>41</v>
      </c>
      <c r="AS4" s="87">
        <v>42</v>
      </c>
      <c r="AT4" s="87">
        <v>43</v>
      </c>
      <c r="AU4" s="87">
        <v>44</v>
      </c>
      <c r="AV4" s="87">
        <v>45</v>
      </c>
      <c r="AW4" s="87">
        <v>46</v>
      </c>
      <c r="AX4" s="87">
        <v>47</v>
      </c>
      <c r="AY4" s="87">
        <v>48</v>
      </c>
      <c r="AZ4" s="87">
        <v>49</v>
      </c>
      <c r="BA4" s="87">
        <v>50</v>
      </c>
      <c r="BB4" s="87">
        <v>51</v>
      </c>
      <c r="BC4" s="87">
        <v>52</v>
      </c>
      <c r="BD4" s="87">
        <v>53</v>
      </c>
      <c r="BE4" s="87">
        <v>54</v>
      </c>
      <c r="BF4" s="87">
        <v>55</v>
      </c>
      <c r="BG4" s="87">
        <v>56</v>
      </c>
      <c r="BH4" s="87">
        <v>57</v>
      </c>
      <c r="BI4" s="87">
        <v>58</v>
      </c>
      <c r="BJ4" s="87">
        <v>59</v>
      </c>
      <c r="BK4" s="87">
        <v>60</v>
      </c>
      <c r="BL4" s="87">
        <v>61</v>
      </c>
      <c r="BM4" s="87">
        <v>62</v>
      </c>
      <c r="BN4" s="87">
        <v>63</v>
      </c>
      <c r="BO4" s="87">
        <v>64</v>
      </c>
      <c r="BP4" s="87">
        <v>65</v>
      </c>
      <c r="BQ4" s="87">
        <v>66</v>
      </c>
      <c r="BR4" s="87">
        <v>67</v>
      </c>
      <c r="BS4" s="87">
        <v>68</v>
      </c>
      <c r="BT4" s="87">
        <v>69</v>
      </c>
      <c r="BU4" s="87">
        <v>70</v>
      </c>
      <c r="BV4" s="87">
        <v>71</v>
      </c>
      <c r="BW4" s="87">
        <v>72</v>
      </c>
      <c r="BX4" s="87">
        <v>73</v>
      </c>
      <c r="BY4" s="87">
        <v>74</v>
      </c>
      <c r="BZ4" s="87">
        <v>75</v>
      </c>
      <c r="CA4" s="87">
        <v>76</v>
      </c>
      <c r="CB4" s="87">
        <v>77</v>
      </c>
      <c r="CC4" s="87">
        <v>78</v>
      </c>
      <c r="CD4" s="87">
        <v>79</v>
      </c>
      <c r="CE4" s="87">
        <v>80</v>
      </c>
      <c r="CF4" s="87">
        <v>81</v>
      </c>
      <c r="CG4" s="87">
        <v>82</v>
      </c>
      <c r="CH4" s="87">
        <v>83</v>
      </c>
      <c r="CI4" s="87">
        <v>84</v>
      </c>
      <c r="CJ4" s="87">
        <v>85</v>
      </c>
      <c r="CK4" s="87">
        <v>86</v>
      </c>
      <c r="CL4" s="87">
        <v>87</v>
      </c>
      <c r="CM4" s="87">
        <v>88</v>
      </c>
      <c r="CN4" s="87">
        <v>89</v>
      </c>
      <c r="CO4" s="87">
        <v>90</v>
      </c>
      <c r="CP4" s="87">
        <v>91</v>
      </c>
      <c r="CQ4" s="87">
        <v>92</v>
      </c>
      <c r="CR4" s="87">
        <v>93</v>
      </c>
      <c r="CS4" s="87">
        <v>94</v>
      </c>
      <c r="CT4" s="87">
        <v>95</v>
      </c>
      <c r="CU4" s="87">
        <v>96</v>
      </c>
      <c r="CV4" s="87">
        <v>97</v>
      </c>
      <c r="CW4" s="87">
        <v>98</v>
      </c>
      <c r="CX4" s="87">
        <v>99</v>
      </c>
      <c r="CY4" s="87">
        <v>100</v>
      </c>
      <c r="CZ4" s="87">
        <v>101</v>
      </c>
      <c r="DA4" s="87">
        <v>102</v>
      </c>
      <c r="DB4" s="87">
        <v>103</v>
      </c>
      <c r="DC4" s="87">
        <v>104</v>
      </c>
      <c r="DD4" s="87">
        <v>105</v>
      </c>
      <c r="DE4" s="87">
        <v>106</v>
      </c>
      <c r="DF4" s="87">
        <v>107</v>
      </c>
      <c r="DG4" s="87">
        <v>108</v>
      </c>
      <c r="DH4" s="87">
        <v>109</v>
      </c>
      <c r="DI4" s="87">
        <v>110</v>
      </c>
      <c r="DJ4" s="87">
        <v>111</v>
      </c>
      <c r="DK4" s="87">
        <v>112</v>
      </c>
      <c r="DL4" s="87">
        <v>113</v>
      </c>
      <c r="DM4" s="87">
        <v>114</v>
      </c>
      <c r="DN4" s="87">
        <v>115</v>
      </c>
      <c r="DO4" s="87">
        <v>116</v>
      </c>
      <c r="DP4" s="87">
        <v>117</v>
      </c>
      <c r="DQ4" s="87">
        <v>118</v>
      </c>
      <c r="DR4" s="87">
        <v>119</v>
      </c>
      <c r="DS4" s="87">
        <v>120</v>
      </c>
    </row>
    <row r="6" spans="1:123" ht="15" customHeight="1" x14ac:dyDescent="0.2">
      <c r="B6" s="37" t="s">
        <v>1111</v>
      </c>
      <c r="D6" s="77">
        <f>SUP_CONTROL!$C$11*CAPA1_PILOTO!D33</f>
        <v>-567244.15466666664</v>
      </c>
      <c r="E6" s="77">
        <f>SUP_CONTROL!$C$11*CAPA1_PILOTO!E33</f>
        <v>-444359.15466666664</v>
      </c>
      <c r="F6" s="77">
        <f>SUP_CONTROL!$C$11*CAPA1_PILOTO!F33</f>
        <v>-399359.15466666664</v>
      </c>
      <c r="G6" s="77">
        <f>SUP_CONTROL!$C$11*CAPA1_PILOTO!G33</f>
        <v>-264390.70874903636</v>
      </c>
      <c r="H6" s="77">
        <f>SUP_CONTROL!$C$11*CAPA1_PILOTO!H33</f>
        <v>-288287.31593536626</v>
      </c>
      <c r="I6" s="77">
        <f>SUP_CONTROL!$C$11*CAPA1_PILOTO!I33</f>
        <v>10386.91392405441</v>
      </c>
      <c r="J6" s="77">
        <f>SUP_CONTROL!$C$11*CAPA1_PILOTO!J33</f>
        <v>15729.789836990494</v>
      </c>
      <c r="K6" s="77">
        <f>SUP_CONTROL!$C$11*CAPA1_PILOTO!K33</f>
        <v>23296.136047573047</v>
      </c>
      <c r="L6" s="77">
        <f>SUP_CONTROL!$C$11*CAPA1_PILOTO!L33</f>
        <v>63632.83278784815</v>
      </c>
      <c r="M6" s="77">
        <f>SUP_CONTROL!$C$11*CAPA1_PILOTO!M33</f>
        <v>61582.91677248395</v>
      </c>
      <c r="N6" s="77">
        <f>SUP_CONTROL!$C$11*CAPA1_PILOTO!N33</f>
        <v>55182.91677248395</v>
      </c>
      <c r="O6" s="77">
        <f>SUP_CONTROL!$C$11*CAPA1_PILOTO!O33</f>
        <v>55182.91677248395</v>
      </c>
      <c r="P6" s="77">
        <f>SUP_CONTROL!$C$11*CAPA1_PILOTO!P33</f>
        <v>58326.444877464273</v>
      </c>
      <c r="Q6" s="77">
        <f>SUP_CONTROL!$C$11*CAPA1_PILOTO!Q33</f>
        <v>58326.444877464273</v>
      </c>
      <c r="R6" s="77">
        <f>SUP_CONTROL!$C$11*CAPA1_PILOTO!R33</f>
        <v>58326.444877464273</v>
      </c>
      <c r="S6" s="77">
        <f>SUP_CONTROL!$C$11*CAPA1_PILOTO!S33</f>
        <v>58326.444877464273</v>
      </c>
      <c r="T6" s="77">
        <f>SUP_CONTROL!$C$11*CAPA1_PILOTO!T33</f>
        <v>58732.976582821415</v>
      </c>
      <c r="U6" s="77">
        <f>SUP_CONTROL!$C$11*CAPA1_PILOTO!U33</f>
        <v>58820.376890284781</v>
      </c>
      <c r="V6" s="77">
        <f>SUP_CONTROL!$C$11*CAPA1_PILOTO!V33</f>
        <v>59225.787955024512</v>
      </c>
      <c r="W6" s="77">
        <f>SUP_CONTROL!$C$11*CAPA1_PILOTO!W33</f>
        <v>59652.152850076629</v>
      </c>
      <c r="X6" s="77">
        <f>SUP_CONTROL!$C$11*CAPA1_PILOTO!X33</f>
        <v>59760.572844835595</v>
      </c>
      <c r="Y6" s="77">
        <f>SUP_CONTROL!$C$11*CAPA1_PILOTO!Y33</f>
        <v>59844.4804929534</v>
      </c>
      <c r="Z6" s="77">
        <f>SUP_CONTROL!$C$11*CAPA1_PILOTO!Z33</f>
        <v>59885.528838795202</v>
      </c>
      <c r="AA6" s="77">
        <f>SUP_CONTROL!$C$11*CAPA1_PILOTO!AA33</f>
        <v>56816.501156780825</v>
      </c>
      <c r="AB6" s="77">
        <f>SUP_CONTROL!$C$11*CAPA1_PILOTO!AB33</f>
        <v>59960.029261761156</v>
      </c>
      <c r="AC6" s="77">
        <f>SUP_CONTROL!$C$11*CAPA1_PILOTO!AC33</f>
        <v>59960.029261761156</v>
      </c>
      <c r="AD6" s="77">
        <f>SUP_CONTROL!$C$11*CAPA1_PILOTO!AD33</f>
        <v>59887.325950484075</v>
      </c>
      <c r="AE6" s="77">
        <f>SUP_CONTROL!$C$11*CAPA1_PILOTO!AE33</f>
        <v>59887.325950484075</v>
      </c>
      <c r="AF6" s="77">
        <f>SUP_CONTROL!$C$11*CAPA1_PILOTO!AF33</f>
        <v>60516.427839324599</v>
      </c>
      <c r="AG6" s="77">
        <f>SUP_CONTROL!$C$11*CAPA1_PILOTO!AG33</f>
        <v>61078.776753831262</v>
      </c>
      <c r="AH6" s="77">
        <f>SUP_CONTROL!$C$11*CAPA1_PILOTO!AH33</f>
        <v>61252.18259179833</v>
      </c>
      <c r="AI6" s="77">
        <f>SUP_CONTROL!$C$11*CAPA1_PILOTO!AI33</f>
        <v>61760.174419822433</v>
      </c>
      <c r="AJ6" s="77">
        <f>SUP_CONTROL!$C$11*CAPA1_PILOTO!AJ33</f>
        <v>62228.298262536686</v>
      </c>
      <c r="AK6" s="77">
        <f>SUP_CONTROL!$C$11*CAPA1_PILOTO!AK33</f>
        <v>62350.132924791986</v>
      </c>
      <c r="AL6" s="77">
        <f>SUP_CONTROL!$C$11*CAPA1_PILOTO!AL33</f>
        <v>62357.064771698453</v>
      </c>
      <c r="AM6" s="77">
        <f>SUP_CONTROL!$C$11*CAPA1_PILOTO!AM33</f>
        <v>62777.664416782893</v>
      </c>
      <c r="AN6" s="77">
        <f>SUP_CONTROL!$C$11*CAPA1_PILOTO!AN33</f>
        <v>64692.72001158823</v>
      </c>
      <c r="AO6" s="77">
        <f>SUP_CONTROL!$C$11*CAPA1_PILOTO!AO33</f>
        <v>65039.285097023923</v>
      </c>
      <c r="AP6" s="77">
        <f>SUP_CONTROL!$C$11*CAPA1_PILOTO!AP33</f>
        <v>65389.656163820335</v>
      </c>
      <c r="AQ6" s="77">
        <f>SUP_CONTROL!$C$11*CAPA1_PILOTO!AQ33</f>
        <v>65501.518996761079</v>
      </c>
      <c r="AR6" s="77">
        <f>SUP_CONTROL!$C$11*CAPA1_PILOTO!AR33</f>
        <v>65815.998208826175</v>
      </c>
      <c r="AS6" s="77">
        <f>SUP_CONTROL!$C$11*CAPA1_PILOTO!AS33</f>
        <v>65899.853710199604</v>
      </c>
      <c r="AT6" s="77">
        <f>SUP_CONTROL!$C$11*CAPA1_PILOTO!AT33</f>
        <v>66112.021971896029</v>
      </c>
      <c r="AU6" s="77">
        <f>SUP_CONTROL!$C$11*CAPA1_PILOTO!AU33</f>
        <v>66348.279880600428</v>
      </c>
      <c r="AV6" s="77">
        <f>SUP_CONTROL!$C$11*CAPA1_PILOTO!AV33</f>
        <v>66408.922507706273</v>
      </c>
      <c r="AW6" s="77">
        <f>SUP_CONTROL!$C$11*CAPA1_PILOTO!AW33</f>
        <v>63093.182787091617</v>
      </c>
      <c r="AX6" s="77">
        <f>SUP_CONTROL!$C$11*CAPA1_PILOTO!AX33</f>
        <v>63129.478420084961</v>
      </c>
      <c r="AY6" s="77">
        <f>SUP_CONTROL!$C$11*CAPA1_PILOTO!AY33</f>
        <v>63129.478420084961</v>
      </c>
      <c r="AZ6" s="77">
        <f>SUP_CONTROL!$C$11*CAPA1_PILOTO!AZ33</f>
        <v>64701.242472575119</v>
      </c>
      <c r="BA6" s="77">
        <f>SUP_CONTROL!$C$11*CAPA1_PILOTO!BA33</f>
        <v>64556.556102162031</v>
      </c>
      <c r="BB6" s="77">
        <f>SUP_CONTROL!$C$11*CAPA1_PILOTO!BB33</f>
        <v>64556.556102162031</v>
      </c>
      <c r="BC6" s="77">
        <f>SUP_CONTROL!$C$11*CAPA1_PILOTO!BC33</f>
        <v>64556.556102162031</v>
      </c>
      <c r="BD6" s="77">
        <f>SUP_CONTROL!$C$11*CAPA1_PILOTO!BD33</f>
        <v>65006.280675306683</v>
      </c>
      <c r="BE6" s="77">
        <f>SUP_CONTROL!$C$11*CAPA1_PILOTO!BE33</f>
        <v>65309.425334436535</v>
      </c>
      <c r="BF6" s="77">
        <f>SUP_CONTROL!$C$11*CAPA1_PILOTO!BF33</f>
        <v>65548.600560487044</v>
      </c>
      <c r="BG6" s="77">
        <f>SUP_CONTROL!$C$11*CAPA1_PILOTO!BG33</f>
        <v>65864.220887932577</v>
      </c>
      <c r="BH6" s="77">
        <f>SUP_CONTROL!$C$11*CAPA1_PILOTO!BH33</f>
        <v>66129.216870697564</v>
      </c>
      <c r="BI6" s="77">
        <f>SUP_CONTROL!$C$11*CAPA1_PILOTO!BI33</f>
        <v>66377.995571665335</v>
      </c>
      <c r="BJ6" s="77">
        <f>SUP_CONTROL!$C$11*CAPA1_PILOTO!BJ33</f>
        <v>66648.202703174422</v>
      </c>
      <c r="BK6" s="77">
        <f>SUP_CONTROL!$C$11*CAPA1_PILOTO!BK33</f>
        <v>66759.304846971296</v>
      </c>
      <c r="BL6" s="77">
        <f>SUP_CONTROL!$C$11*CAPA1_PILOTO!BL33</f>
        <v>68538.699426198626</v>
      </c>
      <c r="BM6" s="77">
        <f>SUP_CONTROL!$C$11*CAPA1_PILOTO!BM33</f>
        <v>68735.14377191852</v>
      </c>
      <c r="BN6" s="77">
        <f>SUP_CONTROL!$C$11*CAPA1_PILOTO!BN33</f>
        <v>68950.19684034698</v>
      </c>
      <c r="BO6" s="77">
        <f>SUP_CONTROL!$C$11*CAPA1_PILOTO!BO33</f>
        <v>69127.848440230955</v>
      </c>
      <c r="BP6" s="77">
        <f>SUP_CONTROL!$C$11*CAPA1_PILOTO!BP33</f>
        <v>69215.075307599836</v>
      </c>
      <c r="BQ6" s="77">
        <f>SUP_CONTROL!$C$11*CAPA1_PILOTO!BQ33</f>
        <v>69374.478021022427</v>
      </c>
      <c r="BR6" s="77">
        <f>SUP_CONTROL!$C$11*CAPA1_PILOTO!BR33</f>
        <v>69550.052678848268</v>
      </c>
      <c r="BS6" s="77">
        <f>SUP_CONTROL!$C$11*CAPA1_PILOTO!BS33</f>
        <v>69783.320511868107</v>
      </c>
      <c r="BT6" s="77">
        <f>SUP_CONTROL!$C$11*CAPA1_PILOTO!BT33</f>
        <v>69935.741902868642</v>
      </c>
      <c r="BU6" s="77">
        <f>SUP_CONTROL!$C$11*CAPA1_PILOTO!BU33</f>
        <v>70000.12842291547</v>
      </c>
      <c r="BV6" s="77">
        <f>SUP_CONTROL!$C$11*CAPA1_PILOTO!BV33</f>
        <v>70130.304269897068</v>
      </c>
      <c r="BW6" s="77">
        <f>SUP_CONTROL!$C$11*CAPA1_PILOTO!BW33</f>
        <v>70265.291736871804</v>
      </c>
      <c r="BX6" s="77">
        <f>SUP_CONTROL!$C$11*CAPA1_PILOTO!BX33</f>
        <v>71949.966254962666</v>
      </c>
      <c r="BY6" s="77">
        <f>SUP_CONTROL!$C$11*CAPA1_PILOTO!BY33</f>
        <v>72056.861045635669</v>
      </c>
      <c r="BZ6" s="77">
        <f>SUP_CONTROL!$C$11*CAPA1_PILOTO!BZ33</f>
        <v>72175.544591593061</v>
      </c>
      <c r="CA6" s="77">
        <f>SUP_CONTROL!$C$11*CAPA1_PILOTO!CA33</f>
        <v>72301.725201854497</v>
      </c>
      <c r="CB6" s="77">
        <f>SUP_CONTROL!$C$11*CAPA1_PILOTO!CB33</f>
        <v>71454.127051685529</v>
      </c>
      <c r="CC6" s="77">
        <f>SUP_CONTROL!$C$11*CAPA1_PILOTO!CC33</f>
        <v>71503.920442281058</v>
      </c>
      <c r="CD6" s="77">
        <f>SUP_CONTROL!$C$11*CAPA1_PILOTO!CD33</f>
        <v>71527.485554238476</v>
      </c>
      <c r="CE6" s="77">
        <f>SUP_CONTROL!$C$11*CAPA1_PILOTO!CE33</f>
        <v>71537.67263330378</v>
      </c>
      <c r="CF6" s="77">
        <f>SUP_CONTROL!$C$11*CAPA1_PILOTO!CF33</f>
        <v>71537.67263330378</v>
      </c>
      <c r="CG6" s="77">
        <f>SUP_CONTROL!$C$11*CAPA1_PILOTO!CG33</f>
        <v>71537.67263330378</v>
      </c>
      <c r="CH6" s="77">
        <f>SUP_CONTROL!$C$11*CAPA1_PILOTO!CH33</f>
        <v>71537.67263330378</v>
      </c>
      <c r="CI6" s="77">
        <f>SUP_CONTROL!$C$11*CAPA1_PILOTO!CI33</f>
        <v>71537.67263330378</v>
      </c>
      <c r="CJ6" s="77">
        <f>SUP_CONTROL!$C$11*CAPA1_PILOTO!CJ33</f>
        <v>71537.67263330378</v>
      </c>
      <c r="CK6" s="77">
        <f>SUP_CONTROL!$C$11*CAPA1_PILOTO!CK33</f>
        <v>71537.67263330378</v>
      </c>
      <c r="CL6" s="77">
        <f>SUP_CONTROL!$C$11*CAPA1_PILOTO!CL33</f>
        <v>71537.67263330378</v>
      </c>
      <c r="CM6" s="77">
        <f>SUP_CONTROL!$C$11*CAPA1_PILOTO!CM33</f>
        <v>71537.67263330378</v>
      </c>
      <c r="CN6" s="77">
        <f>SUP_CONTROL!$C$11*CAPA1_PILOTO!CN33</f>
        <v>71537.67263330378</v>
      </c>
      <c r="CO6" s="77">
        <f>SUP_CONTROL!$C$11*CAPA1_PILOTO!CO33</f>
        <v>71537.67263330378</v>
      </c>
      <c r="CP6" s="77">
        <f>SUP_CONTROL!$C$11*CAPA1_PILOTO!CP33</f>
        <v>71537.67263330378</v>
      </c>
      <c r="CQ6" s="77">
        <f>SUP_CONTROL!$C$11*CAPA1_PILOTO!CQ33</f>
        <v>71537.67263330378</v>
      </c>
      <c r="CR6" s="77">
        <f>SUP_CONTROL!$C$11*CAPA1_PILOTO!CR33</f>
        <v>71537.67263330378</v>
      </c>
      <c r="CS6" s="77">
        <f>SUP_CONTROL!$C$11*CAPA1_PILOTO!CS33</f>
        <v>71537.67263330378</v>
      </c>
      <c r="CT6" s="77">
        <f>SUP_CONTROL!$C$11*CAPA1_PILOTO!CT33</f>
        <v>71537.67263330378</v>
      </c>
      <c r="CU6" s="77">
        <f>SUP_CONTROL!$C$11*CAPA1_PILOTO!CU33</f>
        <v>71537.67263330378</v>
      </c>
      <c r="CV6" s="77">
        <f>SUP_CONTROL!$C$11*CAPA1_PILOTO!CV33</f>
        <v>71537.67263330378</v>
      </c>
      <c r="CW6" s="77">
        <f>SUP_CONTROL!$C$11*CAPA1_PILOTO!CW33</f>
        <v>71537.67263330378</v>
      </c>
      <c r="CX6" s="77">
        <f>SUP_CONTROL!$C$11*CAPA1_PILOTO!CX33</f>
        <v>71537.67263330378</v>
      </c>
      <c r="CY6" s="77">
        <f>SUP_CONTROL!$C$11*CAPA1_PILOTO!CY33</f>
        <v>71537.67263330378</v>
      </c>
      <c r="CZ6" s="77">
        <f>SUP_CONTROL!$C$11*CAPA1_PILOTO!CZ33</f>
        <v>71537.67263330378</v>
      </c>
      <c r="DA6" s="77">
        <f>SUP_CONTROL!$C$11*CAPA1_PILOTO!DA33</f>
        <v>71537.67263330378</v>
      </c>
      <c r="DB6" s="77">
        <f>SUP_CONTROL!$C$11*CAPA1_PILOTO!DB33</f>
        <v>71537.67263330378</v>
      </c>
      <c r="DC6" s="77">
        <f>SUP_CONTROL!$C$11*CAPA1_PILOTO!DC33</f>
        <v>71537.67263330378</v>
      </c>
      <c r="DD6" s="77">
        <f>SUP_CONTROL!$C$11*CAPA1_PILOTO!DD33</f>
        <v>71537.67263330378</v>
      </c>
      <c r="DE6" s="77">
        <f>SUP_CONTROL!$C$11*CAPA1_PILOTO!DE33</f>
        <v>71537.67263330378</v>
      </c>
      <c r="DF6" s="77">
        <f>SUP_CONTROL!$C$11*CAPA1_PILOTO!DF33</f>
        <v>71537.67263330378</v>
      </c>
      <c r="DG6" s="77">
        <f>SUP_CONTROL!$C$11*CAPA1_PILOTO!DG33</f>
        <v>71537.67263330378</v>
      </c>
      <c r="DH6" s="77">
        <f>SUP_CONTROL!$C$11*CAPA1_PILOTO!DH33</f>
        <v>71537.67263330378</v>
      </c>
      <c r="DI6" s="77">
        <f>SUP_CONTROL!$C$11*CAPA1_PILOTO!DI33</f>
        <v>71537.67263330378</v>
      </c>
      <c r="DJ6" s="77">
        <f>SUP_CONTROL!$C$11*CAPA1_PILOTO!DJ33</f>
        <v>71537.67263330378</v>
      </c>
      <c r="DK6" s="77">
        <f>SUP_CONTROL!$C$11*CAPA1_PILOTO!DK33</f>
        <v>71537.67263330378</v>
      </c>
      <c r="DL6" s="77">
        <f>SUP_CONTROL!$C$11*CAPA1_PILOTO!DL33</f>
        <v>71537.67263330378</v>
      </c>
      <c r="DM6" s="77">
        <f>SUP_CONTROL!$C$11*CAPA1_PILOTO!DM33</f>
        <v>71537.67263330378</v>
      </c>
      <c r="DN6" s="77">
        <f>SUP_CONTROL!$C$11*CAPA1_PILOTO!DN33</f>
        <v>71537.67263330378</v>
      </c>
      <c r="DO6" s="77">
        <f>SUP_CONTROL!$C$11*CAPA1_PILOTO!DO33</f>
        <v>71537.67263330378</v>
      </c>
      <c r="DP6" s="77">
        <f>SUP_CONTROL!$C$11*CAPA1_PILOTO!DP33</f>
        <v>71537.67263330378</v>
      </c>
      <c r="DQ6" s="77">
        <f>SUP_CONTROL!$C$11*CAPA1_PILOTO!DQ33</f>
        <v>71537.67263330378</v>
      </c>
      <c r="DR6" s="77">
        <f>SUP_CONTROL!$C$11*CAPA1_PILOTO!DR33</f>
        <v>71537.67263330378</v>
      </c>
      <c r="DS6" s="77">
        <f>SUP_CONTROL!$C$11*CAPA1_PILOTO!DS33</f>
        <v>71537.67263330378</v>
      </c>
    </row>
    <row r="7" spans="1:123" ht="15" customHeight="1" x14ac:dyDescent="0.2">
      <c r="B7" s="37" t="s">
        <v>1112</v>
      </c>
      <c r="D7" s="77">
        <f>SUP_CONTROL!$C$12*CAPA2_FLAGSHIP!D27</f>
        <v>0</v>
      </c>
      <c r="E7" s="77">
        <f>SUP_CONTROL!$C$12*CAPA2_FLAGSHIP!E27</f>
        <v>0</v>
      </c>
      <c r="F7" s="77">
        <f>SUP_CONTROL!$C$12*CAPA2_FLAGSHIP!F27</f>
        <v>0</v>
      </c>
      <c r="G7" s="77">
        <f>SUP_CONTROL!$C$12*CAPA2_FLAGSHIP!G27</f>
        <v>0</v>
      </c>
      <c r="H7" s="77">
        <f>SUP_CONTROL!$C$12*CAPA2_FLAGSHIP!H27</f>
        <v>0</v>
      </c>
      <c r="I7" s="77">
        <f>SUP_CONTROL!$C$12*CAPA2_FLAGSHIP!I27</f>
        <v>0</v>
      </c>
      <c r="J7" s="77">
        <f>SUP_CONTROL!$C$12*CAPA2_FLAGSHIP!J27</f>
        <v>0</v>
      </c>
      <c r="K7" s="77">
        <f>SUP_CONTROL!$C$12*CAPA2_FLAGSHIP!K27</f>
        <v>0</v>
      </c>
      <c r="L7" s="77">
        <f>SUP_CONTROL!$C$12*CAPA2_FLAGSHIP!L27</f>
        <v>0</v>
      </c>
      <c r="M7" s="77">
        <f>SUP_CONTROL!$C$12*CAPA2_FLAGSHIP!M27</f>
        <v>0</v>
      </c>
      <c r="N7" s="77">
        <f>SUP_CONTROL!$C$12*CAPA2_FLAGSHIP!N27</f>
        <v>0</v>
      </c>
      <c r="O7" s="77">
        <f>SUP_CONTROL!$C$12*CAPA2_FLAGSHIP!O27</f>
        <v>0</v>
      </c>
      <c r="P7" s="77">
        <f>SUP_CONTROL!$C$12*CAPA2_FLAGSHIP!P27</f>
        <v>0</v>
      </c>
      <c r="Q7" s="77">
        <f>SUP_CONTROL!$C$12*CAPA2_FLAGSHIP!Q27</f>
        <v>0</v>
      </c>
      <c r="R7" s="77">
        <f>SUP_CONTROL!$C$12*CAPA2_FLAGSHIP!R27</f>
        <v>0</v>
      </c>
      <c r="S7" s="77">
        <f>SUP_CONTROL!$C$12*CAPA2_FLAGSHIP!S27</f>
        <v>0</v>
      </c>
      <c r="T7" s="77">
        <f>SUP_CONTROL!$C$12*CAPA2_FLAGSHIP!T27</f>
        <v>0</v>
      </c>
      <c r="U7" s="77">
        <f>SUP_CONTROL!$C$12*CAPA2_FLAGSHIP!U27</f>
        <v>0</v>
      </c>
      <c r="V7" s="77">
        <f>SUP_CONTROL!$C$12*CAPA2_FLAGSHIP!V27</f>
        <v>0</v>
      </c>
      <c r="W7" s="77">
        <f>SUP_CONTROL!$C$12*CAPA2_FLAGSHIP!W27</f>
        <v>0</v>
      </c>
      <c r="X7" s="77">
        <f>SUP_CONTROL!$C$12*CAPA2_FLAGSHIP!X27</f>
        <v>0</v>
      </c>
      <c r="Y7" s="77">
        <f>SUP_CONTROL!$C$12*CAPA2_FLAGSHIP!Y27</f>
        <v>0</v>
      </c>
      <c r="Z7" s="77">
        <f>SUP_CONTROL!$C$12*CAPA2_FLAGSHIP!Z27</f>
        <v>0</v>
      </c>
      <c r="AA7" s="77">
        <f>SUP_CONTROL!$C$12*CAPA2_FLAGSHIP!AA27</f>
        <v>0</v>
      </c>
      <c r="AB7" s="77">
        <f>SUP_CONTROL!$C$12*CAPA2_FLAGSHIP!AB27</f>
        <v>0</v>
      </c>
      <c r="AC7" s="77">
        <f>SUP_CONTROL!$C$12*CAPA2_FLAGSHIP!AC27</f>
        <v>0</v>
      </c>
      <c r="AD7" s="77">
        <f>SUP_CONTROL!$C$12*CAPA2_FLAGSHIP!AD27</f>
        <v>0</v>
      </c>
      <c r="AE7" s="77">
        <f>SUP_CONTROL!$C$12*CAPA2_FLAGSHIP!AE27</f>
        <v>0</v>
      </c>
      <c r="AF7" s="77">
        <f>SUP_CONTROL!$C$12*CAPA2_FLAGSHIP!AF27</f>
        <v>0</v>
      </c>
      <c r="AG7" s="77">
        <f>SUP_CONTROL!$C$12*CAPA2_FLAGSHIP!AG27</f>
        <v>0</v>
      </c>
      <c r="AH7" s="77">
        <f>SUP_CONTROL!$C$12*CAPA2_FLAGSHIP!AH27</f>
        <v>0</v>
      </c>
      <c r="AI7" s="77">
        <f>SUP_CONTROL!$C$12*CAPA2_FLAGSHIP!AI27</f>
        <v>0</v>
      </c>
      <c r="AJ7" s="77">
        <f>SUP_CONTROL!$C$12*CAPA2_FLAGSHIP!AJ27</f>
        <v>0</v>
      </c>
      <c r="AK7" s="77">
        <f>SUP_CONTROL!$C$12*CAPA2_FLAGSHIP!AK27</f>
        <v>0</v>
      </c>
      <c r="AL7" s="77">
        <f>SUP_CONTROL!$C$12*CAPA2_FLAGSHIP!AL27</f>
        <v>0</v>
      </c>
      <c r="AM7" s="77">
        <f>SUP_CONTROL!$C$12*CAPA2_FLAGSHIP!AM27</f>
        <v>0</v>
      </c>
      <c r="AN7" s="77">
        <f>SUP_CONTROL!$C$12*CAPA2_FLAGSHIP!AN27</f>
        <v>0</v>
      </c>
      <c r="AO7" s="77">
        <f>SUP_CONTROL!$C$12*CAPA2_FLAGSHIP!AO27</f>
        <v>0</v>
      </c>
      <c r="AP7" s="77">
        <f>SUP_CONTROL!$C$12*CAPA2_FLAGSHIP!AP27</f>
        <v>0</v>
      </c>
      <c r="AQ7" s="77">
        <f>SUP_CONTROL!$C$12*CAPA2_FLAGSHIP!AQ27</f>
        <v>0</v>
      </c>
      <c r="AR7" s="77">
        <f>SUP_CONTROL!$C$12*CAPA2_FLAGSHIP!AR27</f>
        <v>0</v>
      </c>
      <c r="AS7" s="77">
        <f>SUP_CONTROL!$C$12*CAPA2_FLAGSHIP!AS27</f>
        <v>0</v>
      </c>
      <c r="AT7" s="77">
        <f>SUP_CONTROL!$C$12*CAPA2_FLAGSHIP!AT27</f>
        <v>0</v>
      </c>
      <c r="AU7" s="77">
        <f>SUP_CONTROL!$C$12*CAPA2_FLAGSHIP!AU27</f>
        <v>0</v>
      </c>
      <c r="AV7" s="77">
        <f>SUP_CONTROL!$C$12*CAPA2_FLAGSHIP!AV27</f>
        <v>0</v>
      </c>
      <c r="AW7" s="77">
        <f>SUP_CONTROL!$C$12*CAPA2_FLAGSHIP!AW27</f>
        <v>0</v>
      </c>
      <c r="AX7" s="77">
        <f>SUP_CONTROL!$C$12*CAPA2_FLAGSHIP!AX27</f>
        <v>0</v>
      </c>
      <c r="AY7" s="77">
        <f>SUP_CONTROL!$C$12*CAPA2_FLAGSHIP!AY27</f>
        <v>0</v>
      </c>
      <c r="AZ7" s="77">
        <f>SUP_CONTROL!$C$12*CAPA2_FLAGSHIP!AZ27</f>
        <v>0</v>
      </c>
      <c r="BA7" s="77">
        <f>SUP_CONTROL!$C$12*CAPA2_FLAGSHIP!BA27</f>
        <v>0</v>
      </c>
      <c r="BB7" s="77">
        <f>SUP_CONTROL!$C$12*CAPA2_FLAGSHIP!BB27</f>
        <v>0</v>
      </c>
      <c r="BC7" s="77">
        <f>SUP_CONTROL!$C$12*CAPA2_FLAGSHIP!BC27</f>
        <v>0</v>
      </c>
      <c r="BD7" s="77">
        <f>SUP_CONTROL!$C$12*CAPA2_FLAGSHIP!BD27</f>
        <v>0</v>
      </c>
      <c r="BE7" s="77">
        <f>SUP_CONTROL!$C$12*CAPA2_FLAGSHIP!BE27</f>
        <v>0</v>
      </c>
      <c r="BF7" s="77">
        <f>SUP_CONTROL!$C$12*CAPA2_FLAGSHIP!BF27</f>
        <v>0</v>
      </c>
      <c r="BG7" s="77">
        <f>SUP_CONTROL!$C$12*CAPA2_FLAGSHIP!BG27</f>
        <v>0</v>
      </c>
      <c r="BH7" s="77">
        <f>SUP_CONTROL!$C$12*CAPA2_FLAGSHIP!BH27</f>
        <v>0</v>
      </c>
      <c r="BI7" s="77">
        <f>SUP_CONTROL!$C$12*CAPA2_FLAGSHIP!BI27</f>
        <v>0</v>
      </c>
      <c r="BJ7" s="77">
        <f>SUP_CONTROL!$C$12*CAPA2_FLAGSHIP!BJ27</f>
        <v>0</v>
      </c>
      <c r="BK7" s="77">
        <f>SUP_CONTROL!$C$12*CAPA2_FLAGSHIP!BK27</f>
        <v>0</v>
      </c>
      <c r="BL7" s="77">
        <f>SUP_CONTROL!$C$12*CAPA2_FLAGSHIP!BL27</f>
        <v>0</v>
      </c>
      <c r="BM7" s="77">
        <f>SUP_CONTROL!$C$12*CAPA2_FLAGSHIP!BM27</f>
        <v>0</v>
      </c>
      <c r="BN7" s="77">
        <f>SUP_CONTROL!$C$12*CAPA2_FLAGSHIP!BN27</f>
        <v>0</v>
      </c>
      <c r="BO7" s="77">
        <f>SUP_CONTROL!$C$12*CAPA2_FLAGSHIP!BO27</f>
        <v>0</v>
      </c>
      <c r="BP7" s="77">
        <f>SUP_CONTROL!$C$12*CAPA2_FLAGSHIP!BP27</f>
        <v>0</v>
      </c>
      <c r="BQ7" s="77">
        <f>SUP_CONTROL!$C$12*CAPA2_FLAGSHIP!BQ27</f>
        <v>0</v>
      </c>
      <c r="BR7" s="77">
        <f>SUP_CONTROL!$C$12*CAPA2_FLAGSHIP!BR27</f>
        <v>0</v>
      </c>
      <c r="BS7" s="77">
        <f>SUP_CONTROL!$C$12*CAPA2_FLAGSHIP!BS27</f>
        <v>0</v>
      </c>
      <c r="BT7" s="77">
        <f>SUP_CONTROL!$C$12*CAPA2_FLAGSHIP!BT27</f>
        <v>0</v>
      </c>
      <c r="BU7" s="77">
        <f>SUP_CONTROL!$C$12*CAPA2_FLAGSHIP!BU27</f>
        <v>0</v>
      </c>
      <c r="BV7" s="77">
        <f>SUP_CONTROL!$C$12*CAPA2_FLAGSHIP!BV27</f>
        <v>0</v>
      </c>
      <c r="BW7" s="77">
        <f>SUP_CONTROL!$C$12*CAPA2_FLAGSHIP!BW27</f>
        <v>0</v>
      </c>
      <c r="BX7" s="77">
        <f>SUP_CONTROL!$C$12*CAPA2_FLAGSHIP!BX27</f>
        <v>0</v>
      </c>
      <c r="BY7" s="77">
        <f>SUP_CONTROL!$C$12*CAPA2_FLAGSHIP!BY27</f>
        <v>0</v>
      </c>
      <c r="BZ7" s="77">
        <f>SUP_CONTROL!$C$12*CAPA2_FLAGSHIP!BZ27</f>
        <v>0</v>
      </c>
      <c r="CA7" s="77">
        <f>SUP_CONTROL!$C$12*CAPA2_FLAGSHIP!CA27</f>
        <v>0</v>
      </c>
      <c r="CB7" s="77">
        <f>SUP_CONTROL!$C$12*CAPA2_FLAGSHIP!CB27</f>
        <v>0</v>
      </c>
      <c r="CC7" s="77">
        <f>SUP_CONTROL!$C$12*CAPA2_FLAGSHIP!CC27</f>
        <v>0</v>
      </c>
      <c r="CD7" s="77">
        <f>SUP_CONTROL!$C$12*CAPA2_FLAGSHIP!CD27</f>
        <v>0</v>
      </c>
      <c r="CE7" s="77">
        <f>SUP_CONTROL!$C$12*CAPA2_FLAGSHIP!CE27</f>
        <v>0</v>
      </c>
      <c r="CF7" s="77">
        <f>SUP_CONTROL!$C$12*CAPA2_FLAGSHIP!CF27</f>
        <v>0</v>
      </c>
      <c r="CG7" s="77">
        <f>SUP_CONTROL!$C$12*CAPA2_FLAGSHIP!CG27</f>
        <v>0</v>
      </c>
      <c r="CH7" s="77">
        <f>SUP_CONTROL!$C$12*CAPA2_FLAGSHIP!CH27</f>
        <v>0</v>
      </c>
      <c r="CI7" s="77">
        <f>SUP_CONTROL!$C$12*CAPA2_FLAGSHIP!CI27</f>
        <v>0</v>
      </c>
      <c r="CJ7" s="77">
        <f>SUP_CONTROL!$C$12*CAPA2_FLAGSHIP!CJ27</f>
        <v>0</v>
      </c>
      <c r="CK7" s="77">
        <f>SUP_CONTROL!$C$12*CAPA2_FLAGSHIP!CK27</f>
        <v>0</v>
      </c>
      <c r="CL7" s="77">
        <f>SUP_CONTROL!$C$12*CAPA2_FLAGSHIP!CL27</f>
        <v>0</v>
      </c>
      <c r="CM7" s="77">
        <f>SUP_CONTROL!$C$12*CAPA2_FLAGSHIP!CM27</f>
        <v>0</v>
      </c>
      <c r="CN7" s="77">
        <f>SUP_CONTROL!$C$12*CAPA2_FLAGSHIP!CN27</f>
        <v>0</v>
      </c>
      <c r="CO7" s="77">
        <f>SUP_CONTROL!$C$12*CAPA2_FLAGSHIP!CO27</f>
        <v>0</v>
      </c>
      <c r="CP7" s="77">
        <f>SUP_CONTROL!$C$12*CAPA2_FLAGSHIP!CP27</f>
        <v>0</v>
      </c>
      <c r="CQ7" s="77">
        <f>SUP_CONTROL!$C$12*CAPA2_FLAGSHIP!CQ27</f>
        <v>0</v>
      </c>
      <c r="CR7" s="77">
        <f>SUP_CONTROL!$C$12*CAPA2_FLAGSHIP!CR27</f>
        <v>0</v>
      </c>
      <c r="CS7" s="77">
        <f>SUP_CONTROL!$C$12*CAPA2_FLAGSHIP!CS27</f>
        <v>0</v>
      </c>
      <c r="CT7" s="77">
        <f>SUP_CONTROL!$C$12*CAPA2_FLAGSHIP!CT27</f>
        <v>0</v>
      </c>
      <c r="CU7" s="77">
        <f>SUP_CONTROL!$C$12*CAPA2_FLAGSHIP!CU27</f>
        <v>0</v>
      </c>
      <c r="CV7" s="77">
        <f>SUP_CONTROL!$C$12*CAPA2_FLAGSHIP!CV27</f>
        <v>0</v>
      </c>
      <c r="CW7" s="77">
        <f>SUP_CONTROL!$C$12*CAPA2_FLAGSHIP!CW27</f>
        <v>0</v>
      </c>
      <c r="CX7" s="77">
        <f>SUP_CONTROL!$C$12*CAPA2_FLAGSHIP!CX27</f>
        <v>0</v>
      </c>
      <c r="CY7" s="77">
        <f>SUP_CONTROL!$C$12*CAPA2_FLAGSHIP!CY27</f>
        <v>0</v>
      </c>
      <c r="CZ7" s="77">
        <f>SUP_CONTROL!$C$12*CAPA2_FLAGSHIP!CZ27</f>
        <v>0</v>
      </c>
      <c r="DA7" s="77">
        <f>SUP_CONTROL!$C$12*CAPA2_FLAGSHIP!DA27</f>
        <v>0</v>
      </c>
      <c r="DB7" s="77">
        <f>SUP_CONTROL!$C$12*CAPA2_FLAGSHIP!DB27</f>
        <v>0</v>
      </c>
      <c r="DC7" s="77">
        <f>SUP_CONTROL!$C$12*CAPA2_FLAGSHIP!DC27</f>
        <v>0</v>
      </c>
      <c r="DD7" s="77">
        <f>SUP_CONTROL!$C$12*CAPA2_FLAGSHIP!DD27</f>
        <v>0</v>
      </c>
      <c r="DE7" s="77">
        <f>SUP_CONTROL!$C$12*CAPA2_FLAGSHIP!DE27</f>
        <v>0</v>
      </c>
      <c r="DF7" s="77">
        <f>SUP_CONTROL!$C$12*CAPA2_FLAGSHIP!DF27</f>
        <v>0</v>
      </c>
      <c r="DG7" s="77">
        <f>SUP_CONTROL!$C$12*CAPA2_FLAGSHIP!DG27</f>
        <v>0</v>
      </c>
      <c r="DH7" s="77">
        <f>SUP_CONTROL!$C$12*CAPA2_FLAGSHIP!DH27</f>
        <v>0</v>
      </c>
      <c r="DI7" s="77">
        <f>SUP_CONTROL!$C$12*CAPA2_FLAGSHIP!DI27</f>
        <v>0</v>
      </c>
      <c r="DJ7" s="77">
        <f>SUP_CONTROL!$C$12*CAPA2_FLAGSHIP!DJ27</f>
        <v>0</v>
      </c>
      <c r="DK7" s="77">
        <f>SUP_CONTROL!$C$12*CAPA2_FLAGSHIP!DK27</f>
        <v>0</v>
      </c>
      <c r="DL7" s="77">
        <f>SUP_CONTROL!$C$12*CAPA2_FLAGSHIP!DL27</f>
        <v>0</v>
      </c>
      <c r="DM7" s="77">
        <f>SUP_CONTROL!$C$12*CAPA2_FLAGSHIP!DM27</f>
        <v>0</v>
      </c>
      <c r="DN7" s="77">
        <f>SUP_CONTROL!$C$12*CAPA2_FLAGSHIP!DN27</f>
        <v>0</v>
      </c>
      <c r="DO7" s="77">
        <f>SUP_CONTROL!$C$12*CAPA2_FLAGSHIP!DO27</f>
        <v>0</v>
      </c>
      <c r="DP7" s="77">
        <f>SUP_CONTROL!$C$12*CAPA2_FLAGSHIP!DP27</f>
        <v>0</v>
      </c>
      <c r="DQ7" s="77">
        <f>SUP_CONTROL!$C$12*CAPA2_FLAGSHIP!DQ27</f>
        <v>0</v>
      </c>
      <c r="DR7" s="77">
        <f>SUP_CONTROL!$C$12*CAPA2_FLAGSHIP!DR27</f>
        <v>0</v>
      </c>
      <c r="DS7" s="77">
        <f>SUP_CONTROL!$C$12*CAPA2_FLAGSHIP!DS27</f>
        <v>0</v>
      </c>
    </row>
    <row r="8" spans="1:123" ht="15" customHeight="1" x14ac:dyDescent="0.2">
      <c r="B8" s="37" t="s">
        <v>1113</v>
      </c>
      <c r="D8" s="77">
        <f>SUP_CONTROL!$C$13*CAPA3_EXPANSION!D55</f>
        <v>0</v>
      </c>
      <c r="E8" s="77">
        <f>SUP_CONTROL!$C$13*CAPA3_EXPANSION!E55</f>
        <v>0</v>
      </c>
      <c r="F8" s="77">
        <f>SUP_CONTROL!$C$13*CAPA3_EXPANSION!F55</f>
        <v>0</v>
      </c>
      <c r="G8" s="77">
        <f>SUP_CONTROL!$C$13*CAPA3_EXPANSION!G55</f>
        <v>0</v>
      </c>
      <c r="H8" s="77">
        <f>SUP_CONTROL!$C$13*CAPA3_EXPANSION!H55</f>
        <v>0</v>
      </c>
      <c r="I8" s="77">
        <f>SUP_CONTROL!$C$13*CAPA3_EXPANSION!I55</f>
        <v>0</v>
      </c>
      <c r="J8" s="77">
        <f>SUP_CONTROL!$C$13*CAPA3_EXPANSION!J55</f>
        <v>0</v>
      </c>
      <c r="K8" s="77">
        <f>SUP_CONTROL!$C$13*CAPA3_EXPANSION!K55</f>
        <v>0</v>
      </c>
      <c r="L8" s="77">
        <f>SUP_CONTROL!$C$13*CAPA3_EXPANSION!L55</f>
        <v>0</v>
      </c>
      <c r="M8" s="77">
        <f>SUP_CONTROL!$C$13*CAPA3_EXPANSION!M55</f>
        <v>0</v>
      </c>
      <c r="N8" s="77">
        <f>SUP_CONTROL!$C$13*CAPA3_EXPANSION!N55</f>
        <v>0</v>
      </c>
      <c r="O8" s="77">
        <f>SUP_CONTROL!$C$13*CAPA3_EXPANSION!O55</f>
        <v>0</v>
      </c>
      <c r="P8" s="77">
        <f>SUP_CONTROL!$C$13*CAPA3_EXPANSION!P55</f>
        <v>0</v>
      </c>
      <c r="Q8" s="77">
        <f>SUP_CONTROL!$C$13*CAPA3_EXPANSION!Q55</f>
        <v>-96701.936999999976</v>
      </c>
      <c r="R8" s="77">
        <f>SUP_CONTROL!$C$13*CAPA3_EXPANSION!R55</f>
        <v>0</v>
      </c>
      <c r="S8" s="77">
        <f>SUP_CONTROL!$C$13*CAPA3_EXPANSION!S55</f>
        <v>-96701.936999999976</v>
      </c>
      <c r="T8" s="77">
        <f>SUP_CONTROL!$C$13*CAPA3_EXPANSION!T55</f>
        <v>-103543.93666846074</v>
      </c>
      <c r="U8" s="77">
        <f>SUP_CONTROL!$C$13*CAPA3_EXPANSION!U55</f>
        <v>6325.4303484750308</v>
      </c>
      <c r="V8" s="77">
        <f>SUP_CONTROL!$C$13*CAPA3_EXPANSION!V55</f>
        <v>-465.62909426887381</v>
      </c>
      <c r="W8" s="77">
        <f>SUP_CONTROL!$C$13*CAPA3_EXPANSION!W55</f>
        <v>3977.1879570739948</v>
      </c>
      <c r="X8" s="77">
        <f>SUP_CONTROL!$C$13*CAPA3_EXPANSION!X55</f>
        <v>17960.151836313642</v>
      </c>
      <c r="Y8" s="77">
        <f>SUP_CONTROL!$C$13*CAPA3_EXPANSION!Y55</f>
        <v>17549.351287394718</v>
      </c>
      <c r="Z8" s="77">
        <f>SUP_CONTROL!$C$13*CAPA3_EXPANSION!Z55</f>
        <v>16344.856491152357</v>
      </c>
      <c r="AA8" s="77">
        <f>SUP_CONTROL!$C$13*CAPA3_EXPANSION!AA55</f>
        <v>-327930.10903749993</v>
      </c>
      <c r="AB8" s="77">
        <f>SUP_CONTROL!$C$13*CAPA3_EXPANSION!AB55</f>
        <v>15686.490184054299</v>
      </c>
      <c r="AC8" s="77">
        <f>SUP_CONTROL!$C$13*CAPA3_EXPANSION!AC55</f>
        <v>-128545.95083623737</v>
      </c>
      <c r="AD8" s="77">
        <f>SUP_CONTROL!$C$13*CAPA3_EXPANSION!AD55</f>
        <v>-81085.771531413047</v>
      </c>
      <c r="AE8" s="77">
        <f>SUP_CONTROL!$C$13*CAPA3_EXPANSION!AE55</f>
        <v>15616.165468586925</v>
      </c>
      <c r="AF8" s="77">
        <f>SUP_CONTROL!$C$13*CAPA3_EXPANSION!AF55</f>
        <v>-93860.088672246115</v>
      </c>
      <c r="AG8" s="77">
        <f>SUP_CONTROL!$C$13*CAPA3_EXPANSION!AG55</f>
        <v>-80344.6528387453</v>
      </c>
      <c r="AH8" s="77">
        <f>SUP_CONTROL!$C$13*CAPA3_EXPANSION!AH55</f>
        <v>30594.641904457749</v>
      </c>
      <c r="AI8" s="77">
        <f>SUP_CONTROL!$C$13*CAPA3_EXPANSION!AI55</f>
        <v>21803.535617254041</v>
      </c>
      <c r="AJ8" s="77">
        <f>SUP_CONTROL!$C$13*CAPA3_EXPANSION!AJ55</f>
        <v>-117807.94630627646</v>
      </c>
      <c r="AK8" s="77">
        <f>SUP_CONTROL!$C$13*CAPA3_EXPANSION!AK55</f>
        <v>-55590.983580510772</v>
      </c>
      <c r="AL8" s="77">
        <f>SUP_CONTROL!$C$13*CAPA3_EXPANSION!AL55</f>
        <v>-57211.404608606084</v>
      </c>
      <c r="AM8" s="77">
        <f>SUP_CONTROL!$C$13*CAPA3_EXPANSION!AM55</f>
        <v>-71125.93166412061</v>
      </c>
      <c r="AN8" s="77">
        <f>SUP_CONTROL!$C$13*CAPA3_EXPANSION!AN55</f>
        <v>40085.791001829522</v>
      </c>
      <c r="AO8" s="77">
        <f>SUP_CONTROL!$C$13*CAPA3_EXPANSION!AO55</f>
        <v>-97225.477776011685</v>
      </c>
      <c r="AP8" s="77">
        <f>SUP_CONTROL!$C$13*CAPA3_EXPANSION!AP55</f>
        <v>51970.334103667985</v>
      </c>
      <c r="AQ8" s="77">
        <f>SUP_CONTROL!$C$13*CAPA3_EXPANSION!AQ55</f>
        <v>-31597.739284374722</v>
      </c>
      <c r="AR8" s="77">
        <f>SUP_CONTROL!$C$13*CAPA3_EXPANSION!AR55</f>
        <v>-44424.949639841914</v>
      </c>
      <c r="AS8" s="77">
        <f>SUP_CONTROL!$C$13*CAPA3_EXPANSION!AS55</f>
        <v>71907.780796124862</v>
      </c>
      <c r="AT8" s="77">
        <f>SUP_CONTROL!$C$13*CAPA3_EXPANSION!AT55</f>
        <v>65684.714809429774</v>
      </c>
      <c r="AU8" s="77">
        <f>SUP_CONTROL!$C$13*CAPA3_EXPANSION!AU55</f>
        <v>69516.194228611523</v>
      </c>
      <c r="AV8" s="77">
        <f>SUP_CONTROL!$C$13*CAPA3_EXPANSION!AV55</f>
        <v>83586.610022980429</v>
      </c>
      <c r="AW8" s="77">
        <f>SUP_CONTROL!$C$13*CAPA3_EXPANSION!AW55</f>
        <v>-545665.77681389172</v>
      </c>
      <c r="AX8" s="77">
        <f>SUP_CONTROL!$C$13*CAPA3_EXPANSION!AX55</f>
        <v>77864.246921704835</v>
      </c>
      <c r="AY8" s="77">
        <f>SUP_CONTROL!$C$13*CAPA3_EXPANSION!AY55</f>
        <v>77864.246921704835</v>
      </c>
      <c r="AZ8" s="77">
        <f>SUP_CONTROL!$C$13*CAPA3_EXPANSION!AZ55</f>
        <v>79894.634420887203</v>
      </c>
      <c r="BA8" s="77">
        <f>SUP_CONTROL!$C$13*CAPA3_EXPANSION!BA55</f>
        <v>-426271.94825385197</v>
      </c>
      <c r="BB8" s="77">
        <f>SUP_CONTROL!$C$13*CAPA3_EXPANSION!BB55</f>
        <v>-18438.219849018584</v>
      </c>
      <c r="BC8" s="77">
        <f>SUP_CONTROL!$C$13*CAPA3_EXPANSION!BC55</f>
        <v>-65968.723869310284</v>
      </c>
      <c r="BD8" s="77">
        <f>SUP_CONTROL!$C$13*CAPA3_EXPANSION!BD55</f>
        <v>-69322.914771759606</v>
      </c>
      <c r="BE8" s="77">
        <f>SUP_CONTROL!$C$13*CAPA3_EXPANSION!BE55</f>
        <v>-14013.796639464766</v>
      </c>
      <c r="BF8" s="77">
        <f>SUP_CONTROL!$C$13*CAPA3_EXPANSION!BF55</f>
        <v>-14960.49313167372</v>
      </c>
      <c r="BG8" s="77">
        <f>SUP_CONTROL!$C$13*CAPA3_EXPANSION!BG55</f>
        <v>-56822.347010580954</v>
      </c>
      <c r="BH8" s="77">
        <f>SUP_CONTROL!$C$13*CAPA3_EXPANSION!BH55</f>
        <v>-3065.2737148052111</v>
      </c>
      <c r="BI8" s="77">
        <f>SUP_CONTROL!$C$13*CAPA3_EXPANSION!BI55</f>
        <v>1583.9316127676866</v>
      </c>
      <c r="BJ8" s="77">
        <f>SUP_CONTROL!$C$13*CAPA3_EXPANSION!BJ55</f>
        <v>1749.6444288883358</v>
      </c>
      <c r="BK8" s="77">
        <f>SUP_CONTROL!$C$13*CAPA3_EXPANSION!BK55</f>
        <v>-37092.994586374174</v>
      </c>
      <c r="BL8" s="77">
        <f>SUP_CONTROL!$C$13*CAPA3_EXPANSION!BL55</f>
        <v>19682.181165685703</v>
      </c>
      <c r="BM8" s="77">
        <f>SUP_CONTROL!$C$13*CAPA3_EXPANSION!BM55</f>
        <v>24325.632638515759</v>
      </c>
      <c r="BN8" s="77">
        <f>SUP_CONTROL!$C$13*CAPA3_EXPANSION!BN55</f>
        <v>24479.105914863758</v>
      </c>
      <c r="BO8" s="77">
        <f>SUP_CONTROL!$C$13*CAPA3_EXPANSION!BO55</f>
        <v>-10128.523039211024</v>
      </c>
      <c r="BP8" s="77">
        <f>SUP_CONTROL!$C$13*CAPA3_EXPANSION!BP55</f>
        <v>-366775.6121296343</v>
      </c>
      <c r="BQ8" s="77">
        <f>SUP_CONTROL!$C$13*CAPA3_EXPANSION!BQ55</f>
        <v>45332.544535202353</v>
      </c>
      <c r="BR8" s="77">
        <f>SUP_CONTROL!$C$13*CAPA3_EXPANSION!BR55</f>
        <v>45358.636875165335</v>
      </c>
      <c r="BS8" s="77">
        <f>SUP_CONTROL!$C$13*CAPA3_EXPANSION!BS55</f>
        <v>14184.270493053715</v>
      </c>
      <c r="BT8" s="77">
        <f>SUP_CONTROL!$C$13*CAPA3_EXPANSION!BT55</f>
        <v>21342.986391123326</v>
      </c>
      <c r="BU8" s="77">
        <f>SUP_CONTROL!$C$13*CAPA3_EXPANSION!BU55</f>
        <v>69768.002856684354</v>
      </c>
      <c r="BV8" s="77">
        <f>SUP_CONTROL!$C$13*CAPA3_EXPANSION!BV55</f>
        <v>67943.953083418572</v>
      </c>
      <c r="BW8" s="77">
        <f>SUP_CONTROL!$C$13*CAPA3_EXPANSION!BW55</f>
        <v>67843.773267244862</v>
      </c>
      <c r="BX8" s="77">
        <f>SUP_CONTROL!$C$13*CAPA3_EXPANSION!BX55</f>
        <v>37751.241313897917</v>
      </c>
      <c r="BY8" s="77">
        <f>SUP_CONTROL!$C$13*CAPA3_EXPANSION!BY55</f>
        <v>91446.933030272136</v>
      </c>
      <c r="BZ8" s="77">
        <f>SUP_CONTROL!$C$13*CAPA3_EXPANSION!BZ55</f>
        <v>97315.98413874238</v>
      </c>
      <c r="CA8" s="77">
        <f>SUP_CONTROL!$C$13*CAPA3_EXPANSION!CA55</f>
        <v>194888.8819895674</v>
      </c>
      <c r="CB8" s="77">
        <f>SUP_CONTROL!$C$13*CAPA3_EXPANSION!CB55</f>
        <v>-368534.44707839191</v>
      </c>
      <c r="CC8" s="77">
        <f>SUP_CONTROL!$C$13*CAPA3_EXPANSION!CC55</f>
        <v>206281.28445392806</v>
      </c>
      <c r="CD8" s="77">
        <f>SUP_CONTROL!$C$13*CAPA3_EXPANSION!CD55</f>
        <v>216884.02903420108</v>
      </c>
      <c r="CE8" s="77">
        <f>SUP_CONTROL!$C$13*CAPA3_EXPANSION!CE55</f>
        <v>215667.88964740984</v>
      </c>
      <c r="CF8" s="77">
        <f>SUP_CONTROL!$C$13*CAPA3_EXPANSION!CF55</f>
        <v>213667.88964740984</v>
      </c>
      <c r="CG8" s="77">
        <f>SUP_CONTROL!$C$13*CAPA3_EXPANSION!CG55</f>
        <v>213667.88964740984</v>
      </c>
      <c r="CH8" s="77">
        <f>SUP_CONTROL!$C$13*CAPA3_EXPANSION!CH55</f>
        <v>213667.88964740984</v>
      </c>
      <c r="CI8" s="77">
        <f>SUP_CONTROL!$C$13*CAPA3_EXPANSION!CI55</f>
        <v>213667.88964740984</v>
      </c>
      <c r="CJ8" s="77">
        <f>SUP_CONTROL!$C$13*CAPA3_EXPANSION!CJ55</f>
        <v>213667.88964740984</v>
      </c>
      <c r="CK8" s="77">
        <f>SUP_CONTROL!$C$13*CAPA3_EXPANSION!CK55</f>
        <v>213667.88964740984</v>
      </c>
      <c r="CL8" s="77">
        <f>SUP_CONTROL!$C$13*CAPA3_EXPANSION!CL55</f>
        <v>213667.88964740984</v>
      </c>
      <c r="CM8" s="77">
        <f>SUP_CONTROL!$C$13*CAPA3_EXPANSION!CM55</f>
        <v>213667.88964740984</v>
      </c>
      <c r="CN8" s="77">
        <f>SUP_CONTROL!$C$13*CAPA3_EXPANSION!CN55</f>
        <v>213667.88964740984</v>
      </c>
      <c r="CO8" s="77">
        <f>SUP_CONTROL!$C$13*CAPA3_EXPANSION!CO55</f>
        <v>213667.88964740984</v>
      </c>
      <c r="CP8" s="77">
        <f>SUP_CONTROL!$C$13*CAPA3_EXPANSION!CP55</f>
        <v>213667.88964740984</v>
      </c>
      <c r="CQ8" s="77">
        <f>SUP_CONTROL!$C$13*CAPA3_EXPANSION!CQ55</f>
        <v>213667.88964740984</v>
      </c>
      <c r="CR8" s="77">
        <f>SUP_CONTROL!$C$13*CAPA3_EXPANSION!CR55</f>
        <v>213667.88964740984</v>
      </c>
      <c r="CS8" s="77">
        <f>SUP_CONTROL!$C$13*CAPA3_EXPANSION!CS55</f>
        <v>213667.88964740984</v>
      </c>
      <c r="CT8" s="77">
        <f>SUP_CONTROL!$C$13*CAPA3_EXPANSION!CT55</f>
        <v>213667.88964740984</v>
      </c>
      <c r="CU8" s="77">
        <f>SUP_CONTROL!$C$13*CAPA3_EXPANSION!CU55</f>
        <v>213667.88964740984</v>
      </c>
      <c r="CV8" s="77">
        <f>SUP_CONTROL!$C$13*CAPA3_EXPANSION!CV55</f>
        <v>213667.88964740984</v>
      </c>
      <c r="CW8" s="77">
        <f>SUP_CONTROL!$C$13*CAPA3_EXPANSION!CW55</f>
        <v>213667.88964740984</v>
      </c>
      <c r="CX8" s="77">
        <f>SUP_CONTROL!$C$13*CAPA3_EXPANSION!CX55</f>
        <v>213667.88964740984</v>
      </c>
      <c r="CY8" s="77">
        <f>SUP_CONTROL!$C$13*CAPA3_EXPANSION!CY55</f>
        <v>213667.88964740984</v>
      </c>
      <c r="CZ8" s="77">
        <f>SUP_CONTROL!$C$13*CAPA3_EXPANSION!CZ55</f>
        <v>213667.88964740984</v>
      </c>
      <c r="DA8" s="77">
        <f>SUP_CONTROL!$C$13*CAPA3_EXPANSION!DA55</f>
        <v>213667.88964740984</v>
      </c>
      <c r="DB8" s="77">
        <f>SUP_CONTROL!$C$13*CAPA3_EXPANSION!DB55</f>
        <v>213667.88964740984</v>
      </c>
      <c r="DC8" s="77">
        <f>SUP_CONTROL!$C$13*CAPA3_EXPANSION!DC55</f>
        <v>213667.88964740984</v>
      </c>
      <c r="DD8" s="77">
        <f>SUP_CONTROL!$C$13*CAPA3_EXPANSION!DD55</f>
        <v>213667.88964740984</v>
      </c>
      <c r="DE8" s="77">
        <f>SUP_CONTROL!$C$13*CAPA3_EXPANSION!DE55</f>
        <v>213667.88964740984</v>
      </c>
      <c r="DF8" s="77">
        <f>SUP_CONTROL!$C$13*CAPA3_EXPANSION!DF55</f>
        <v>213667.88964740984</v>
      </c>
      <c r="DG8" s="77">
        <f>SUP_CONTROL!$C$13*CAPA3_EXPANSION!DG55</f>
        <v>213667.88964740984</v>
      </c>
      <c r="DH8" s="77">
        <f>SUP_CONTROL!$C$13*CAPA3_EXPANSION!DH55</f>
        <v>213667.88964740984</v>
      </c>
      <c r="DI8" s="77">
        <f>SUP_CONTROL!$C$13*CAPA3_EXPANSION!DI55</f>
        <v>213667.88964740984</v>
      </c>
      <c r="DJ8" s="77">
        <f>SUP_CONTROL!$C$13*CAPA3_EXPANSION!DJ55</f>
        <v>213667.88964740984</v>
      </c>
      <c r="DK8" s="77">
        <f>SUP_CONTROL!$C$13*CAPA3_EXPANSION!DK55</f>
        <v>213667.88964740984</v>
      </c>
      <c r="DL8" s="77">
        <f>SUP_CONTROL!$C$13*CAPA3_EXPANSION!DL55</f>
        <v>213667.88964740984</v>
      </c>
      <c r="DM8" s="77">
        <f>SUP_CONTROL!$C$13*CAPA3_EXPANSION!DM55</f>
        <v>213667.88964740984</v>
      </c>
      <c r="DN8" s="77">
        <f>SUP_CONTROL!$C$13*CAPA3_EXPANSION!DN55</f>
        <v>213667.88964740984</v>
      </c>
      <c r="DO8" s="77">
        <f>SUP_CONTROL!$C$13*CAPA3_EXPANSION!DO55</f>
        <v>213667.88964740984</v>
      </c>
      <c r="DP8" s="77">
        <f>SUP_CONTROL!$C$13*CAPA3_EXPANSION!DP55</f>
        <v>213667.88964740984</v>
      </c>
      <c r="DQ8" s="77">
        <f>SUP_CONTROL!$C$13*CAPA3_EXPANSION!DQ55</f>
        <v>213667.88964740984</v>
      </c>
      <c r="DR8" s="77">
        <f>SUP_CONTROL!$C$13*CAPA3_EXPANSION!DR55</f>
        <v>213667.88964740984</v>
      </c>
      <c r="DS8" s="77">
        <f>SUP_CONTROL!$C$13*CAPA3_EXPANSION!DS55</f>
        <v>213667.88964740984</v>
      </c>
    </row>
    <row r="9" spans="1:123" ht="15" customHeight="1" x14ac:dyDescent="0.2">
      <c r="B9" s="37" t="s">
        <v>1114</v>
      </c>
      <c r="D9" s="77">
        <f>SUP_CONTROL!$C$14*CAPA4_RETAIL!D20</f>
        <v>0</v>
      </c>
      <c r="E9" s="77">
        <f>SUP_CONTROL!$C$14*CAPA4_RETAIL!E20</f>
        <v>0</v>
      </c>
      <c r="F9" s="77">
        <f>SUP_CONTROL!$C$14*CAPA4_RETAIL!F20</f>
        <v>0</v>
      </c>
      <c r="G9" s="77">
        <f>SUP_CONTROL!$C$14*CAPA4_RETAIL!G20</f>
        <v>0</v>
      </c>
      <c r="H9" s="77">
        <f>SUP_CONTROL!$C$14*CAPA4_RETAIL!H20</f>
        <v>0</v>
      </c>
      <c r="I9" s="77">
        <f>SUP_CONTROL!$C$14*CAPA4_RETAIL!I20</f>
        <v>0</v>
      </c>
      <c r="J9" s="77">
        <f>SUP_CONTROL!$C$14*CAPA4_RETAIL!J20</f>
        <v>0</v>
      </c>
      <c r="K9" s="77">
        <f>SUP_CONTROL!$C$14*CAPA4_RETAIL!K20</f>
        <v>0</v>
      </c>
      <c r="L9" s="77">
        <f>SUP_CONTROL!$C$14*CAPA4_RETAIL!L20</f>
        <v>0</v>
      </c>
      <c r="M9" s="77">
        <f>SUP_CONTROL!$C$14*CAPA4_RETAIL!M20</f>
        <v>0</v>
      </c>
      <c r="N9" s="77">
        <f>SUP_CONTROL!$C$14*CAPA4_RETAIL!N20</f>
        <v>0</v>
      </c>
      <c r="O9" s="77">
        <f>SUP_CONTROL!$C$14*CAPA4_RETAIL!O20</f>
        <v>0</v>
      </c>
      <c r="P9" s="77">
        <f>SUP_CONTROL!$C$14*CAPA4_RETAIL!P20</f>
        <v>0</v>
      </c>
      <c r="Q9" s="77">
        <f>SUP_CONTROL!$C$14*CAPA4_RETAIL!Q20</f>
        <v>0</v>
      </c>
      <c r="R9" s="77">
        <f>SUP_CONTROL!$C$14*CAPA4_RETAIL!R20</f>
        <v>0</v>
      </c>
      <c r="S9" s="77">
        <f>SUP_CONTROL!$C$14*CAPA4_RETAIL!S20</f>
        <v>0</v>
      </c>
      <c r="T9" s="77">
        <f>SUP_CONTROL!$C$14*CAPA4_RETAIL!T20</f>
        <v>0</v>
      </c>
      <c r="U9" s="77">
        <f>SUP_CONTROL!$C$14*CAPA4_RETAIL!U20</f>
        <v>0</v>
      </c>
      <c r="V9" s="77">
        <f>SUP_CONTROL!$C$14*CAPA4_RETAIL!V20</f>
        <v>0</v>
      </c>
      <c r="W9" s="77">
        <f>SUP_CONTROL!$C$14*CAPA4_RETAIL!W20</f>
        <v>0</v>
      </c>
      <c r="X9" s="77">
        <f>SUP_CONTROL!$C$14*CAPA4_RETAIL!X20</f>
        <v>0</v>
      </c>
      <c r="Y9" s="77">
        <f>SUP_CONTROL!$C$14*CAPA4_RETAIL!Y20</f>
        <v>0</v>
      </c>
      <c r="Z9" s="77">
        <f>SUP_CONTROL!$C$14*CAPA4_RETAIL!Z20</f>
        <v>0</v>
      </c>
      <c r="AA9" s="77">
        <f>SUP_CONTROL!$C$14*CAPA4_RETAIL!AA20</f>
        <v>0</v>
      </c>
      <c r="AB9" s="77">
        <f>SUP_CONTROL!$C$14*CAPA4_RETAIL!AB20</f>
        <v>0</v>
      </c>
      <c r="AC9" s="77">
        <f>SUP_CONTROL!$C$14*CAPA4_RETAIL!AC20</f>
        <v>0</v>
      </c>
      <c r="AD9" s="77">
        <f>SUP_CONTROL!$C$14*CAPA4_RETAIL!AD20</f>
        <v>0</v>
      </c>
      <c r="AE9" s="77">
        <f>SUP_CONTROL!$C$14*CAPA4_RETAIL!AE20</f>
        <v>0</v>
      </c>
      <c r="AF9" s="77">
        <f>SUP_CONTROL!$C$14*CAPA4_RETAIL!AF20</f>
        <v>0</v>
      </c>
      <c r="AG9" s="77">
        <f>SUP_CONTROL!$C$14*CAPA4_RETAIL!AG20</f>
        <v>0</v>
      </c>
      <c r="AH9" s="77">
        <f>SUP_CONTROL!$C$14*CAPA4_RETAIL!AH20</f>
        <v>0</v>
      </c>
      <c r="AI9" s="77">
        <f>SUP_CONTROL!$C$14*CAPA4_RETAIL!AI20</f>
        <v>0</v>
      </c>
      <c r="AJ9" s="77">
        <f>SUP_CONTROL!$C$14*CAPA4_RETAIL!AJ20</f>
        <v>0</v>
      </c>
      <c r="AK9" s="77">
        <f>SUP_CONTROL!$C$14*CAPA4_RETAIL!AK20</f>
        <v>0</v>
      </c>
      <c r="AL9" s="77">
        <f>SUP_CONTROL!$C$14*CAPA4_RETAIL!AL20</f>
        <v>0</v>
      </c>
      <c r="AM9" s="77">
        <f>SUP_CONTROL!$C$14*CAPA4_RETAIL!AM20</f>
        <v>0</v>
      </c>
      <c r="AN9" s="77">
        <f>SUP_CONTROL!$C$14*CAPA4_RETAIL!AN20</f>
        <v>0</v>
      </c>
      <c r="AO9" s="77">
        <f>SUP_CONTROL!$C$14*CAPA4_RETAIL!AO20</f>
        <v>0</v>
      </c>
      <c r="AP9" s="77">
        <f>SUP_CONTROL!$C$14*CAPA4_RETAIL!AP20</f>
        <v>0</v>
      </c>
      <c r="AQ9" s="77">
        <f>SUP_CONTROL!$C$14*CAPA4_RETAIL!AQ20</f>
        <v>0</v>
      </c>
      <c r="AR9" s="77">
        <f>SUP_CONTROL!$C$14*CAPA4_RETAIL!AR20</f>
        <v>0</v>
      </c>
      <c r="AS9" s="77">
        <f>SUP_CONTROL!$C$14*CAPA4_RETAIL!AS20</f>
        <v>0</v>
      </c>
      <c r="AT9" s="77">
        <f>SUP_CONTROL!$C$14*CAPA4_RETAIL!AT20</f>
        <v>0</v>
      </c>
      <c r="AU9" s="77">
        <f>SUP_CONTROL!$C$14*CAPA4_RETAIL!AU20</f>
        <v>0</v>
      </c>
      <c r="AV9" s="77">
        <f>SUP_CONTROL!$C$14*CAPA4_RETAIL!AV20</f>
        <v>0</v>
      </c>
      <c r="AW9" s="77">
        <f>SUP_CONTROL!$C$14*CAPA4_RETAIL!AW20</f>
        <v>0</v>
      </c>
      <c r="AX9" s="77">
        <f>SUP_CONTROL!$C$14*CAPA4_RETAIL!AX20</f>
        <v>0</v>
      </c>
      <c r="AY9" s="77">
        <f>SUP_CONTROL!$C$14*CAPA4_RETAIL!AY20</f>
        <v>0</v>
      </c>
      <c r="AZ9" s="77">
        <f>SUP_CONTROL!$C$14*CAPA4_RETAIL!AZ20</f>
        <v>0</v>
      </c>
      <c r="BA9" s="77">
        <f>SUP_CONTROL!$C$14*CAPA4_RETAIL!BA20</f>
        <v>0</v>
      </c>
      <c r="BB9" s="77">
        <f>SUP_CONTROL!$C$14*CAPA4_RETAIL!BB20</f>
        <v>0</v>
      </c>
      <c r="BC9" s="77">
        <f>SUP_CONTROL!$C$14*CAPA4_RETAIL!BC20</f>
        <v>0</v>
      </c>
      <c r="BD9" s="77">
        <f>SUP_CONTROL!$C$14*CAPA4_RETAIL!BD20</f>
        <v>0</v>
      </c>
      <c r="BE9" s="77">
        <f>SUP_CONTROL!$C$14*CAPA4_RETAIL!BE20</f>
        <v>0</v>
      </c>
      <c r="BF9" s="77">
        <f>SUP_CONTROL!$C$14*CAPA4_RETAIL!BF20</f>
        <v>0</v>
      </c>
      <c r="BG9" s="77">
        <f>SUP_CONTROL!$C$14*CAPA4_RETAIL!BG20</f>
        <v>0</v>
      </c>
      <c r="BH9" s="77">
        <f>SUP_CONTROL!$C$14*CAPA4_RETAIL!BH20</f>
        <v>0</v>
      </c>
      <c r="BI9" s="77">
        <f>SUP_CONTROL!$C$14*CAPA4_RETAIL!BI20</f>
        <v>0</v>
      </c>
      <c r="BJ9" s="77">
        <f>SUP_CONTROL!$C$14*CAPA4_RETAIL!BJ20</f>
        <v>0</v>
      </c>
      <c r="BK9" s="77">
        <f>SUP_CONTROL!$C$14*CAPA4_RETAIL!BK20</f>
        <v>0</v>
      </c>
      <c r="BL9" s="77">
        <f>SUP_CONTROL!$C$14*CAPA4_RETAIL!BL20</f>
        <v>0</v>
      </c>
      <c r="BM9" s="77">
        <f>SUP_CONTROL!$C$14*CAPA4_RETAIL!BM20</f>
        <v>0</v>
      </c>
      <c r="BN9" s="77">
        <f>SUP_CONTROL!$C$14*CAPA4_RETAIL!BN20</f>
        <v>0</v>
      </c>
      <c r="BO9" s="77">
        <f>SUP_CONTROL!$C$14*CAPA4_RETAIL!BO20</f>
        <v>0</v>
      </c>
      <c r="BP9" s="77">
        <f>SUP_CONTROL!$C$14*CAPA4_RETAIL!BP20</f>
        <v>0</v>
      </c>
      <c r="BQ9" s="77">
        <f>SUP_CONTROL!$C$14*CAPA4_RETAIL!BQ20</f>
        <v>0</v>
      </c>
      <c r="BR9" s="77">
        <f>SUP_CONTROL!$C$14*CAPA4_RETAIL!BR20</f>
        <v>0</v>
      </c>
      <c r="BS9" s="77">
        <f>SUP_CONTROL!$C$14*CAPA4_RETAIL!BS20</f>
        <v>0</v>
      </c>
      <c r="BT9" s="77">
        <f>SUP_CONTROL!$C$14*CAPA4_RETAIL!BT20</f>
        <v>0</v>
      </c>
      <c r="BU9" s="77">
        <f>SUP_CONTROL!$C$14*CAPA4_RETAIL!BU20</f>
        <v>0</v>
      </c>
      <c r="BV9" s="77">
        <f>SUP_CONTROL!$C$14*CAPA4_RETAIL!BV20</f>
        <v>0</v>
      </c>
      <c r="BW9" s="77">
        <f>SUP_CONTROL!$C$14*CAPA4_RETAIL!BW20</f>
        <v>0</v>
      </c>
      <c r="BX9" s="77">
        <f>SUP_CONTROL!$C$14*CAPA4_RETAIL!BX20</f>
        <v>0</v>
      </c>
      <c r="BY9" s="77">
        <f>SUP_CONTROL!$C$14*CAPA4_RETAIL!BY20</f>
        <v>0</v>
      </c>
      <c r="BZ9" s="77">
        <f>SUP_CONTROL!$C$14*CAPA4_RETAIL!BZ20</f>
        <v>0</v>
      </c>
      <c r="CA9" s="77">
        <f>SUP_CONTROL!$C$14*CAPA4_RETAIL!CA20</f>
        <v>0</v>
      </c>
      <c r="CB9" s="77">
        <f>SUP_CONTROL!$C$14*CAPA4_RETAIL!CB20</f>
        <v>0</v>
      </c>
      <c r="CC9" s="77">
        <f>SUP_CONTROL!$C$14*CAPA4_RETAIL!CC20</f>
        <v>0</v>
      </c>
      <c r="CD9" s="77">
        <f>SUP_CONTROL!$C$14*CAPA4_RETAIL!CD20</f>
        <v>0</v>
      </c>
      <c r="CE9" s="77">
        <f>SUP_CONTROL!$C$14*CAPA4_RETAIL!CE20</f>
        <v>0</v>
      </c>
      <c r="CF9" s="77">
        <f>SUP_CONTROL!$C$14*CAPA4_RETAIL!CF20</f>
        <v>0</v>
      </c>
      <c r="CG9" s="77">
        <f>SUP_CONTROL!$C$14*CAPA4_RETAIL!CG20</f>
        <v>0</v>
      </c>
      <c r="CH9" s="77">
        <f>SUP_CONTROL!$C$14*CAPA4_RETAIL!CH20</f>
        <v>0</v>
      </c>
      <c r="CI9" s="77">
        <f>SUP_CONTROL!$C$14*CAPA4_RETAIL!CI20</f>
        <v>0</v>
      </c>
      <c r="CJ9" s="77">
        <f>SUP_CONTROL!$C$14*CAPA4_RETAIL!CJ20</f>
        <v>0</v>
      </c>
      <c r="CK9" s="77">
        <f>SUP_CONTROL!$C$14*CAPA4_RETAIL!CK20</f>
        <v>0</v>
      </c>
      <c r="CL9" s="77">
        <f>SUP_CONTROL!$C$14*CAPA4_RETAIL!CL20</f>
        <v>0</v>
      </c>
      <c r="CM9" s="77">
        <f>SUP_CONTROL!$C$14*CAPA4_RETAIL!CM20</f>
        <v>0</v>
      </c>
      <c r="CN9" s="77">
        <f>SUP_CONTROL!$C$14*CAPA4_RETAIL!CN20</f>
        <v>0</v>
      </c>
      <c r="CO9" s="77">
        <f>SUP_CONTROL!$C$14*CAPA4_RETAIL!CO20</f>
        <v>0</v>
      </c>
      <c r="CP9" s="77">
        <f>SUP_CONTROL!$C$14*CAPA4_RETAIL!CP20</f>
        <v>0</v>
      </c>
      <c r="CQ9" s="77">
        <f>SUP_CONTROL!$C$14*CAPA4_RETAIL!CQ20</f>
        <v>0</v>
      </c>
      <c r="CR9" s="77">
        <f>SUP_CONTROL!$C$14*CAPA4_RETAIL!CR20</f>
        <v>0</v>
      </c>
      <c r="CS9" s="77">
        <f>SUP_CONTROL!$C$14*CAPA4_RETAIL!CS20</f>
        <v>0</v>
      </c>
      <c r="CT9" s="77">
        <f>SUP_CONTROL!$C$14*CAPA4_RETAIL!CT20</f>
        <v>0</v>
      </c>
      <c r="CU9" s="77">
        <f>SUP_CONTROL!$C$14*CAPA4_RETAIL!CU20</f>
        <v>0</v>
      </c>
      <c r="CV9" s="77">
        <f>SUP_CONTROL!$C$14*CAPA4_RETAIL!CV20</f>
        <v>0</v>
      </c>
      <c r="CW9" s="77">
        <f>SUP_CONTROL!$C$14*CAPA4_RETAIL!CW20</f>
        <v>0</v>
      </c>
      <c r="CX9" s="77">
        <f>SUP_CONTROL!$C$14*CAPA4_RETAIL!CX20</f>
        <v>0</v>
      </c>
      <c r="CY9" s="77">
        <f>SUP_CONTROL!$C$14*CAPA4_RETAIL!CY20</f>
        <v>0</v>
      </c>
      <c r="CZ9" s="77">
        <f>SUP_CONTROL!$C$14*CAPA4_RETAIL!CZ20</f>
        <v>0</v>
      </c>
      <c r="DA9" s="77">
        <f>SUP_CONTROL!$C$14*CAPA4_RETAIL!DA20</f>
        <v>0</v>
      </c>
      <c r="DB9" s="77">
        <f>SUP_CONTROL!$C$14*CAPA4_RETAIL!DB20</f>
        <v>0</v>
      </c>
      <c r="DC9" s="77">
        <f>SUP_CONTROL!$C$14*CAPA4_RETAIL!DC20</f>
        <v>0</v>
      </c>
      <c r="DD9" s="77">
        <f>SUP_CONTROL!$C$14*CAPA4_RETAIL!DD20</f>
        <v>0</v>
      </c>
      <c r="DE9" s="77">
        <f>SUP_CONTROL!$C$14*CAPA4_RETAIL!DE20</f>
        <v>0</v>
      </c>
      <c r="DF9" s="77">
        <f>SUP_CONTROL!$C$14*CAPA4_RETAIL!DF20</f>
        <v>0</v>
      </c>
      <c r="DG9" s="77">
        <f>SUP_CONTROL!$C$14*CAPA4_RETAIL!DG20</f>
        <v>0</v>
      </c>
      <c r="DH9" s="77">
        <f>SUP_CONTROL!$C$14*CAPA4_RETAIL!DH20</f>
        <v>0</v>
      </c>
      <c r="DI9" s="77">
        <f>SUP_CONTROL!$C$14*CAPA4_RETAIL!DI20</f>
        <v>0</v>
      </c>
      <c r="DJ9" s="77">
        <f>SUP_CONTROL!$C$14*CAPA4_RETAIL!DJ20</f>
        <v>0</v>
      </c>
      <c r="DK9" s="77">
        <f>SUP_CONTROL!$C$14*CAPA4_RETAIL!DK20</f>
        <v>0</v>
      </c>
      <c r="DL9" s="77">
        <f>SUP_CONTROL!$C$14*CAPA4_RETAIL!DL20</f>
        <v>0</v>
      </c>
      <c r="DM9" s="77">
        <f>SUP_CONTROL!$C$14*CAPA4_RETAIL!DM20</f>
        <v>0</v>
      </c>
      <c r="DN9" s="77">
        <f>SUP_CONTROL!$C$14*CAPA4_RETAIL!DN20</f>
        <v>0</v>
      </c>
      <c r="DO9" s="77">
        <f>SUP_CONTROL!$C$14*CAPA4_RETAIL!DO20</f>
        <v>0</v>
      </c>
      <c r="DP9" s="77">
        <f>SUP_CONTROL!$C$14*CAPA4_RETAIL!DP20</f>
        <v>0</v>
      </c>
      <c r="DQ9" s="77">
        <f>SUP_CONTROL!$C$14*CAPA4_RETAIL!DQ20</f>
        <v>0</v>
      </c>
      <c r="DR9" s="77">
        <f>SUP_CONTROL!$C$14*CAPA4_RETAIL!DR20</f>
        <v>0</v>
      </c>
      <c r="DS9" s="77">
        <f>SUP_CONTROL!$C$14*CAPA4_RETAIL!DS20</f>
        <v>0</v>
      </c>
    </row>
    <row r="10" spans="1:123" ht="15" customHeight="1" x14ac:dyDescent="0.2">
      <c r="B10" s="20" t="s">
        <v>1115</v>
      </c>
      <c r="D10" s="72">
        <f t="shared" ref="D10:AI10" si="0">SUM(D6:D9)</f>
        <v>-567244.15466666664</v>
      </c>
      <c r="E10" s="72">
        <f t="shared" si="0"/>
        <v>-444359.15466666664</v>
      </c>
      <c r="F10" s="72">
        <f t="shared" si="0"/>
        <v>-399359.15466666664</v>
      </c>
      <c r="G10" s="72">
        <f t="shared" si="0"/>
        <v>-264390.70874903636</v>
      </c>
      <c r="H10" s="72">
        <f t="shared" si="0"/>
        <v>-288287.31593536626</v>
      </c>
      <c r="I10" s="72">
        <f t="shared" si="0"/>
        <v>10386.91392405441</v>
      </c>
      <c r="J10" s="72">
        <f t="shared" si="0"/>
        <v>15729.789836990494</v>
      </c>
      <c r="K10" s="72">
        <f t="shared" si="0"/>
        <v>23296.136047573047</v>
      </c>
      <c r="L10" s="72">
        <f t="shared" si="0"/>
        <v>63632.83278784815</v>
      </c>
      <c r="M10" s="72">
        <f t="shared" si="0"/>
        <v>61582.91677248395</v>
      </c>
      <c r="N10" s="72">
        <f t="shared" si="0"/>
        <v>55182.91677248395</v>
      </c>
      <c r="O10" s="72">
        <f t="shared" si="0"/>
        <v>55182.91677248395</v>
      </c>
      <c r="P10" s="72">
        <f t="shared" si="0"/>
        <v>58326.444877464273</v>
      </c>
      <c r="Q10" s="72">
        <f t="shared" si="0"/>
        <v>-38375.492122535703</v>
      </c>
      <c r="R10" s="72">
        <f t="shared" si="0"/>
        <v>58326.444877464273</v>
      </c>
      <c r="S10" s="72">
        <f t="shared" si="0"/>
        <v>-38375.492122535703</v>
      </c>
      <c r="T10" s="72">
        <f t="shared" si="0"/>
        <v>-44810.960085639323</v>
      </c>
      <c r="U10" s="72">
        <f t="shared" si="0"/>
        <v>65145.807238759808</v>
      </c>
      <c r="V10" s="72">
        <f t="shared" si="0"/>
        <v>58760.15886075564</v>
      </c>
      <c r="W10" s="72">
        <f t="shared" si="0"/>
        <v>63629.340807150627</v>
      </c>
      <c r="X10" s="72">
        <f t="shared" si="0"/>
        <v>77720.724681149237</v>
      </c>
      <c r="Y10" s="72">
        <f t="shared" si="0"/>
        <v>77393.831780348119</v>
      </c>
      <c r="Z10" s="72">
        <f t="shared" si="0"/>
        <v>76230.38532994756</v>
      </c>
      <c r="AA10" s="72">
        <f t="shared" si="0"/>
        <v>-271113.60788071912</v>
      </c>
      <c r="AB10" s="72">
        <f t="shared" si="0"/>
        <v>75646.519445815458</v>
      </c>
      <c r="AC10" s="72">
        <f t="shared" si="0"/>
        <v>-68585.921574476219</v>
      </c>
      <c r="AD10" s="72">
        <f t="shared" si="0"/>
        <v>-21198.445580928972</v>
      </c>
      <c r="AE10" s="72">
        <f t="shared" si="0"/>
        <v>75503.491419070997</v>
      </c>
      <c r="AF10" s="72">
        <f t="shared" si="0"/>
        <v>-33343.660832921516</v>
      </c>
      <c r="AG10" s="72">
        <f t="shared" si="0"/>
        <v>-19265.876084914038</v>
      </c>
      <c r="AH10" s="72">
        <f t="shared" si="0"/>
        <v>91846.824496256071</v>
      </c>
      <c r="AI10" s="72">
        <f t="shared" si="0"/>
        <v>83563.710037076467</v>
      </c>
      <c r="AJ10" s="72">
        <f t="shared" ref="AJ10:BO10" si="1">SUM(AJ6:AJ9)</f>
        <v>-55579.648043739769</v>
      </c>
      <c r="AK10" s="72">
        <f t="shared" si="1"/>
        <v>6759.1493442812134</v>
      </c>
      <c r="AL10" s="72">
        <f t="shared" si="1"/>
        <v>5145.6601630923687</v>
      </c>
      <c r="AM10" s="72">
        <f t="shared" si="1"/>
        <v>-8348.267247337717</v>
      </c>
      <c r="AN10" s="72">
        <f t="shared" si="1"/>
        <v>104778.51101341775</v>
      </c>
      <c r="AO10" s="72">
        <f t="shared" si="1"/>
        <v>-32186.192678987762</v>
      </c>
      <c r="AP10" s="72">
        <f t="shared" si="1"/>
        <v>117359.99026748832</v>
      </c>
      <c r="AQ10" s="72">
        <f t="shared" si="1"/>
        <v>33903.779712386357</v>
      </c>
      <c r="AR10" s="72">
        <f t="shared" si="1"/>
        <v>21391.048568984261</v>
      </c>
      <c r="AS10" s="72">
        <f t="shared" si="1"/>
        <v>137807.63450632448</v>
      </c>
      <c r="AT10" s="72">
        <f t="shared" si="1"/>
        <v>131796.7367813258</v>
      </c>
      <c r="AU10" s="72">
        <f t="shared" si="1"/>
        <v>135864.47410921194</v>
      </c>
      <c r="AV10" s="72">
        <f t="shared" si="1"/>
        <v>149995.5325306867</v>
      </c>
      <c r="AW10" s="72">
        <f t="shared" si="1"/>
        <v>-482572.59402680013</v>
      </c>
      <c r="AX10" s="72">
        <f t="shared" si="1"/>
        <v>140993.7253417898</v>
      </c>
      <c r="AY10" s="72">
        <f t="shared" si="1"/>
        <v>140993.7253417898</v>
      </c>
      <c r="AZ10" s="72">
        <f t="shared" si="1"/>
        <v>144595.87689346232</v>
      </c>
      <c r="BA10" s="72">
        <f t="shared" si="1"/>
        <v>-361715.39215168991</v>
      </c>
      <c r="BB10" s="72">
        <f t="shared" si="1"/>
        <v>46118.336253143447</v>
      </c>
      <c r="BC10" s="72">
        <f t="shared" si="1"/>
        <v>-1412.1677671482539</v>
      </c>
      <c r="BD10" s="72">
        <f t="shared" si="1"/>
        <v>-4316.6340964529227</v>
      </c>
      <c r="BE10" s="72">
        <f t="shared" si="1"/>
        <v>51295.628694971769</v>
      </c>
      <c r="BF10" s="72">
        <f t="shared" si="1"/>
        <v>50588.107428813324</v>
      </c>
      <c r="BG10" s="72">
        <f t="shared" si="1"/>
        <v>9041.8738773516234</v>
      </c>
      <c r="BH10" s="72">
        <f t="shared" si="1"/>
        <v>63063.943155892353</v>
      </c>
      <c r="BI10" s="72">
        <f t="shared" si="1"/>
        <v>67961.927184433021</v>
      </c>
      <c r="BJ10" s="72">
        <f t="shared" si="1"/>
        <v>68397.847132062758</v>
      </c>
      <c r="BK10" s="72">
        <f t="shared" si="1"/>
        <v>29666.310260597122</v>
      </c>
      <c r="BL10" s="72">
        <f t="shared" si="1"/>
        <v>88220.880591884328</v>
      </c>
      <c r="BM10" s="72">
        <f t="shared" si="1"/>
        <v>93060.776410434279</v>
      </c>
      <c r="BN10" s="72">
        <f t="shared" si="1"/>
        <v>93429.302755210738</v>
      </c>
      <c r="BO10" s="72">
        <f t="shared" si="1"/>
        <v>58999.325401019931</v>
      </c>
      <c r="BP10" s="72">
        <f t="shared" ref="BP10:CU10" si="2">SUM(BP6:BP9)</f>
        <v>-297560.53682203445</v>
      </c>
      <c r="BQ10" s="72">
        <f t="shared" si="2"/>
        <v>114707.02255622478</v>
      </c>
      <c r="BR10" s="72">
        <f t="shared" si="2"/>
        <v>114908.6895540136</v>
      </c>
      <c r="BS10" s="72">
        <f t="shared" si="2"/>
        <v>83967.591004921822</v>
      </c>
      <c r="BT10" s="72">
        <f t="shared" si="2"/>
        <v>91278.728293991968</v>
      </c>
      <c r="BU10" s="72">
        <f t="shared" si="2"/>
        <v>139768.13127959982</v>
      </c>
      <c r="BV10" s="72">
        <f t="shared" si="2"/>
        <v>138074.25735331565</v>
      </c>
      <c r="BW10" s="72">
        <f t="shared" si="2"/>
        <v>138109.06500411668</v>
      </c>
      <c r="BX10" s="72">
        <f t="shared" si="2"/>
        <v>109701.20756886058</v>
      </c>
      <c r="BY10" s="72">
        <f t="shared" si="2"/>
        <v>163503.79407590779</v>
      </c>
      <c r="BZ10" s="72">
        <f t="shared" si="2"/>
        <v>169491.52873033544</v>
      </c>
      <c r="CA10" s="72">
        <f t="shared" si="2"/>
        <v>267190.60719142191</v>
      </c>
      <c r="CB10" s="72">
        <f t="shared" si="2"/>
        <v>-297080.32002670638</v>
      </c>
      <c r="CC10" s="72">
        <f t="shared" si="2"/>
        <v>277785.20489620912</v>
      </c>
      <c r="CD10" s="72">
        <f t="shared" si="2"/>
        <v>288411.51458843955</v>
      </c>
      <c r="CE10" s="72">
        <f t="shared" si="2"/>
        <v>287205.56228071364</v>
      </c>
      <c r="CF10" s="72">
        <f t="shared" si="2"/>
        <v>285205.56228071364</v>
      </c>
      <c r="CG10" s="72">
        <f t="shared" si="2"/>
        <v>285205.56228071364</v>
      </c>
      <c r="CH10" s="72">
        <f t="shared" si="2"/>
        <v>285205.56228071364</v>
      </c>
      <c r="CI10" s="72">
        <f t="shared" si="2"/>
        <v>285205.56228071364</v>
      </c>
      <c r="CJ10" s="72">
        <f t="shared" si="2"/>
        <v>285205.56228071364</v>
      </c>
      <c r="CK10" s="72">
        <f t="shared" si="2"/>
        <v>285205.56228071364</v>
      </c>
      <c r="CL10" s="72">
        <f t="shared" si="2"/>
        <v>285205.56228071364</v>
      </c>
      <c r="CM10" s="72">
        <f t="shared" si="2"/>
        <v>285205.56228071364</v>
      </c>
      <c r="CN10" s="72">
        <f t="shared" si="2"/>
        <v>285205.56228071364</v>
      </c>
      <c r="CO10" s="72">
        <f t="shared" si="2"/>
        <v>285205.56228071364</v>
      </c>
      <c r="CP10" s="72">
        <f t="shared" si="2"/>
        <v>285205.56228071364</v>
      </c>
      <c r="CQ10" s="72">
        <f t="shared" si="2"/>
        <v>285205.56228071364</v>
      </c>
      <c r="CR10" s="72">
        <f t="shared" si="2"/>
        <v>285205.56228071364</v>
      </c>
      <c r="CS10" s="72">
        <f t="shared" si="2"/>
        <v>285205.56228071364</v>
      </c>
      <c r="CT10" s="72">
        <f t="shared" si="2"/>
        <v>285205.56228071364</v>
      </c>
      <c r="CU10" s="72">
        <f t="shared" si="2"/>
        <v>285205.56228071364</v>
      </c>
      <c r="CV10" s="72">
        <f t="shared" ref="CV10:EA10" si="3">SUM(CV6:CV9)</f>
        <v>285205.56228071364</v>
      </c>
      <c r="CW10" s="72">
        <f t="shared" si="3"/>
        <v>285205.56228071364</v>
      </c>
      <c r="CX10" s="72">
        <f t="shared" si="3"/>
        <v>285205.56228071364</v>
      </c>
      <c r="CY10" s="72">
        <f t="shared" si="3"/>
        <v>285205.56228071364</v>
      </c>
      <c r="CZ10" s="72">
        <f t="shared" si="3"/>
        <v>285205.56228071364</v>
      </c>
      <c r="DA10" s="72">
        <f t="shared" si="3"/>
        <v>285205.56228071364</v>
      </c>
      <c r="DB10" s="72">
        <f t="shared" si="3"/>
        <v>285205.56228071364</v>
      </c>
      <c r="DC10" s="72">
        <f t="shared" si="3"/>
        <v>285205.56228071364</v>
      </c>
      <c r="DD10" s="72">
        <f t="shared" si="3"/>
        <v>285205.56228071364</v>
      </c>
      <c r="DE10" s="72">
        <f t="shared" si="3"/>
        <v>285205.56228071364</v>
      </c>
      <c r="DF10" s="72">
        <f t="shared" si="3"/>
        <v>285205.56228071364</v>
      </c>
      <c r="DG10" s="72">
        <f t="shared" si="3"/>
        <v>285205.56228071364</v>
      </c>
      <c r="DH10" s="72">
        <f t="shared" si="3"/>
        <v>285205.56228071364</v>
      </c>
      <c r="DI10" s="72">
        <f t="shared" si="3"/>
        <v>285205.56228071364</v>
      </c>
      <c r="DJ10" s="72">
        <f t="shared" si="3"/>
        <v>285205.56228071364</v>
      </c>
      <c r="DK10" s="72">
        <f t="shared" si="3"/>
        <v>285205.56228071364</v>
      </c>
      <c r="DL10" s="72">
        <f t="shared" si="3"/>
        <v>285205.56228071364</v>
      </c>
      <c r="DM10" s="72">
        <f t="shared" si="3"/>
        <v>285205.56228071364</v>
      </c>
      <c r="DN10" s="72">
        <f t="shared" si="3"/>
        <v>285205.56228071364</v>
      </c>
      <c r="DO10" s="72">
        <f t="shared" si="3"/>
        <v>285205.56228071364</v>
      </c>
      <c r="DP10" s="72">
        <f t="shared" si="3"/>
        <v>285205.56228071364</v>
      </c>
      <c r="DQ10" s="72">
        <f t="shared" si="3"/>
        <v>285205.56228071364</v>
      </c>
      <c r="DR10" s="72">
        <f t="shared" si="3"/>
        <v>285205.56228071364</v>
      </c>
      <c r="DS10" s="72">
        <f t="shared" si="3"/>
        <v>285205.56228071364</v>
      </c>
    </row>
    <row r="11" spans="1:123" ht="15" customHeight="1" x14ac:dyDescent="0.2">
      <c r="B11" s="37" t="s">
        <v>914</v>
      </c>
      <c r="D11" s="77">
        <f>D10</f>
        <v>-567244.15466666664</v>
      </c>
      <c r="E11" s="77">
        <f t="shared" ref="E11:AJ11" si="4">D11+E10</f>
        <v>-1011603.3093333333</v>
      </c>
      <c r="F11" s="77">
        <f t="shared" si="4"/>
        <v>-1410962.4639999999</v>
      </c>
      <c r="G11" s="77">
        <f t="shared" si="4"/>
        <v>-1675353.1727490362</v>
      </c>
      <c r="H11" s="77">
        <f t="shared" si="4"/>
        <v>-1963640.4886844025</v>
      </c>
      <c r="I11" s="77">
        <f t="shared" si="4"/>
        <v>-1953253.5747603481</v>
      </c>
      <c r="J11" s="77">
        <f t="shared" si="4"/>
        <v>-1937523.7849233577</v>
      </c>
      <c r="K11" s="77">
        <f t="shared" si="4"/>
        <v>-1914227.6488757846</v>
      </c>
      <c r="L11" s="77">
        <f t="shared" si="4"/>
        <v>-1850594.8160879365</v>
      </c>
      <c r="M11" s="77">
        <f t="shared" si="4"/>
        <v>-1789011.8993154527</v>
      </c>
      <c r="N11" s="77">
        <f t="shared" si="4"/>
        <v>-1733828.9825429688</v>
      </c>
      <c r="O11" s="77">
        <f t="shared" si="4"/>
        <v>-1678646.065770485</v>
      </c>
      <c r="P11" s="77">
        <f t="shared" si="4"/>
        <v>-1620319.6208930206</v>
      </c>
      <c r="Q11" s="77">
        <f t="shared" si="4"/>
        <v>-1658695.1130155562</v>
      </c>
      <c r="R11" s="77">
        <f t="shared" si="4"/>
        <v>-1600368.6681380919</v>
      </c>
      <c r="S11" s="77">
        <f t="shared" si="4"/>
        <v>-1638744.1602606275</v>
      </c>
      <c r="T11" s="77">
        <f t="shared" si="4"/>
        <v>-1683555.1203462668</v>
      </c>
      <c r="U11" s="77">
        <f t="shared" si="4"/>
        <v>-1618409.3131075071</v>
      </c>
      <c r="V11" s="77">
        <f t="shared" si="4"/>
        <v>-1559649.1542467515</v>
      </c>
      <c r="W11" s="77">
        <f t="shared" si="4"/>
        <v>-1496019.8134396009</v>
      </c>
      <c r="X11" s="77">
        <f t="shared" si="4"/>
        <v>-1418299.0887584516</v>
      </c>
      <c r="Y11" s="77">
        <f t="shared" si="4"/>
        <v>-1340905.2569781034</v>
      </c>
      <c r="Z11" s="77">
        <f t="shared" si="4"/>
        <v>-1264674.8716481559</v>
      </c>
      <c r="AA11" s="77">
        <f t="shared" si="4"/>
        <v>-1535788.4795288751</v>
      </c>
      <c r="AB11" s="77">
        <f t="shared" si="4"/>
        <v>-1460141.9600830597</v>
      </c>
      <c r="AC11" s="77">
        <f t="shared" si="4"/>
        <v>-1528727.8816575359</v>
      </c>
      <c r="AD11" s="77">
        <f t="shared" si="4"/>
        <v>-1549926.327238465</v>
      </c>
      <c r="AE11" s="77">
        <f t="shared" si="4"/>
        <v>-1474422.8358193939</v>
      </c>
      <c r="AF11" s="77">
        <f t="shared" si="4"/>
        <v>-1507766.4966523154</v>
      </c>
      <c r="AG11" s="77">
        <f t="shared" si="4"/>
        <v>-1527032.3727372293</v>
      </c>
      <c r="AH11" s="77">
        <f t="shared" si="4"/>
        <v>-1435185.5482409731</v>
      </c>
      <c r="AI11" s="77">
        <f t="shared" si="4"/>
        <v>-1351621.8382038968</v>
      </c>
      <c r="AJ11" s="77">
        <f t="shared" si="4"/>
        <v>-1407201.4862476366</v>
      </c>
      <c r="AK11" s="77">
        <f t="shared" ref="AK11:BP11" si="5">AJ11+AK10</f>
        <v>-1400442.3369033553</v>
      </c>
      <c r="AL11" s="77">
        <f t="shared" si="5"/>
        <v>-1395296.6767402629</v>
      </c>
      <c r="AM11" s="77">
        <f t="shared" si="5"/>
        <v>-1403644.9439876005</v>
      </c>
      <c r="AN11" s="77">
        <f t="shared" si="5"/>
        <v>-1298866.4329741828</v>
      </c>
      <c r="AO11" s="77">
        <f t="shared" si="5"/>
        <v>-1331052.6256531705</v>
      </c>
      <c r="AP11" s="77">
        <f t="shared" si="5"/>
        <v>-1213692.6353856821</v>
      </c>
      <c r="AQ11" s="77">
        <f t="shared" si="5"/>
        <v>-1179788.8556732957</v>
      </c>
      <c r="AR11" s="77">
        <f t="shared" si="5"/>
        <v>-1158397.8071043114</v>
      </c>
      <c r="AS11" s="77">
        <f t="shared" si="5"/>
        <v>-1020590.1725979869</v>
      </c>
      <c r="AT11" s="77">
        <f t="shared" si="5"/>
        <v>-888793.43581666111</v>
      </c>
      <c r="AU11" s="77">
        <f t="shared" si="5"/>
        <v>-752928.96170744917</v>
      </c>
      <c r="AV11" s="77">
        <f t="shared" si="5"/>
        <v>-602933.42917676247</v>
      </c>
      <c r="AW11" s="77">
        <f t="shared" si="5"/>
        <v>-1085506.0232035625</v>
      </c>
      <c r="AX11" s="77">
        <f t="shared" si="5"/>
        <v>-944512.29786177271</v>
      </c>
      <c r="AY11" s="77">
        <f t="shared" si="5"/>
        <v>-803518.57251998293</v>
      </c>
      <c r="AZ11" s="77">
        <f t="shared" si="5"/>
        <v>-658922.69562652055</v>
      </c>
      <c r="BA11" s="77">
        <f t="shared" si="5"/>
        <v>-1020638.0877782104</v>
      </c>
      <c r="BB11" s="77">
        <f t="shared" si="5"/>
        <v>-974519.75152506691</v>
      </c>
      <c r="BC11" s="77">
        <f t="shared" si="5"/>
        <v>-975931.91929221514</v>
      </c>
      <c r="BD11" s="77">
        <f t="shared" si="5"/>
        <v>-980248.55338866811</v>
      </c>
      <c r="BE11" s="77">
        <f t="shared" si="5"/>
        <v>-928952.92469369632</v>
      </c>
      <c r="BF11" s="77">
        <f t="shared" si="5"/>
        <v>-878364.81726488296</v>
      </c>
      <c r="BG11" s="77">
        <f t="shared" si="5"/>
        <v>-869322.94338753133</v>
      </c>
      <c r="BH11" s="77">
        <f t="shared" si="5"/>
        <v>-806259.00023163902</v>
      </c>
      <c r="BI11" s="77">
        <f t="shared" si="5"/>
        <v>-738297.07304720604</v>
      </c>
      <c r="BJ11" s="77">
        <f t="shared" si="5"/>
        <v>-669899.22591514327</v>
      </c>
      <c r="BK11" s="77">
        <f t="shared" si="5"/>
        <v>-640232.91565454612</v>
      </c>
      <c r="BL11" s="77">
        <f t="shared" si="5"/>
        <v>-552012.03506266174</v>
      </c>
      <c r="BM11" s="77">
        <f t="shared" si="5"/>
        <v>-458951.25865222747</v>
      </c>
      <c r="BN11" s="77">
        <f t="shared" si="5"/>
        <v>-365521.95589701674</v>
      </c>
      <c r="BO11" s="77">
        <f t="shared" si="5"/>
        <v>-306522.6304959968</v>
      </c>
      <c r="BP11" s="77">
        <f t="shared" si="5"/>
        <v>-604083.16731803119</v>
      </c>
      <c r="BQ11" s="77">
        <f t="shared" ref="BQ11:CV11" si="6">BP11+BQ10</f>
        <v>-489376.14476180641</v>
      </c>
      <c r="BR11" s="77">
        <f t="shared" si="6"/>
        <v>-374467.45520779281</v>
      </c>
      <c r="BS11" s="77">
        <f t="shared" si="6"/>
        <v>-290499.86420287099</v>
      </c>
      <c r="BT11" s="77">
        <f t="shared" si="6"/>
        <v>-199221.13590887902</v>
      </c>
      <c r="BU11" s="77">
        <f t="shared" si="6"/>
        <v>-59453.004629279196</v>
      </c>
      <c r="BV11" s="77">
        <f t="shared" si="6"/>
        <v>78621.252724036458</v>
      </c>
      <c r="BW11" s="77">
        <f t="shared" si="6"/>
        <v>216730.31772815314</v>
      </c>
      <c r="BX11" s="77">
        <f t="shared" si="6"/>
        <v>326431.52529701369</v>
      </c>
      <c r="BY11" s="77">
        <f t="shared" si="6"/>
        <v>489935.31937292148</v>
      </c>
      <c r="BZ11" s="77">
        <f t="shared" si="6"/>
        <v>659426.8481032569</v>
      </c>
      <c r="CA11" s="77">
        <f t="shared" si="6"/>
        <v>926617.4552946788</v>
      </c>
      <c r="CB11" s="77">
        <f t="shared" si="6"/>
        <v>629537.13526797248</v>
      </c>
      <c r="CC11" s="77">
        <f t="shared" si="6"/>
        <v>907322.34016418154</v>
      </c>
      <c r="CD11" s="77">
        <f t="shared" si="6"/>
        <v>1195733.8547526211</v>
      </c>
      <c r="CE11" s="77">
        <f t="shared" si="6"/>
        <v>1482939.4170333347</v>
      </c>
      <c r="CF11" s="77">
        <f t="shared" si="6"/>
        <v>1768144.9793140483</v>
      </c>
      <c r="CG11" s="77">
        <f t="shared" si="6"/>
        <v>2053350.5415947619</v>
      </c>
      <c r="CH11" s="77">
        <f t="shared" si="6"/>
        <v>2338556.1038754755</v>
      </c>
      <c r="CI11" s="77">
        <f t="shared" si="6"/>
        <v>2623761.6661561891</v>
      </c>
      <c r="CJ11" s="77">
        <f t="shared" si="6"/>
        <v>2908967.2284369026</v>
      </c>
      <c r="CK11" s="77">
        <f t="shared" si="6"/>
        <v>3194172.7907176162</v>
      </c>
      <c r="CL11" s="77">
        <f t="shared" si="6"/>
        <v>3479378.3529983298</v>
      </c>
      <c r="CM11" s="77">
        <f t="shared" si="6"/>
        <v>3764583.9152790434</v>
      </c>
      <c r="CN11" s="77">
        <f t="shared" si="6"/>
        <v>4049789.477559757</v>
      </c>
      <c r="CO11" s="77">
        <f t="shared" si="6"/>
        <v>4334995.039840471</v>
      </c>
      <c r="CP11" s="77">
        <f t="shared" si="6"/>
        <v>4620200.6021211846</v>
      </c>
      <c r="CQ11" s="77">
        <f t="shared" si="6"/>
        <v>4905406.1644018982</v>
      </c>
      <c r="CR11" s="77">
        <f t="shared" si="6"/>
        <v>5190611.7266826117</v>
      </c>
      <c r="CS11" s="77">
        <f t="shared" si="6"/>
        <v>5475817.2889633253</v>
      </c>
      <c r="CT11" s="77">
        <f t="shared" si="6"/>
        <v>5761022.8512440389</v>
      </c>
      <c r="CU11" s="77">
        <f t="shared" si="6"/>
        <v>6046228.4135247525</v>
      </c>
      <c r="CV11" s="77">
        <f t="shared" si="6"/>
        <v>6331433.9758054661</v>
      </c>
      <c r="CW11" s="77">
        <f t="shared" ref="CW11:EB11" si="7">CV11+CW10</f>
        <v>6616639.5380861796</v>
      </c>
      <c r="CX11" s="77">
        <f t="shared" si="7"/>
        <v>6901845.1003668932</v>
      </c>
      <c r="CY11" s="77">
        <f t="shared" si="7"/>
        <v>7187050.6626476068</v>
      </c>
      <c r="CZ11" s="77">
        <f t="shared" si="7"/>
        <v>7472256.2249283204</v>
      </c>
      <c r="DA11" s="77">
        <f t="shared" si="7"/>
        <v>7757461.787209034</v>
      </c>
      <c r="DB11" s="77">
        <f t="shared" si="7"/>
        <v>8042667.3494897475</v>
      </c>
      <c r="DC11" s="77">
        <f t="shared" si="7"/>
        <v>8327872.9117704611</v>
      </c>
      <c r="DD11" s="77">
        <f t="shared" si="7"/>
        <v>8613078.4740511756</v>
      </c>
      <c r="DE11" s="77">
        <f t="shared" si="7"/>
        <v>8898284.0363318902</v>
      </c>
      <c r="DF11" s="77">
        <f t="shared" si="7"/>
        <v>9183489.5986126047</v>
      </c>
      <c r="DG11" s="77">
        <f t="shared" si="7"/>
        <v>9468695.1608933192</v>
      </c>
      <c r="DH11" s="77">
        <f t="shared" si="7"/>
        <v>9753900.7231740337</v>
      </c>
      <c r="DI11" s="77">
        <f t="shared" si="7"/>
        <v>10039106.285454748</v>
      </c>
      <c r="DJ11" s="77">
        <f t="shared" si="7"/>
        <v>10324311.847735463</v>
      </c>
      <c r="DK11" s="77">
        <f t="shared" si="7"/>
        <v>10609517.410016177</v>
      </c>
      <c r="DL11" s="77">
        <f t="shared" si="7"/>
        <v>10894722.972296892</v>
      </c>
      <c r="DM11" s="77">
        <f t="shared" si="7"/>
        <v>11179928.534577606</v>
      </c>
      <c r="DN11" s="77">
        <f t="shared" si="7"/>
        <v>11465134.096858321</v>
      </c>
      <c r="DO11" s="77">
        <f t="shared" si="7"/>
        <v>11750339.659139035</v>
      </c>
      <c r="DP11" s="77">
        <f t="shared" si="7"/>
        <v>12035545.22141975</v>
      </c>
      <c r="DQ11" s="77">
        <f t="shared" si="7"/>
        <v>12320750.783700464</v>
      </c>
      <c r="DR11" s="77">
        <f t="shared" si="7"/>
        <v>12605956.345981179</v>
      </c>
      <c r="DS11" s="77">
        <f t="shared" si="7"/>
        <v>12891161.908261893</v>
      </c>
    </row>
    <row r="12" spans="1:123" ht="15" customHeight="1" x14ac:dyDescent="0.2">
      <c r="B12" s="37" t="s">
        <v>915</v>
      </c>
      <c r="D12" s="77">
        <f>D10/(1+SUP_CONTROL!$C$32)^D4</f>
        <v>-556793.54892887629</v>
      </c>
      <c r="E12" s="77">
        <f>E10/(1+SUP_CONTROL!$C$32)^E4</f>
        <v>-428136.70571748068</v>
      </c>
      <c r="F12" s="77">
        <f>F10/(1+SUP_CONTROL!$C$32)^F4</f>
        <v>-377690.5695046013</v>
      </c>
      <c r="G12" s="77">
        <f>G10/(1+SUP_CONTROL!$C$32)^G4</f>
        <v>-245438.59228809903</v>
      </c>
      <c r="H12" s="77">
        <f>H10/(1+SUP_CONTROL!$C$32)^H4</f>
        <v>-262691.70700947708</v>
      </c>
      <c r="I12" s="77">
        <f>I10/(1+SUP_CONTROL!$C$32)^I4</f>
        <v>9290.3382442498933</v>
      </c>
      <c r="J12" s="77">
        <f>J10/(1+SUP_CONTROL!$C$32)^J4</f>
        <v>13809.949142154803</v>
      </c>
      <c r="K12" s="77">
        <f>K10/(1+SUP_CONTROL!$C$32)^K4</f>
        <v>20076.001457837436</v>
      </c>
      <c r="L12" s="77">
        <f>L10/(1+SUP_CONTROL!$C$32)^L4</f>
        <v>53826.823040951269</v>
      </c>
      <c r="M12" s="77">
        <f>M10/(1+SUP_CONTROL!$C$32)^M4</f>
        <v>51133.074970658978</v>
      </c>
      <c r="N12" s="77">
        <f>N10/(1+SUP_CONTROL!$C$32)^N4</f>
        <v>44974.927654051702</v>
      </c>
      <c r="O12" s="77">
        <f>O10/(1+SUP_CONTROL!$C$32)^O4</f>
        <v>44146.333417987102</v>
      </c>
      <c r="P12" s="77">
        <f>P10/(1+SUP_CONTROL!$C$32)^P4</f>
        <v>45801.495490155168</v>
      </c>
      <c r="Q12" s="77">
        <f>Q10/(1+SUP_CONTROL!$C$32)^Q4</f>
        <v>-29579.598583860618</v>
      </c>
      <c r="R12" s="77">
        <f>R10/(1+SUP_CONTROL!$C$32)^R4</f>
        <v>44129.396660678409</v>
      </c>
      <c r="S12" s="77">
        <f>S10/(1+SUP_CONTROL!$C$32)^S4</f>
        <v>-28499.72091525705</v>
      </c>
      <c r="T12" s="77">
        <f>T10/(1+SUP_CONTROL!$C$32)^T4</f>
        <v>-32665.932760688709</v>
      </c>
      <c r="U12" s="77">
        <f>U10/(1+SUP_CONTROL!$C$32)^U4</f>
        <v>46614.545099188646</v>
      </c>
      <c r="V12" s="77">
        <f>V10/(1+SUP_CONTROL!$C$32)^V4</f>
        <v>41270.725870408794</v>
      </c>
      <c r="W12" s="77">
        <f>W10/(1+SUP_CONTROL!$C$32)^W4</f>
        <v>43867.282924411629</v>
      </c>
      <c r="X12" s="77">
        <f>X10/(1+SUP_CONTROL!$C$32)^X4</f>
        <v>52594.982945038602</v>
      </c>
      <c r="Y12" s="77">
        <f>Y10/(1+SUP_CONTROL!$C$32)^Y4</f>
        <v>51408.862198736453</v>
      </c>
      <c r="Z12" s="77">
        <f>Z10/(1+SUP_CONTROL!$C$32)^Z4</f>
        <v>49703.151131212609</v>
      </c>
      <c r="AA12" s="77">
        <f>AA10/(1+SUP_CONTROL!$C$32)^AA4</f>
        <v>-173512.70904365979</v>
      </c>
      <c r="AB12" s="77">
        <f>AB10/(1+SUP_CONTROL!$C$32)^AB4</f>
        <v>47521.822754976398</v>
      </c>
      <c r="AC12" s="77">
        <f>AC10/(1+SUP_CONTROL!$C$32)^AC4</f>
        <v>-42292.492764897441</v>
      </c>
      <c r="AD12" s="77">
        <f>AD10/(1+SUP_CONTROL!$C$32)^AD4</f>
        <v>-12830.881300527339</v>
      </c>
      <c r="AE12" s="77">
        <f>AE10/(1+SUP_CONTROL!$C$32)^AE4</f>
        <v>44858.388821700755</v>
      </c>
      <c r="AF12" s="77">
        <f>AF10/(1+SUP_CONTROL!$C$32)^AF4</f>
        <v>-19445.274650341296</v>
      </c>
      <c r="AG12" s="77">
        <f>AG10/(1+SUP_CONTROL!$C$32)^AG4</f>
        <v>-11028.43099442052</v>
      </c>
      <c r="AH12" s="77">
        <f>AH10/(1+SUP_CONTROL!$C$32)^AH4</f>
        <v>51607.554361248112</v>
      </c>
      <c r="AI12" s="77">
        <f>AI10/(1+SUP_CONTROL!$C$32)^AI4</f>
        <v>46088.334267300459</v>
      </c>
      <c r="AJ12" s="77">
        <f>AJ10/(1+SUP_CONTROL!$C$32)^AJ4</f>
        <v>-30089.381208878483</v>
      </c>
      <c r="AK12" s="77">
        <f>AK10/(1+SUP_CONTROL!$C$32)^AK4</f>
        <v>3591.8126210059509</v>
      </c>
      <c r="AL12" s="77">
        <f>AL10/(1+SUP_CONTROL!$C$32)^AL4</f>
        <v>2684.0270965343238</v>
      </c>
      <c r="AM12" s="77">
        <f>AM10/(1+SUP_CONTROL!$C$32)^AM4</f>
        <v>-4274.3128306368944</v>
      </c>
      <c r="AN12" s="77">
        <f>AN10/(1+SUP_CONTROL!$C$32)^AN4</f>
        <v>52658.241149895097</v>
      </c>
      <c r="AO12" s="77">
        <f>AO10/(1+SUP_CONTROL!$C$32)^AO4</f>
        <v>-15877.711224191025</v>
      </c>
      <c r="AP12" s="77">
        <f>AP10/(1+SUP_CONTROL!$C$32)^AP4</f>
        <v>56828.019726423532</v>
      </c>
      <c r="AQ12" s="77">
        <f>AQ10/(1+SUP_CONTROL!$C$32)^AQ4</f>
        <v>16114.422305820603</v>
      </c>
      <c r="AR12" s="77">
        <f>AR10/(1+SUP_CONTROL!$C$32)^AR4</f>
        <v>9979.8235488767914</v>
      </c>
      <c r="AS12" s="77">
        <f>AS10/(1+SUP_CONTROL!$C$32)^AS4</f>
        <v>63108.554460075175</v>
      </c>
      <c r="AT12" s="77">
        <f>AT10/(1+SUP_CONTROL!$C$32)^AT4</f>
        <v>59243.918734323815</v>
      </c>
      <c r="AU12" s="77">
        <f>AU10/(1+SUP_CONTROL!$C$32)^AU4</f>
        <v>59947.240686351055</v>
      </c>
      <c r="AV12" s="77">
        <f>AV10/(1+SUP_CONTROL!$C$32)^AV4</f>
        <v>64962.95556809182</v>
      </c>
      <c r="AW12" s="77">
        <f>AW10/(1+SUP_CONTROL!$C$32)^AW4</f>
        <v>-205151.29883834391</v>
      </c>
      <c r="AX12" s="77">
        <f>AX10/(1+SUP_CONTROL!$C$32)^AX4</f>
        <v>58834.974291229868</v>
      </c>
      <c r="AY12" s="77">
        <f>AY10/(1+SUP_CONTROL!$C$32)^AY4</f>
        <v>57751.0298999968</v>
      </c>
      <c r="AZ12" s="77">
        <f>AZ10/(1+SUP_CONTROL!$C$32)^AZ4</f>
        <v>58135.314053175782</v>
      </c>
      <c r="BA12" s="77">
        <f>BA10/(1+SUP_CONTROL!$C$32)^BA4</f>
        <v>-142749.72126613537</v>
      </c>
      <c r="BB12" s="77">
        <f>BB10/(1+SUP_CONTROL!$C$32)^BB4</f>
        <v>17865.125696551786</v>
      </c>
      <c r="BC12" s="77">
        <f>BC10/(1+SUP_CONTROL!$C$32)^BC4</f>
        <v>-536.96119924188679</v>
      </c>
      <c r="BD12" s="77">
        <f>BD10/(1+SUP_CONTROL!$C$32)^BD4</f>
        <v>-1611.1130398769751</v>
      </c>
      <c r="BE12" s="77">
        <f>BE10/(1+SUP_CONTROL!$C$32)^BE4</f>
        <v>18792.5320024957</v>
      </c>
      <c r="BF12" s="77">
        <f>BF10/(1+SUP_CONTROL!$C$32)^BF4</f>
        <v>18191.878182285946</v>
      </c>
      <c r="BG12" s="77">
        <f>BG10/(1+SUP_CONTROL!$C$32)^BG4</f>
        <v>3191.6239657794463</v>
      </c>
      <c r="BH12" s="77">
        <f>BH10/(1+SUP_CONTROL!$C$32)^BH4</f>
        <v>21850.358170350191</v>
      </c>
      <c r="BI12" s="77">
        <f>BI10/(1+SUP_CONTROL!$C$32)^BI4</f>
        <v>23113.583831358752</v>
      </c>
      <c r="BJ12" s="77">
        <f>BJ10/(1+SUP_CONTROL!$C$32)^BJ4</f>
        <v>22833.274702601986</v>
      </c>
      <c r="BK12" s="77">
        <f>BK10/(1+SUP_CONTROL!$C$32)^BK4</f>
        <v>9721.0565461924034</v>
      </c>
      <c r="BL12" s="77">
        <f>BL10/(1+SUP_CONTROL!$C$32)^BL4</f>
        <v>28375.628458815605</v>
      </c>
      <c r="BM12" s="77">
        <f>BM10/(1+SUP_CONTROL!$C$32)^BM4</f>
        <v>29380.889354752457</v>
      </c>
      <c r="BN12" s="77">
        <f>BN10/(1+SUP_CONTROL!$C$32)^BN4</f>
        <v>28953.797956651335</v>
      </c>
      <c r="BO12" s="77">
        <f>BO10/(1+SUP_CONTROL!$C$32)^BO4</f>
        <v>17947.073575128859</v>
      </c>
      <c r="BP12" s="77">
        <f>BP10/(1+SUP_CONTROL!$C$32)^BP4</f>
        <v>-88847.680913368851</v>
      </c>
      <c r="BQ12" s="77">
        <f>BQ10/(1+SUP_CONTROL!$C$32)^BQ4</f>
        <v>33619.011165528849</v>
      </c>
      <c r="BR12" s="77">
        <f>BR10/(1+SUP_CONTROL!$C$32)^BR4</f>
        <v>33057.649138494562</v>
      </c>
      <c r="BS12" s="77">
        <f>BS10/(1+SUP_CONTROL!$C$32)^BS4</f>
        <v>23711.277501567653</v>
      </c>
      <c r="BT12" s="77">
        <f>BT10/(1+SUP_CONTROL!$C$32)^BT4</f>
        <v>25300.96034911762</v>
      </c>
      <c r="BU12" s="77">
        <f>BU10/(1+SUP_CONTROL!$C$32)^BU4</f>
        <v>38027.672882394087</v>
      </c>
      <c r="BV12" s="77">
        <f>BV10/(1+SUP_CONTROL!$C$32)^BV4</f>
        <v>36874.69801695714</v>
      </c>
      <c r="BW12" s="77">
        <f>BW10/(1+SUP_CONTROL!$C$32)^BW4</f>
        <v>36204.462736438887</v>
      </c>
      <c r="BX12" s="77">
        <f>BX10/(1+SUP_CONTROL!$C$32)^BX4</f>
        <v>28227.700168694555</v>
      </c>
      <c r="BY12" s="77">
        <f>BY10/(1+SUP_CONTROL!$C$32)^BY4</f>
        <v>41296.770288177773</v>
      </c>
      <c r="BZ12" s="77">
        <f>BZ10/(1+SUP_CONTROL!$C$32)^BZ4</f>
        <v>42020.422574102056</v>
      </c>
      <c r="CA12" s="77">
        <f>CA10/(1+SUP_CONTROL!$C$32)^CA4</f>
        <v>65021.617833818833</v>
      </c>
      <c r="CB12" s="77">
        <f>CB10/(1+SUP_CONTROL!$C$32)^CB4</f>
        <v>-70963.43557186304</v>
      </c>
      <c r="CC12" s="77">
        <f>CC10/(1+SUP_CONTROL!$C$32)^CC4</f>
        <v>65131.941859596773</v>
      </c>
      <c r="CD12" s="77">
        <f>CD10/(1+SUP_CONTROL!$C$32)^CD4</f>
        <v>66377.619960828539</v>
      </c>
      <c r="CE12" s="77">
        <f>CE10/(1+SUP_CONTROL!$C$32)^CE4</f>
        <v>64882.278562285675</v>
      </c>
      <c r="CF12" s="77">
        <f>CF10/(1+SUP_CONTROL!$C$32)^CF4</f>
        <v>63243.428189497106</v>
      </c>
      <c r="CG12" s="77">
        <f>CG10/(1+SUP_CONTROL!$C$32)^CG4</f>
        <v>62078.264779566365</v>
      </c>
      <c r="CH12" s="77">
        <f>CH10/(1+SUP_CONTROL!$C$32)^CH4</f>
        <v>60934.567722910688</v>
      </c>
      <c r="CI12" s="77">
        <f>CI10/(1+SUP_CONTROL!$C$32)^CI4</f>
        <v>59811.941534811769</v>
      </c>
      <c r="CJ12" s="77">
        <f>CJ10/(1+SUP_CONTROL!$C$32)^CJ4</f>
        <v>58709.998016752259</v>
      </c>
      <c r="CK12" s="77">
        <f>CK10/(1+SUP_CONTROL!$C$32)^CK4</f>
        <v>57628.35612217852</v>
      </c>
      <c r="CL12" s="77">
        <f>CL10/(1+SUP_CONTROL!$C$32)^CL4</f>
        <v>56566.641824736747</v>
      </c>
      <c r="CM12" s="77">
        <f>CM10/(1+SUP_CONTROL!$C$32)^CM4</f>
        <v>55524.487988936526</v>
      </c>
      <c r="CN12" s="77">
        <f>CN10/(1+SUP_CONTROL!$C$32)^CN4</f>
        <v>54501.534243197108</v>
      </c>
      <c r="CO12" s="77">
        <f>CO10/(1+SUP_CONTROL!$C$32)^CO4</f>
        <v>53497.426855232872</v>
      </c>
      <c r="CP12" s="77">
        <f>CP10/(1+SUP_CONTROL!$C$32)^CP4</f>
        <v>52511.818609734313</v>
      </c>
      <c r="CQ12" s="77">
        <f>CQ10/(1+SUP_CONTROL!$C$32)^CQ4</f>
        <v>51544.3686883029</v>
      </c>
      <c r="CR12" s="77">
        <f>CR10/(1+SUP_CONTROL!$C$32)^CR4</f>
        <v>50594.742551597614</v>
      </c>
      <c r="CS12" s="77">
        <f>CS10/(1+SUP_CONTROL!$C$32)^CS4</f>
        <v>49662.611823653031</v>
      </c>
      <c r="CT12" s="77">
        <f>CT10/(1+SUP_CONTROL!$C$32)^CT4</f>
        <v>48747.654178328477</v>
      </c>
      <c r="CU12" s="77">
        <f>CU10/(1+SUP_CONTROL!$C$32)^CU4</f>
        <v>47849.553227849363</v>
      </c>
      <c r="CV12" s="77">
        <f>CV10/(1+SUP_CONTROL!$C$32)^CV4</f>
        <v>46967.998413401743</v>
      </c>
      <c r="CW12" s="77">
        <f>CW10/(1+SUP_CONTROL!$C$32)^CW4</f>
        <v>46102.684897742751</v>
      </c>
      <c r="CX12" s="77">
        <f>CX10/(1+SUP_CONTROL!$C$32)^CX4</f>
        <v>45253.313459789337</v>
      </c>
      <c r="CY12" s="77">
        <f>CY10/(1+SUP_CONTROL!$C$32)^CY4</f>
        <v>44419.590391149155</v>
      </c>
      <c r="CZ12" s="77">
        <f>CZ10/(1+SUP_CONTROL!$C$32)^CZ4</f>
        <v>43601.227394557631</v>
      </c>
      <c r="DA12" s="77">
        <f>DA10/(1+SUP_CONTROL!$C$32)^DA4</f>
        <v>42797.941484186238</v>
      </c>
      <c r="DB12" s="77">
        <f>DB10/(1+SUP_CONTROL!$C$32)^DB4</f>
        <v>42009.454887787389</v>
      </c>
      <c r="DC12" s="77">
        <f>DC10/(1+SUP_CONTROL!$C$32)^DC4</f>
        <v>41235.494950642271</v>
      </c>
      <c r="DD12" s="77">
        <f>DD10/(1+SUP_CONTROL!$C$32)^DD4</f>
        <v>40475.794041278044</v>
      </c>
      <c r="DE12" s="77">
        <f>DE10/(1+SUP_CONTROL!$C$32)^DE4</f>
        <v>39730.089458922368</v>
      </c>
      <c r="DF12" s="77">
        <f>DF10/(1+SUP_CONTROL!$C$32)^DF4</f>
        <v>38998.12334266273</v>
      </c>
      <c r="DG12" s="77">
        <f>DG10/(1+SUP_CONTROL!$C$32)^DG4</f>
        <v>38279.642582279441</v>
      </c>
      <c r="DH12" s="77">
        <f>DH10/(1+SUP_CONTROL!$C$32)^DH4</f>
        <v>37574.398730721347</v>
      </c>
      <c r="DI12" s="77">
        <f>DI10/(1+SUP_CONTROL!$C$32)^DI4</f>
        <v>36882.147918194154</v>
      </c>
      <c r="DJ12" s="77">
        <f>DJ10/(1+SUP_CONTROL!$C$32)^DJ4</f>
        <v>36202.650767831423</v>
      </c>
      <c r="DK12" s="77">
        <f>DK10/(1+SUP_CONTROL!$C$32)^DK4</f>
        <v>35535.672312919276</v>
      </c>
      <c r="DL12" s="77">
        <f>DL10/(1+SUP_CONTROL!$C$32)^DL4</f>
        <v>34880.981915646058</v>
      </c>
      <c r="DM12" s="77">
        <f>DM10/(1+SUP_CONTROL!$C$32)^DM4</f>
        <v>34238.353187348941</v>
      </c>
      <c r="DN12" s="77">
        <f>DN10/(1+SUP_CONTROL!$C$32)^DN4</f>
        <v>33607.563910229874</v>
      </c>
      <c r="DO12" s="77">
        <f>DO10/(1+SUP_CONTROL!$C$32)^DO4</f>
        <v>32988.395960513772</v>
      </c>
      <c r="DP12" s="77">
        <f>DP10/(1+SUP_CONTROL!$C$32)^DP4</f>
        <v>32380.635233022389</v>
      </c>
      <c r="DQ12" s="77">
        <f>DQ10/(1+SUP_CONTROL!$C$32)^DQ4</f>
        <v>31784.07156713786</v>
      </c>
      <c r="DR12" s="77">
        <f>DR10/(1+SUP_CONTROL!$C$32)^DR4</f>
        <v>31198.498674130144</v>
      </c>
      <c r="DS12" s="77">
        <f>DS10/(1+SUP_CONTROL!$C$32)^DS4</f>
        <v>30623.714065823515</v>
      </c>
    </row>
    <row r="13" spans="1:123" ht="15" customHeight="1" x14ac:dyDescent="0.2">
      <c r="B13" s="37" t="s">
        <v>1116</v>
      </c>
      <c r="D13" s="77">
        <f>D12</f>
        <v>-556793.54892887629</v>
      </c>
      <c r="E13" s="77">
        <f t="shared" ref="E13:AJ13" si="8">D13+E12</f>
        <v>-984930.25464635692</v>
      </c>
      <c r="F13" s="77">
        <f t="shared" si="8"/>
        <v>-1362620.8241509581</v>
      </c>
      <c r="G13" s="77">
        <f t="shared" si="8"/>
        <v>-1608059.4164390571</v>
      </c>
      <c r="H13" s="77">
        <f t="shared" si="8"/>
        <v>-1870751.1234485342</v>
      </c>
      <c r="I13" s="77">
        <f t="shared" si="8"/>
        <v>-1861460.7852042844</v>
      </c>
      <c r="J13" s="77">
        <f t="shared" si="8"/>
        <v>-1847650.8360621296</v>
      </c>
      <c r="K13" s="77">
        <f t="shared" si="8"/>
        <v>-1827574.8346042922</v>
      </c>
      <c r="L13" s="77">
        <f t="shared" si="8"/>
        <v>-1773748.0115633409</v>
      </c>
      <c r="M13" s="77">
        <f t="shared" si="8"/>
        <v>-1722614.936592682</v>
      </c>
      <c r="N13" s="77">
        <f t="shared" si="8"/>
        <v>-1677640.0089386303</v>
      </c>
      <c r="O13" s="77">
        <f t="shared" si="8"/>
        <v>-1633493.6755206431</v>
      </c>
      <c r="P13" s="77">
        <f t="shared" si="8"/>
        <v>-1587692.1800304879</v>
      </c>
      <c r="Q13" s="77">
        <f t="shared" si="8"/>
        <v>-1617271.7786143485</v>
      </c>
      <c r="R13" s="77">
        <f t="shared" si="8"/>
        <v>-1573142.3819536702</v>
      </c>
      <c r="S13" s="77">
        <f t="shared" si="8"/>
        <v>-1601642.1028689272</v>
      </c>
      <c r="T13" s="77">
        <f t="shared" si="8"/>
        <v>-1634308.0356296159</v>
      </c>
      <c r="U13" s="77">
        <f t="shared" si="8"/>
        <v>-1587693.4905304273</v>
      </c>
      <c r="V13" s="77">
        <f t="shared" si="8"/>
        <v>-1546422.7646600185</v>
      </c>
      <c r="W13" s="77">
        <f t="shared" si="8"/>
        <v>-1502555.4817356069</v>
      </c>
      <c r="X13" s="77">
        <f t="shared" si="8"/>
        <v>-1449960.4987905682</v>
      </c>
      <c r="Y13" s="77">
        <f t="shared" si="8"/>
        <v>-1398551.6365918317</v>
      </c>
      <c r="Z13" s="77">
        <f t="shared" si="8"/>
        <v>-1348848.485460619</v>
      </c>
      <c r="AA13" s="77">
        <f t="shared" si="8"/>
        <v>-1522361.1945042787</v>
      </c>
      <c r="AB13" s="77">
        <f t="shared" si="8"/>
        <v>-1474839.3717493024</v>
      </c>
      <c r="AC13" s="77">
        <f t="shared" si="8"/>
        <v>-1517131.8645141998</v>
      </c>
      <c r="AD13" s="77">
        <f t="shared" si="8"/>
        <v>-1529962.7458147272</v>
      </c>
      <c r="AE13" s="77">
        <f t="shared" si="8"/>
        <v>-1485104.3569930263</v>
      </c>
      <c r="AF13" s="77">
        <f t="shared" si="8"/>
        <v>-1504549.6316433677</v>
      </c>
      <c r="AG13" s="77">
        <f t="shared" si="8"/>
        <v>-1515578.0626377882</v>
      </c>
      <c r="AH13" s="77">
        <f t="shared" si="8"/>
        <v>-1463970.5082765401</v>
      </c>
      <c r="AI13" s="77">
        <f t="shared" si="8"/>
        <v>-1417882.1740092395</v>
      </c>
      <c r="AJ13" s="77">
        <f t="shared" si="8"/>
        <v>-1447971.555218118</v>
      </c>
      <c r="AK13" s="77">
        <f t="shared" ref="AK13:BP13" si="9">AJ13+AK12</f>
        <v>-1444379.742597112</v>
      </c>
      <c r="AL13" s="77">
        <f t="shared" si="9"/>
        <v>-1441695.7155005776</v>
      </c>
      <c r="AM13" s="77">
        <f t="shared" si="9"/>
        <v>-1445970.0283312146</v>
      </c>
      <c r="AN13" s="77">
        <f t="shared" si="9"/>
        <v>-1393311.7871813194</v>
      </c>
      <c r="AO13" s="77">
        <f t="shared" si="9"/>
        <v>-1409189.4984055106</v>
      </c>
      <c r="AP13" s="77">
        <f t="shared" si="9"/>
        <v>-1352361.478679087</v>
      </c>
      <c r="AQ13" s="77">
        <f t="shared" si="9"/>
        <v>-1336247.0563732665</v>
      </c>
      <c r="AR13" s="77">
        <f t="shared" si="9"/>
        <v>-1326267.2328243898</v>
      </c>
      <c r="AS13" s="77">
        <f t="shared" si="9"/>
        <v>-1263158.6783643146</v>
      </c>
      <c r="AT13" s="77">
        <f t="shared" si="9"/>
        <v>-1203914.7596299909</v>
      </c>
      <c r="AU13" s="77">
        <f t="shared" si="9"/>
        <v>-1143967.5189436399</v>
      </c>
      <c r="AV13" s="77">
        <f t="shared" si="9"/>
        <v>-1079004.5633755482</v>
      </c>
      <c r="AW13" s="77">
        <f t="shared" si="9"/>
        <v>-1284155.8622138922</v>
      </c>
      <c r="AX13" s="77">
        <f t="shared" si="9"/>
        <v>-1225320.8879226623</v>
      </c>
      <c r="AY13" s="77">
        <f t="shared" si="9"/>
        <v>-1167569.8580226656</v>
      </c>
      <c r="AZ13" s="77">
        <f t="shared" si="9"/>
        <v>-1109434.5439694899</v>
      </c>
      <c r="BA13" s="77">
        <f t="shared" si="9"/>
        <v>-1252184.2652356252</v>
      </c>
      <c r="BB13" s="77">
        <f t="shared" si="9"/>
        <v>-1234319.1395390735</v>
      </c>
      <c r="BC13" s="77">
        <f t="shared" si="9"/>
        <v>-1234856.1007383154</v>
      </c>
      <c r="BD13" s="77">
        <f t="shared" si="9"/>
        <v>-1236467.2137781924</v>
      </c>
      <c r="BE13" s="77">
        <f t="shared" si="9"/>
        <v>-1217674.6817756968</v>
      </c>
      <c r="BF13" s="77">
        <f t="shared" si="9"/>
        <v>-1199482.8035934109</v>
      </c>
      <c r="BG13" s="77">
        <f t="shared" si="9"/>
        <v>-1196291.1796276313</v>
      </c>
      <c r="BH13" s="77">
        <f t="shared" si="9"/>
        <v>-1174440.8214572812</v>
      </c>
      <c r="BI13" s="77">
        <f t="shared" si="9"/>
        <v>-1151327.2376259225</v>
      </c>
      <c r="BJ13" s="77">
        <f t="shared" si="9"/>
        <v>-1128493.9629233205</v>
      </c>
      <c r="BK13" s="77">
        <f t="shared" si="9"/>
        <v>-1118772.9063771281</v>
      </c>
      <c r="BL13" s="77">
        <f t="shared" si="9"/>
        <v>-1090397.2779183125</v>
      </c>
      <c r="BM13" s="77">
        <f t="shared" si="9"/>
        <v>-1061016.3885635601</v>
      </c>
      <c r="BN13" s="77">
        <f t="shared" si="9"/>
        <v>-1032062.5906069088</v>
      </c>
      <c r="BO13" s="77">
        <f t="shared" si="9"/>
        <v>-1014115.51703178</v>
      </c>
      <c r="BP13" s="77">
        <f t="shared" si="9"/>
        <v>-1102963.1979451489</v>
      </c>
      <c r="BQ13" s="77">
        <f t="shared" ref="BQ13:CV13" si="10">BP13+BQ12</f>
        <v>-1069344.1867796201</v>
      </c>
      <c r="BR13" s="77">
        <f t="shared" si="10"/>
        <v>-1036286.5376411256</v>
      </c>
      <c r="BS13" s="77">
        <f t="shared" si="10"/>
        <v>-1012575.260139558</v>
      </c>
      <c r="BT13" s="77">
        <f t="shared" si="10"/>
        <v>-987274.29979044036</v>
      </c>
      <c r="BU13" s="77">
        <f t="shared" si="10"/>
        <v>-949246.62690804631</v>
      </c>
      <c r="BV13" s="77">
        <f t="shared" si="10"/>
        <v>-912371.92889108916</v>
      </c>
      <c r="BW13" s="77">
        <f t="shared" si="10"/>
        <v>-876167.46615465032</v>
      </c>
      <c r="BX13" s="77">
        <f t="shared" si="10"/>
        <v>-847939.76598595572</v>
      </c>
      <c r="BY13" s="77">
        <f t="shared" si="10"/>
        <v>-806642.99569777795</v>
      </c>
      <c r="BZ13" s="77">
        <f t="shared" si="10"/>
        <v>-764622.57312367589</v>
      </c>
      <c r="CA13" s="77">
        <f t="shared" si="10"/>
        <v>-699600.955289857</v>
      </c>
      <c r="CB13" s="77">
        <f t="shared" si="10"/>
        <v>-770564.39086172008</v>
      </c>
      <c r="CC13" s="77">
        <f t="shared" si="10"/>
        <v>-705432.44900212332</v>
      </c>
      <c r="CD13" s="77">
        <f t="shared" si="10"/>
        <v>-639054.82904129475</v>
      </c>
      <c r="CE13" s="77">
        <f t="shared" si="10"/>
        <v>-574172.55047900905</v>
      </c>
      <c r="CF13" s="77">
        <f t="shared" si="10"/>
        <v>-510929.12228951196</v>
      </c>
      <c r="CG13" s="77">
        <f t="shared" si="10"/>
        <v>-448850.85750994558</v>
      </c>
      <c r="CH13" s="77">
        <f t="shared" si="10"/>
        <v>-387916.28978703491</v>
      </c>
      <c r="CI13" s="77">
        <f t="shared" si="10"/>
        <v>-328104.34825222316</v>
      </c>
      <c r="CJ13" s="77">
        <f t="shared" si="10"/>
        <v>-269394.35023547092</v>
      </c>
      <c r="CK13" s="77">
        <f t="shared" si="10"/>
        <v>-211765.9941132924</v>
      </c>
      <c r="CL13" s="77">
        <f t="shared" si="10"/>
        <v>-155199.35228855564</v>
      </c>
      <c r="CM13" s="77">
        <f t="shared" si="10"/>
        <v>-99674.864299619119</v>
      </c>
      <c r="CN13" s="77">
        <f t="shared" si="10"/>
        <v>-45173.330056422012</v>
      </c>
      <c r="CO13" s="77">
        <f t="shared" si="10"/>
        <v>8324.0967988108605</v>
      </c>
      <c r="CP13" s="77">
        <f t="shared" si="10"/>
        <v>60835.915408545174</v>
      </c>
      <c r="CQ13" s="77">
        <f t="shared" si="10"/>
        <v>112380.28409684807</v>
      </c>
      <c r="CR13" s="77">
        <f t="shared" si="10"/>
        <v>162975.0266484457</v>
      </c>
      <c r="CS13" s="77">
        <f t="shared" si="10"/>
        <v>212637.63847209874</v>
      </c>
      <c r="CT13" s="77">
        <f t="shared" si="10"/>
        <v>261385.2926504272</v>
      </c>
      <c r="CU13" s="77">
        <f t="shared" si="10"/>
        <v>309234.84587827657</v>
      </c>
      <c r="CV13" s="77">
        <f t="shared" si="10"/>
        <v>356202.84429167828</v>
      </c>
      <c r="CW13" s="77">
        <f t="shared" ref="CW13:EB13" si="11">CV13+CW12</f>
        <v>402305.52918942104</v>
      </c>
      <c r="CX13" s="77">
        <f t="shared" si="11"/>
        <v>447558.84264921036</v>
      </c>
      <c r="CY13" s="77">
        <f t="shared" si="11"/>
        <v>491978.43304035952</v>
      </c>
      <c r="CZ13" s="77">
        <f t="shared" si="11"/>
        <v>535579.6604349172</v>
      </c>
      <c r="DA13" s="77">
        <f t="shared" si="11"/>
        <v>578377.60191910341</v>
      </c>
      <c r="DB13" s="77">
        <f t="shared" si="11"/>
        <v>620387.05680689076</v>
      </c>
      <c r="DC13" s="77">
        <f t="shared" si="11"/>
        <v>661622.55175753299</v>
      </c>
      <c r="DD13" s="77">
        <f t="shared" si="11"/>
        <v>702098.34579881106</v>
      </c>
      <c r="DE13" s="77">
        <f t="shared" si="11"/>
        <v>741828.43525773345</v>
      </c>
      <c r="DF13" s="77">
        <f t="shared" si="11"/>
        <v>780826.55860039615</v>
      </c>
      <c r="DG13" s="77">
        <f t="shared" si="11"/>
        <v>819106.20118267555</v>
      </c>
      <c r="DH13" s="77">
        <f t="shared" si="11"/>
        <v>856680.59991339687</v>
      </c>
      <c r="DI13" s="77">
        <f t="shared" si="11"/>
        <v>893562.74783159106</v>
      </c>
      <c r="DJ13" s="77">
        <f t="shared" si="11"/>
        <v>929765.39859942254</v>
      </c>
      <c r="DK13" s="77">
        <f t="shared" si="11"/>
        <v>965301.07091234182</v>
      </c>
      <c r="DL13" s="77">
        <f t="shared" si="11"/>
        <v>1000182.0528279878</v>
      </c>
      <c r="DM13" s="77">
        <f t="shared" si="11"/>
        <v>1034420.4060153367</v>
      </c>
      <c r="DN13" s="77">
        <f t="shared" si="11"/>
        <v>1068027.9699255666</v>
      </c>
      <c r="DO13" s="77">
        <f t="shared" si="11"/>
        <v>1101016.3658860803</v>
      </c>
      <c r="DP13" s="77">
        <f t="shared" si="11"/>
        <v>1133397.0011191028</v>
      </c>
      <c r="DQ13" s="77">
        <f t="shared" si="11"/>
        <v>1165181.0726862408</v>
      </c>
      <c r="DR13" s="77">
        <f t="shared" si="11"/>
        <v>1196379.5713603708</v>
      </c>
      <c r="DS13" s="77">
        <f t="shared" si="11"/>
        <v>1227003.2854261943</v>
      </c>
    </row>
    <row r="14" spans="1:123" ht="15" customHeight="1" x14ac:dyDescent="0.2">
      <c r="B14" s="37" t="s">
        <v>1117</v>
      </c>
      <c r="D14" s="77">
        <f>SUP_CONTROL!$C$11*CAPA1_PILOTO!D15+SUP_CONTROL!$C$12*CAPA2_FLAGSHIP!D11+SUP_CONTROL!$C$13*CAPA3_EXPANSION!D39+SUP_CONTROL!$C$14*CAPA4_RETAIL!D8</f>
        <v>0</v>
      </c>
      <c r="E14" s="77">
        <f>SUP_CONTROL!$C$11*CAPA1_PILOTO!E15+SUP_CONTROL!$C$12*CAPA2_FLAGSHIP!E11+SUP_CONTROL!$C$13*CAPA3_EXPANSION!E39+SUP_CONTROL!$C$14*CAPA4_RETAIL!E8</f>
        <v>0</v>
      </c>
      <c r="F14" s="77">
        <f>SUP_CONTROL!$C$11*CAPA1_PILOTO!F15+SUP_CONTROL!$C$12*CAPA2_FLAGSHIP!F11+SUP_CONTROL!$C$13*CAPA3_EXPANSION!F39+SUP_CONTROL!$C$14*CAPA4_RETAIL!F8</f>
        <v>0</v>
      </c>
      <c r="G14" s="77">
        <f>SUP_CONTROL!$C$11*CAPA1_PILOTO!G15+SUP_CONTROL!$C$12*CAPA2_FLAGSHIP!G11+SUP_CONTROL!$C$13*CAPA3_EXPANSION!G39+SUP_CONTROL!$C$14*CAPA4_RETAIL!G8</f>
        <v>61175.13687757124</v>
      </c>
      <c r="H14" s="77">
        <f>SUP_CONTROL!$C$11*CAPA1_PILOTO!H15+SUP_CONTROL!$C$12*CAPA2_FLAGSHIP!H11+SUP_CONTROL!$C$13*CAPA3_EXPANSION!H39+SUP_CONTROL!$C$14*CAPA4_RETAIL!H8</f>
        <v>135459.23165747919</v>
      </c>
      <c r="I14" s="77">
        <f>SUP_CONTROL!$C$11*CAPA1_PILOTO!I15+SUP_CONTROL!$C$12*CAPA2_FLAGSHIP!I11+SUP_CONTROL!$C$13*CAPA3_EXPANSION!I39+SUP_CONTROL!$C$14*CAPA4_RETAIL!I8</f>
        <v>222852.28433972385</v>
      </c>
      <c r="J14" s="77">
        <f>SUP_CONTROL!$C$11*CAPA1_PILOTO!J15+SUP_CONTROL!$C$12*CAPA2_FLAGSHIP!J11+SUP_CONTROL!$C$13*CAPA3_EXPANSION!J39+SUP_CONTROL!$C$14*CAPA4_RETAIL!J8</f>
        <v>319421.60755360418</v>
      </c>
      <c r="K14" s="77">
        <f>SUP_CONTROL!$C$11*CAPA1_PILOTO!K15+SUP_CONTROL!$C$12*CAPA2_FLAGSHIP!K11+SUP_CONTROL!$C$13*CAPA3_EXPANSION!K39+SUP_CONTROL!$C$14*CAPA4_RETAIL!K8</f>
        <v>427133.5449844707</v>
      </c>
      <c r="L14" s="77">
        <f>SUP_CONTROL!$C$11*CAPA1_PILOTO!L15+SUP_CONTROL!$C$12*CAPA2_FLAGSHIP!L11+SUP_CONTROL!$C$13*CAPA3_EXPANSION!L39+SUP_CONTROL!$C$14*CAPA4_RETAIL!L8</f>
        <v>459250.49184519553</v>
      </c>
      <c r="M14" s="77">
        <f>SUP_CONTROL!$C$11*CAPA1_PILOTO!M15+SUP_CONTROL!$C$12*CAPA2_FLAGSHIP!M11+SUP_CONTROL!$C$13*CAPA3_EXPANSION!M39+SUP_CONTROL!$C$14*CAPA4_RETAIL!M8</f>
        <v>476292.13711823331</v>
      </c>
      <c r="N14" s="77">
        <f>SUP_CONTROL!$C$11*CAPA1_PILOTO!N15+SUP_CONTROL!$C$12*CAPA2_FLAGSHIP!N11+SUP_CONTROL!$C$13*CAPA3_EXPANSION!N39+SUP_CONTROL!$C$14*CAPA4_RETAIL!N8</f>
        <v>476292.13711823331</v>
      </c>
      <c r="O14" s="77">
        <f>SUP_CONTROL!$C$11*CAPA1_PILOTO!O15+SUP_CONTROL!$C$12*CAPA2_FLAGSHIP!O11+SUP_CONTROL!$C$13*CAPA3_EXPANSION!O39+SUP_CONTROL!$C$14*CAPA4_RETAIL!O8</f>
        <v>476292.13711823331</v>
      </c>
      <c r="P14" s="77">
        <f>SUP_CONTROL!$C$11*CAPA1_PILOTO!P15+SUP_CONTROL!$C$12*CAPA2_FLAGSHIP!P11+SUP_CONTROL!$C$13*CAPA3_EXPANSION!P39+SUP_CONTROL!$C$14*CAPA4_RETAIL!P8</f>
        <v>476292.13711823331</v>
      </c>
      <c r="Q14" s="77">
        <f>SUP_CONTROL!$C$11*CAPA1_PILOTO!Q15+SUP_CONTROL!$C$12*CAPA2_FLAGSHIP!Q11+SUP_CONTROL!$C$13*CAPA3_EXPANSION!Q39+SUP_CONTROL!$C$14*CAPA4_RETAIL!Q8</f>
        <v>476292.13711823331</v>
      </c>
      <c r="R14" s="77">
        <f>SUP_CONTROL!$C$11*CAPA1_PILOTO!R15+SUP_CONTROL!$C$12*CAPA2_FLAGSHIP!R11+SUP_CONTROL!$C$13*CAPA3_EXPANSION!R39+SUP_CONTROL!$C$14*CAPA4_RETAIL!R8</f>
        <v>476292.13711823331</v>
      </c>
      <c r="S14" s="77">
        <f>SUP_CONTROL!$C$11*CAPA1_PILOTO!S15+SUP_CONTROL!$C$12*CAPA2_FLAGSHIP!S11+SUP_CONTROL!$C$13*CAPA3_EXPANSION!S39+SUP_CONTROL!$C$14*CAPA4_RETAIL!S8</f>
        <v>476292.13711823331</v>
      </c>
      <c r="T14" s="77">
        <f>SUP_CONTROL!$C$11*CAPA1_PILOTO!T15+SUP_CONTROL!$C$12*CAPA2_FLAGSHIP!T11+SUP_CONTROL!$C$13*CAPA3_EXPANSION!T39+SUP_CONTROL!$C$14*CAPA4_RETAIL!T8</f>
        <v>504694.87923996284</v>
      </c>
      <c r="U14" s="77">
        <f>SUP_CONTROL!$C$11*CAPA1_PILOTO!U15+SUP_CONTROL!$C$12*CAPA2_FLAGSHIP!U11+SUP_CONTROL!$C$13*CAPA3_EXPANSION!U39+SUP_CONTROL!$C$14*CAPA4_RETAIL!U8</f>
        <v>511249.35819113115</v>
      </c>
      <c r="V14" s="77">
        <f>SUP_CONTROL!$C$11*CAPA1_PILOTO!V15+SUP_CONTROL!$C$12*CAPA2_FLAGSHIP!V11+SUP_CONTROL!$C$13*CAPA3_EXPANSION!V39+SUP_CONTROL!$C$14*CAPA4_RETAIL!V8</f>
        <v>544021.75294697285</v>
      </c>
      <c r="W14" s="77">
        <f>SUP_CONTROL!$C$11*CAPA1_PILOTO!W15+SUP_CONTROL!$C$12*CAPA2_FLAGSHIP!W11+SUP_CONTROL!$C$13*CAPA3_EXPANSION!W39+SUP_CONTROL!$C$14*CAPA4_RETAIL!W8</f>
        <v>583348.62665398302</v>
      </c>
      <c r="X14" s="77">
        <f>SUP_CONTROL!$C$11*CAPA1_PILOTO!X15+SUP_CONTROL!$C$12*CAPA2_FLAGSHIP!X11+SUP_CONTROL!$C$13*CAPA3_EXPANSION!X39+SUP_CONTROL!$C$14*CAPA4_RETAIL!X8</f>
        <v>594272.75823926355</v>
      </c>
      <c r="Y14" s="77">
        <f>SUP_CONTROL!$C$11*CAPA1_PILOTO!Y15+SUP_CONTROL!$C$12*CAPA2_FLAGSHIP!Y11+SUP_CONTROL!$C$13*CAPA3_EXPANSION!Y39+SUP_CONTROL!$C$14*CAPA4_RETAIL!Y8</f>
        <v>603012.063507488</v>
      </c>
      <c r="Z14" s="77">
        <f>SUP_CONTROL!$C$11*CAPA1_PILOTO!Z15+SUP_CONTROL!$C$12*CAPA2_FLAGSHIP!Z11+SUP_CONTROL!$C$13*CAPA3_EXPANSION!Z39+SUP_CONTROL!$C$14*CAPA4_RETAIL!Z8</f>
        <v>607381.71614160028</v>
      </c>
      <c r="AA14" s="77">
        <f>SUP_CONTROL!$C$11*CAPA1_PILOTO!AA15+SUP_CONTROL!$C$12*CAPA2_FLAGSHIP!AA11+SUP_CONTROL!$C$13*CAPA3_EXPANSION!AA39+SUP_CONTROL!$C$14*CAPA4_RETAIL!AA8</f>
        <v>607381.71614160028</v>
      </c>
      <c r="AB14" s="77">
        <f>SUP_CONTROL!$C$11*CAPA1_PILOTO!AB15+SUP_CONTROL!$C$12*CAPA2_FLAGSHIP!AB11+SUP_CONTROL!$C$13*CAPA3_EXPANSION!AB39+SUP_CONTROL!$C$14*CAPA4_RETAIL!AB8</f>
        <v>607381.71614160028</v>
      </c>
      <c r="AC14" s="77">
        <f>SUP_CONTROL!$C$11*CAPA1_PILOTO!AC15+SUP_CONTROL!$C$12*CAPA2_FLAGSHIP!AC11+SUP_CONTROL!$C$13*CAPA3_EXPANSION!AC39+SUP_CONTROL!$C$14*CAPA4_RETAIL!AC8</f>
        <v>607381.71614160028</v>
      </c>
      <c r="AD14" s="77">
        <f>SUP_CONTROL!$C$11*CAPA1_PILOTO!AD15+SUP_CONTROL!$C$12*CAPA2_FLAGSHIP!AD11+SUP_CONTROL!$C$13*CAPA3_EXPANSION!AD39+SUP_CONTROL!$C$14*CAPA4_RETAIL!AD8</f>
        <v>603449.02877089928</v>
      </c>
      <c r="AE14" s="77">
        <f>SUP_CONTROL!$C$11*CAPA1_PILOTO!AE15+SUP_CONTROL!$C$12*CAPA2_FLAGSHIP!AE11+SUP_CONTROL!$C$13*CAPA3_EXPANSION!AE39+SUP_CONTROL!$C$14*CAPA4_RETAIL!AE8</f>
        <v>603449.02877089928</v>
      </c>
      <c r="AF14" s="77">
        <f>SUP_CONTROL!$C$11*CAPA1_PILOTO!AF15+SUP_CONTROL!$C$12*CAPA2_FLAGSHIP!AF11+SUP_CONTROL!$C$13*CAPA3_EXPANSION!AF39+SUP_CONTROL!$C$14*CAPA4_RETAIL!AF8</f>
        <v>639264.88658640021</v>
      </c>
      <c r="AG14" s="77">
        <f>SUP_CONTROL!$C$11*CAPA1_PILOTO!AG15+SUP_CONTROL!$C$12*CAPA2_FLAGSHIP!AG11+SUP_CONTROL!$C$13*CAPA3_EXPANSION!AG39+SUP_CONTROL!$C$14*CAPA4_RETAIL!AG8</f>
        <v>675080.74440190103</v>
      </c>
      <c r="AH14" s="77">
        <f>SUP_CONTROL!$C$11*CAPA1_PILOTO!AH15+SUP_CONTROL!$C$12*CAPA2_FLAGSHIP!AH11+SUP_CONTROL!$C$13*CAPA3_EXPANSION!AH39+SUP_CONTROL!$C$14*CAPA4_RETAIL!AH8</f>
        <v>686948.72095614998</v>
      </c>
      <c r="AI14" s="77">
        <f>SUP_CONTROL!$C$11*CAPA1_PILOTO!AI15+SUP_CONTROL!$C$12*CAPA2_FLAGSHIP!AI11+SUP_CONTROL!$C$13*CAPA3_EXPANSION!AI39+SUP_CONTROL!$C$14*CAPA4_RETAIL!AI8</f>
        <v>724248.07584093185</v>
      </c>
      <c r="AJ14" s="77">
        <f>SUP_CONTROL!$C$11*CAPA1_PILOTO!AJ15+SUP_CONTROL!$C$12*CAPA2_FLAGSHIP!AJ11+SUP_CONTROL!$C$13*CAPA3_EXPANSION!AJ39+SUP_CONTROL!$C$14*CAPA4_RETAIL!AJ8</f>
        <v>762395.14333673171</v>
      </c>
      <c r="AK14" s="77">
        <f>SUP_CONTROL!$C$11*CAPA1_PILOTO!AK15+SUP_CONTROL!$C$12*CAPA2_FLAGSHIP!AK11+SUP_CONTROL!$C$13*CAPA3_EXPANSION!AK39+SUP_CONTROL!$C$14*CAPA4_RETAIL!AK8</f>
        <v>772991.5509744538</v>
      </c>
      <c r="AL14" s="77">
        <f>SUP_CONTROL!$C$11*CAPA1_PILOTO!AL15+SUP_CONTROL!$C$12*CAPA2_FLAGSHIP!AL11+SUP_CONTROL!$C$13*CAPA3_EXPANSION!AL39+SUP_CONTROL!$C$14*CAPA4_RETAIL!AL8</f>
        <v>773603.30234322953</v>
      </c>
      <c r="AM14" s="77">
        <f>SUP_CONTROL!$C$11*CAPA1_PILOTO!AM15+SUP_CONTROL!$C$12*CAPA2_FLAGSHIP!AM11+SUP_CONTROL!$C$13*CAPA3_EXPANSION!AM39+SUP_CONTROL!$C$14*CAPA4_RETAIL!AM8</f>
        <v>812625.39277901035</v>
      </c>
      <c r="AN14" s="77">
        <f>SUP_CONTROL!$C$11*CAPA1_PILOTO!AN15+SUP_CONTROL!$C$12*CAPA2_FLAGSHIP!AN11+SUP_CONTROL!$C$13*CAPA3_EXPANSION!AN39+SUP_CONTROL!$C$14*CAPA4_RETAIL!AN8</f>
        <v>847518.16147555504</v>
      </c>
      <c r="AO14" s="77">
        <f>SUP_CONTROL!$C$11*CAPA1_PILOTO!AO15+SUP_CONTROL!$C$12*CAPA2_FLAGSHIP!AO11+SUP_CONTROL!$C$13*CAPA3_EXPANSION!AO39+SUP_CONTROL!$C$14*CAPA4_RETAIL!AO8</f>
        <v>885920.85365045036</v>
      </c>
      <c r="AP14" s="77">
        <f>SUP_CONTROL!$C$11*CAPA1_PILOTO!AP15+SUP_CONTROL!$C$12*CAPA2_FLAGSHIP!AP11+SUP_CONTROL!$C$13*CAPA3_EXPANSION!AP39+SUP_CONTROL!$C$14*CAPA4_RETAIL!AP8</f>
        <v>928452.8675645818</v>
      </c>
      <c r="AQ14" s="77">
        <f>SUP_CONTROL!$C$11*CAPA1_PILOTO!AQ15+SUP_CONTROL!$C$12*CAPA2_FLAGSHIP!AQ11+SUP_CONTROL!$C$13*CAPA3_EXPANSION!AQ39+SUP_CONTROL!$C$14*CAPA4_RETAIL!AQ8</f>
        <v>942905.49365190789</v>
      </c>
      <c r="AR14" s="77">
        <f>SUP_CONTROL!$C$11*CAPA1_PILOTO!AR15+SUP_CONTROL!$C$12*CAPA2_FLAGSHIP!AR11+SUP_CONTROL!$C$13*CAPA3_EXPANSION!AR39+SUP_CONTROL!$C$14*CAPA4_RETAIL!AR8</f>
        <v>986056.90582692483</v>
      </c>
      <c r="AS14" s="77">
        <f>SUP_CONTROL!$C$11*CAPA1_PILOTO!AS15+SUP_CONTROL!$C$12*CAPA2_FLAGSHIP!AS11+SUP_CONTROL!$C$13*CAPA3_EXPANSION!AS39+SUP_CONTROL!$C$14*CAPA4_RETAIL!AS8</f>
        <v>998238.40495767118</v>
      </c>
      <c r="AT14" s="77">
        <f>SUP_CONTROL!$C$11*CAPA1_PILOTO!AT15+SUP_CONTROL!$C$12*CAPA2_FLAGSHIP!AT11+SUP_CONTROL!$C$13*CAPA3_EXPANSION!AT39+SUP_CONTROL!$C$14*CAPA4_RETAIL!AT8</f>
        <v>1030447.1145237125</v>
      </c>
      <c r="AU14" s="77">
        <f>SUP_CONTROL!$C$11*CAPA1_PILOTO!AU15+SUP_CONTROL!$C$12*CAPA2_FLAGSHIP!AU11+SUP_CONTROL!$C$13*CAPA3_EXPANSION!AU39+SUP_CONTROL!$C$14*CAPA4_RETAIL!AU8</f>
        <v>1068849.8066986077</v>
      </c>
      <c r="AV14" s="77">
        <f>SUP_CONTROL!$C$11*CAPA1_PILOTO!AV15+SUP_CONTROL!$C$12*CAPA2_FLAGSHIP!AV11+SUP_CONTROL!$C$13*CAPA3_EXPANSION!AV39+SUP_CONTROL!$C$14*CAPA4_RETAIL!AV8</f>
        <v>1079173.1110466977</v>
      </c>
      <c r="AW14" s="77">
        <f>SUP_CONTROL!$C$11*CAPA1_PILOTO!AW15+SUP_CONTROL!$C$12*CAPA2_FLAGSHIP!AW11+SUP_CONTROL!$C$13*CAPA3_EXPANSION!AW39+SUP_CONTROL!$C$14*CAPA4_RETAIL!AW8</f>
        <v>1087431.75452517</v>
      </c>
      <c r="AX14" s="77">
        <f>SUP_CONTROL!$C$11*CAPA1_PILOTO!AX15+SUP_CONTROL!$C$12*CAPA2_FLAGSHIP!AX11+SUP_CONTROL!$C$13*CAPA3_EXPANSION!AX39+SUP_CONTROL!$C$14*CAPA4_RETAIL!AX8</f>
        <v>1091561.0762644061</v>
      </c>
      <c r="AY14" s="77">
        <f>SUP_CONTROL!$C$11*CAPA1_PILOTO!AY15+SUP_CONTROL!$C$12*CAPA2_FLAGSHIP!AY11+SUP_CONTROL!$C$13*CAPA3_EXPANSION!AY39+SUP_CONTROL!$C$14*CAPA4_RETAIL!AY8</f>
        <v>1091561.0762644061</v>
      </c>
      <c r="AZ14" s="77">
        <f>SUP_CONTROL!$C$11*CAPA1_PILOTO!AZ15+SUP_CONTROL!$C$12*CAPA2_FLAGSHIP!AZ11+SUP_CONTROL!$C$13*CAPA3_EXPANSION!AZ39+SUP_CONTROL!$C$14*CAPA4_RETAIL!AZ8</f>
        <v>1091561.0762644061</v>
      </c>
      <c r="BA14" s="77">
        <f>SUP_CONTROL!$C$11*CAPA1_PILOTO!BA15+SUP_CONTROL!$C$12*CAPA2_FLAGSHIP!BA11+SUP_CONTROL!$C$13*CAPA3_EXPANSION!BA39+SUP_CONTROL!$C$14*CAPA4_RETAIL!BA8</f>
        <v>1075284.1202023381</v>
      </c>
      <c r="BB14" s="77">
        <f>SUP_CONTROL!$C$11*CAPA1_PILOTO!BB15+SUP_CONTROL!$C$12*CAPA2_FLAGSHIP!BB11+SUP_CONTROL!$C$13*CAPA3_EXPANSION!BB39+SUP_CONTROL!$C$14*CAPA4_RETAIL!BB8</f>
        <v>1075284.1202023381</v>
      </c>
      <c r="BC14" s="77">
        <f>SUP_CONTROL!$C$11*CAPA1_PILOTO!BC15+SUP_CONTROL!$C$12*CAPA2_FLAGSHIP!BC11+SUP_CONTROL!$C$13*CAPA3_EXPANSION!BC39+SUP_CONTROL!$C$14*CAPA4_RETAIL!BC8</f>
        <v>1075284.1202023381</v>
      </c>
      <c r="BD14" s="77">
        <f>SUP_CONTROL!$C$11*CAPA1_PILOTO!BD15+SUP_CONTROL!$C$12*CAPA2_FLAGSHIP!BD11+SUP_CONTROL!$C$13*CAPA3_EXPANSION!BD39+SUP_CONTROL!$C$14*CAPA4_RETAIL!BD8</f>
        <v>1127545.1657063204</v>
      </c>
      <c r="BE14" s="77">
        <f>SUP_CONTROL!$C$11*CAPA1_PILOTO!BE15+SUP_CONTROL!$C$12*CAPA2_FLAGSHIP!BE11+SUP_CONTROL!$C$13*CAPA3_EXPANSION!BE39+SUP_CONTROL!$C$14*CAPA4_RETAIL!BE8</f>
        <v>1165735.9297284614</v>
      </c>
      <c r="BF14" s="77">
        <f>SUP_CONTROL!$C$11*CAPA1_PILOTO!BF15+SUP_CONTROL!$C$12*CAPA2_FLAGSHIP!BF11+SUP_CONTROL!$C$13*CAPA3_EXPANSION!BF39+SUP_CONTROL!$C$14*CAPA4_RETAIL!BF8</f>
        <v>1197743.6352733334</v>
      </c>
      <c r="BG14" s="77">
        <f>SUP_CONTROL!$C$11*CAPA1_PILOTO!BG15+SUP_CONTROL!$C$12*CAPA2_FLAGSHIP!BG11+SUP_CONTROL!$C$13*CAPA3_EXPANSION!BG39+SUP_CONTROL!$C$14*CAPA4_RETAIL!BG8</f>
        <v>1242772.9056678598</v>
      </c>
      <c r="BH14" s="77">
        <f>SUP_CONTROL!$C$11*CAPA1_PILOTO!BH15+SUP_CONTROL!$C$12*CAPA2_FLAGSHIP!BH11+SUP_CONTROL!$C$13*CAPA3_EXPANSION!BH39+SUP_CONTROL!$C$14*CAPA4_RETAIL!BH8</f>
        <v>1283279.5855860803</v>
      </c>
      <c r="BI14" s="77">
        <f>SUP_CONTROL!$C$11*CAPA1_PILOTO!BI15+SUP_CONTROL!$C$12*CAPA2_FLAGSHIP!BI11+SUP_CONTROL!$C$13*CAPA3_EXPANSION!BI39+SUP_CONTROL!$C$14*CAPA4_RETAIL!BI8</f>
        <v>1323786.2655043006</v>
      </c>
      <c r="BJ14" s="77">
        <f>SUP_CONTROL!$C$11*CAPA1_PILOTO!BJ15+SUP_CONTROL!$C$12*CAPA2_FLAGSHIP!BJ11+SUP_CONTROL!$C$13*CAPA3_EXPANSION!BJ39+SUP_CONTROL!$C$14*CAPA4_RETAIL!BJ8</f>
        <v>1370781.8795841779</v>
      </c>
      <c r="BK14" s="77">
        <f>SUP_CONTROL!$C$11*CAPA1_PILOTO!BK15+SUP_CONTROL!$C$12*CAPA2_FLAGSHIP!BK11+SUP_CONTROL!$C$13*CAPA3_EXPANSION!BK39+SUP_CONTROL!$C$14*CAPA4_RETAIL!BK8</f>
        <v>1391087.6553748972</v>
      </c>
      <c r="BL14" s="77">
        <f>SUP_CONTROL!$C$11*CAPA1_PILOTO!BL15+SUP_CONTROL!$C$12*CAPA2_FLAGSHIP!BL11+SUP_CONTROL!$C$13*CAPA3_EXPANSION!BL39+SUP_CONTROL!$C$14*CAPA4_RETAIL!BL8</f>
        <v>1430694.1868504905</v>
      </c>
      <c r="BM14" s="77">
        <f>SUP_CONTROL!$C$11*CAPA1_PILOTO!BM15+SUP_CONTROL!$C$12*CAPA2_FLAGSHIP!BM11+SUP_CONTROL!$C$13*CAPA3_EXPANSION!BM39+SUP_CONTROL!$C$14*CAPA4_RETAIL!BM8</f>
        <v>1470300.7183260839</v>
      </c>
      <c r="BN14" s="77">
        <f>SUP_CONTROL!$C$11*CAPA1_PILOTO!BN15+SUP_CONTROL!$C$12*CAPA2_FLAGSHIP!BN11+SUP_CONTROL!$C$13*CAPA3_EXPANSION!BN39+SUP_CONTROL!$C$14*CAPA4_RETAIL!BN8</f>
        <v>1516251.9854264082</v>
      </c>
      <c r="BO14" s="77">
        <f>SUP_CONTROL!$C$11*CAPA1_PILOTO!BO15+SUP_CONTROL!$C$12*CAPA2_FLAGSHIP!BO11+SUP_CONTROL!$C$13*CAPA3_EXPANSION!BO39+SUP_CONTROL!$C$14*CAPA4_RETAIL!BO8</f>
        <v>1556435.3110497044</v>
      </c>
      <c r="BP14" s="77">
        <f>SUP_CONTROL!$C$11*CAPA1_PILOTO!BP15+SUP_CONTROL!$C$12*CAPA2_FLAGSHIP!BP11+SUP_CONTROL!$C$13*CAPA3_EXPANSION!BP39+SUP_CONTROL!$C$14*CAPA4_RETAIL!BP8</f>
        <v>1576955.1998194957</v>
      </c>
      <c r="BQ14" s="77">
        <f>SUP_CONTROL!$C$11*CAPA1_PILOTO!BQ15+SUP_CONTROL!$C$12*CAPA2_FLAGSHIP!BQ11+SUP_CONTROL!$C$13*CAPA3_EXPANSION!BQ39+SUP_CONTROL!$C$14*CAPA4_RETAIL!BQ8</f>
        <v>1615886.6199631186</v>
      </c>
      <c r="BR14" s="77">
        <f>SUP_CONTROL!$C$11*CAPA1_PILOTO!BR15+SUP_CONTROL!$C$12*CAPA2_FLAGSHIP!BR11+SUP_CONTROL!$C$13*CAPA3_EXPANSION!BR39+SUP_CONTROL!$C$14*CAPA4_RETAIL!BR8</f>
        <v>1661054.6268287781</v>
      </c>
      <c r="BS14" s="77">
        <f>SUP_CONTROL!$C$11*CAPA1_PILOTO!BS15+SUP_CONTROL!$C$12*CAPA2_FLAGSHIP!BS11+SUP_CONTROL!$C$13*CAPA3_EXPANSION!BS39+SUP_CONTROL!$C$14*CAPA4_RETAIL!BS8</f>
        <v>1725121.3813369733</v>
      </c>
      <c r="BT14" s="77">
        <f>SUP_CONTROL!$C$11*CAPA1_PILOTO!BT15+SUP_CONTROL!$C$12*CAPA2_FLAGSHIP!BT11+SUP_CONTROL!$C$13*CAPA3_EXPANSION!BT39+SUP_CONTROL!$C$14*CAPA4_RETAIL!BT8</f>
        <v>1769722.4257733568</v>
      </c>
      <c r="BU14" s="77">
        <f>SUP_CONTROL!$C$11*CAPA1_PILOTO!BU15+SUP_CONTROL!$C$12*CAPA2_FLAGSHIP!BU11+SUP_CONTROL!$C$13*CAPA3_EXPANSION!BU39+SUP_CONTROL!$C$14*CAPA4_RETAIL!BU8</f>
        <v>1789263.5123531059</v>
      </c>
      <c r="BV14" s="77">
        <f>SUP_CONTROL!$C$11*CAPA1_PILOTO!BV15+SUP_CONTROL!$C$12*CAPA2_FLAGSHIP!BV11+SUP_CONTROL!$C$13*CAPA3_EXPANSION!BV39+SUP_CONTROL!$C$14*CAPA4_RETAIL!BV8</f>
        <v>1830119.7644820553</v>
      </c>
      <c r="BW14" s="77">
        <f>SUP_CONTROL!$C$11*CAPA1_PILOTO!BW15+SUP_CONTROL!$C$12*CAPA2_FLAGSHIP!BW11+SUP_CONTROL!$C$13*CAPA3_EXPANSION!BW39+SUP_CONTROL!$C$14*CAPA4_RETAIL!BW8</f>
        <v>1874504.5111130504</v>
      </c>
      <c r="BX14" s="77">
        <f>SUP_CONTROL!$C$11*CAPA1_PILOTO!BX15+SUP_CONTROL!$C$12*CAPA2_FLAGSHIP!BX11+SUP_CONTROL!$C$13*CAPA3_EXPANSION!BX39+SUP_CONTROL!$C$14*CAPA4_RETAIL!BX8</f>
        <v>1913317.9506355522</v>
      </c>
      <c r="BY14" s="77">
        <f>SUP_CONTROL!$C$11*CAPA1_PILOTO!BY15+SUP_CONTROL!$C$12*CAPA2_FLAGSHIP!BY11+SUP_CONTROL!$C$13*CAPA3_EXPANSION!BY39+SUP_CONTROL!$C$14*CAPA4_RETAIL!BY8</f>
        <v>1951574.2594472046</v>
      </c>
      <c r="BZ14" s="77">
        <f>SUP_CONTROL!$C$11*CAPA1_PILOTO!BZ15+SUP_CONTROL!$C$12*CAPA2_FLAGSHIP!BZ11+SUP_CONTROL!$C$13*CAPA3_EXPANSION!BZ39+SUP_CONTROL!$C$14*CAPA4_RETAIL!BZ8</f>
        <v>1995882.5371571027</v>
      </c>
      <c r="CA14" s="77">
        <f>SUP_CONTROL!$C$11*CAPA1_PILOTO!CA15+SUP_CONTROL!$C$12*CAPA2_FLAGSHIP!CA11+SUP_CONTROL!$C$13*CAPA3_EXPANSION!CA39+SUP_CONTROL!$C$14*CAPA4_RETAIL!CA8</f>
        <v>2045250.8726173027</v>
      </c>
      <c r="CB14" s="77">
        <f>SUP_CONTROL!$C$11*CAPA1_PILOTO!CB15+SUP_CONTROL!$C$12*CAPA2_FLAGSHIP!CB11+SUP_CONTROL!$C$13*CAPA3_EXPANSION!CB39+SUP_CONTROL!$C$14*CAPA4_RETAIL!CB8</f>
        <v>2087278.1916521941</v>
      </c>
      <c r="CC14" s="77">
        <f>SUP_CONTROL!$C$11*CAPA1_PILOTO!CC15+SUP_CONTROL!$C$12*CAPA2_FLAGSHIP!CC11+SUP_CONTROL!$C$13*CAPA3_EXPANSION!CC39+SUP_CONTROL!$C$14*CAPA4_RETAIL!CC8</f>
        <v>2104896.6310729343</v>
      </c>
      <c r="CD14" s="77">
        <f>SUP_CONTROL!$C$11*CAPA1_PILOTO!CD15+SUP_CONTROL!$C$12*CAPA2_FLAGSHIP!CD11+SUP_CONTROL!$C$13*CAPA3_EXPANSION!CD39+SUP_CONTROL!$C$14*CAPA4_RETAIL!CD8</f>
        <v>2113338.7999620391</v>
      </c>
      <c r="CE14" s="77">
        <f>SUP_CONTROL!$C$11*CAPA1_PILOTO!CE15+SUP_CONTROL!$C$12*CAPA2_FLAGSHIP!CE11+SUP_CONTROL!$C$13*CAPA3_EXPANSION!CE39+SUP_CONTROL!$C$14*CAPA4_RETAIL!CE8</f>
        <v>2117009.3081746935</v>
      </c>
      <c r="CF14" s="77">
        <f>SUP_CONTROL!$C$11*CAPA1_PILOTO!CF15+SUP_CONTROL!$C$12*CAPA2_FLAGSHIP!CF11+SUP_CONTROL!$C$13*CAPA3_EXPANSION!CF39+SUP_CONTROL!$C$14*CAPA4_RETAIL!CF8</f>
        <v>2117009.3081746935</v>
      </c>
      <c r="CG14" s="77">
        <f>SUP_CONTROL!$C$11*CAPA1_PILOTO!CG15+SUP_CONTROL!$C$12*CAPA2_FLAGSHIP!CG11+SUP_CONTROL!$C$13*CAPA3_EXPANSION!CG39+SUP_CONTROL!$C$14*CAPA4_RETAIL!CG8</f>
        <v>2117009.3081746935</v>
      </c>
      <c r="CH14" s="77">
        <f>SUP_CONTROL!$C$11*CAPA1_PILOTO!CH15+SUP_CONTROL!$C$12*CAPA2_FLAGSHIP!CH11+SUP_CONTROL!$C$13*CAPA3_EXPANSION!CH39+SUP_CONTROL!$C$14*CAPA4_RETAIL!CH8</f>
        <v>2117009.3081746935</v>
      </c>
      <c r="CI14" s="77">
        <f>SUP_CONTROL!$C$11*CAPA1_PILOTO!CI15+SUP_CONTROL!$C$12*CAPA2_FLAGSHIP!CI11+SUP_CONTROL!$C$13*CAPA3_EXPANSION!CI39+SUP_CONTROL!$C$14*CAPA4_RETAIL!CI8</f>
        <v>2117009.3081746935</v>
      </c>
      <c r="CJ14" s="77">
        <f>SUP_CONTROL!$C$11*CAPA1_PILOTO!CJ15+SUP_CONTROL!$C$12*CAPA2_FLAGSHIP!CJ11+SUP_CONTROL!$C$13*CAPA3_EXPANSION!CJ39+SUP_CONTROL!$C$14*CAPA4_RETAIL!CJ8</f>
        <v>2117009.3081746935</v>
      </c>
      <c r="CK14" s="77">
        <f>SUP_CONTROL!$C$11*CAPA1_PILOTO!CK15+SUP_CONTROL!$C$12*CAPA2_FLAGSHIP!CK11+SUP_CONTROL!$C$13*CAPA3_EXPANSION!CK39+SUP_CONTROL!$C$14*CAPA4_RETAIL!CK8</f>
        <v>2117009.3081746935</v>
      </c>
      <c r="CL14" s="77">
        <f>SUP_CONTROL!$C$11*CAPA1_PILOTO!CL15+SUP_CONTROL!$C$12*CAPA2_FLAGSHIP!CL11+SUP_CONTROL!$C$13*CAPA3_EXPANSION!CL39+SUP_CONTROL!$C$14*CAPA4_RETAIL!CL8</f>
        <v>2117009.3081746935</v>
      </c>
      <c r="CM14" s="77">
        <f>SUP_CONTROL!$C$11*CAPA1_PILOTO!CM15+SUP_CONTROL!$C$12*CAPA2_FLAGSHIP!CM11+SUP_CONTROL!$C$13*CAPA3_EXPANSION!CM39+SUP_CONTROL!$C$14*CAPA4_RETAIL!CM8</f>
        <v>2117009.3081746935</v>
      </c>
      <c r="CN14" s="77">
        <f>SUP_CONTROL!$C$11*CAPA1_PILOTO!CN15+SUP_CONTROL!$C$12*CAPA2_FLAGSHIP!CN11+SUP_CONTROL!$C$13*CAPA3_EXPANSION!CN39+SUP_CONTROL!$C$14*CAPA4_RETAIL!CN8</f>
        <v>2117009.3081746935</v>
      </c>
      <c r="CO14" s="77">
        <f>SUP_CONTROL!$C$11*CAPA1_PILOTO!CO15+SUP_CONTROL!$C$12*CAPA2_FLAGSHIP!CO11+SUP_CONTROL!$C$13*CAPA3_EXPANSION!CO39+SUP_CONTROL!$C$14*CAPA4_RETAIL!CO8</f>
        <v>2117009.3081746935</v>
      </c>
      <c r="CP14" s="77">
        <f>SUP_CONTROL!$C$11*CAPA1_PILOTO!CP15+SUP_CONTROL!$C$12*CAPA2_FLAGSHIP!CP11+SUP_CONTROL!$C$13*CAPA3_EXPANSION!CP39+SUP_CONTROL!$C$14*CAPA4_RETAIL!CP8</f>
        <v>2117009.3081746935</v>
      </c>
      <c r="CQ14" s="77">
        <f>SUP_CONTROL!$C$11*CAPA1_PILOTO!CQ15+SUP_CONTROL!$C$12*CAPA2_FLAGSHIP!CQ11+SUP_CONTROL!$C$13*CAPA3_EXPANSION!CQ39+SUP_CONTROL!$C$14*CAPA4_RETAIL!CQ8</f>
        <v>2117009.3081746935</v>
      </c>
      <c r="CR14" s="77">
        <f>SUP_CONTROL!$C$11*CAPA1_PILOTO!CR15+SUP_CONTROL!$C$12*CAPA2_FLAGSHIP!CR11+SUP_CONTROL!$C$13*CAPA3_EXPANSION!CR39+SUP_CONTROL!$C$14*CAPA4_RETAIL!CR8</f>
        <v>2117009.3081746935</v>
      </c>
      <c r="CS14" s="77">
        <f>SUP_CONTROL!$C$11*CAPA1_PILOTO!CS15+SUP_CONTROL!$C$12*CAPA2_FLAGSHIP!CS11+SUP_CONTROL!$C$13*CAPA3_EXPANSION!CS39+SUP_CONTROL!$C$14*CAPA4_RETAIL!CS8</f>
        <v>2117009.3081746935</v>
      </c>
      <c r="CT14" s="77">
        <f>SUP_CONTROL!$C$11*CAPA1_PILOTO!CT15+SUP_CONTROL!$C$12*CAPA2_FLAGSHIP!CT11+SUP_CONTROL!$C$13*CAPA3_EXPANSION!CT39+SUP_CONTROL!$C$14*CAPA4_RETAIL!CT8</f>
        <v>2117009.3081746935</v>
      </c>
      <c r="CU14" s="77">
        <f>SUP_CONTROL!$C$11*CAPA1_PILOTO!CU15+SUP_CONTROL!$C$12*CAPA2_FLAGSHIP!CU11+SUP_CONTROL!$C$13*CAPA3_EXPANSION!CU39+SUP_CONTROL!$C$14*CAPA4_RETAIL!CU8</f>
        <v>2117009.3081746935</v>
      </c>
      <c r="CV14" s="77">
        <f>SUP_CONTROL!$C$11*CAPA1_PILOTO!CV15+SUP_CONTROL!$C$12*CAPA2_FLAGSHIP!CV11+SUP_CONTROL!$C$13*CAPA3_EXPANSION!CV39+SUP_CONTROL!$C$14*CAPA4_RETAIL!CV8</f>
        <v>2117009.3081746935</v>
      </c>
      <c r="CW14" s="77">
        <f>SUP_CONTROL!$C$11*CAPA1_PILOTO!CW15+SUP_CONTROL!$C$12*CAPA2_FLAGSHIP!CW11+SUP_CONTROL!$C$13*CAPA3_EXPANSION!CW39+SUP_CONTROL!$C$14*CAPA4_RETAIL!CW8</f>
        <v>2117009.3081746935</v>
      </c>
      <c r="CX14" s="77">
        <f>SUP_CONTROL!$C$11*CAPA1_PILOTO!CX15+SUP_CONTROL!$C$12*CAPA2_FLAGSHIP!CX11+SUP_CONTROL!$C$13*CAPA3_EXPANSION!CX39+SUP_CONTROL!$C$14*CAPA4_RETAIL!CX8</f>
        <v>2117009.3081746935</v>
      </c>
      <c r="CY14" s="77">
        <f>SUP_CONTROL!$C$11*CAPA1_PILOTO!CY15+SUP_CONTROL!$C$12*CAPA2_FLAGSHIP!CY11+SUP_CONTROL!$C$13*CAPA3_EXPANSION!CY39+SUP_CONTROL!$C$14*CAPA4_RETAIL!CY8</f>
        <v>2117009.3081746935</v>
      </c>
      <c r="CZ14" s="77">
        <f>SUP_CONTROL!$C$11*CAPA1_PILOTO!CZ15+SUP_CONTROL!$C$12*CAPA2_FLAGSHIP!CZ11+SUP_CONTROL!$C$13*CAPA3_EXPANSION!CZ39+SUP_CONTROL!$C$14*CAPA4_RETAIL!CZ8</f>
        <v>2117009.3081746935</v>
      </c>
      <c r="DA14" s="77">
        <f>SUP_CONTROL!$C$11*CAPA1_PILOTO!DA15+SUP_CONTROL!$C$12*CAPA2_FLAGSHIP!DA11+SUP_CONTROL!$C$13*CAPA3_EXPANSION!DA39+SUP_CONTROL!$C$14*CAPA4_RETAIL!DA8</f>
        <v>2117009.3081746935</v>
      </c>
      <c r="DB14" s="77">
        <f>SUP_CONTROL!$C$11*CAPA1_PILOTO!DB15+SUP_CONTROL!$C$12*CAPA2_FLAGSHIP!DB11+SUP_CONTROL!$C$13*CAPA3_EXPANSION!DB39+SUP_CONTROL!$C$14*CAPA4_RETAIL!DB8</f>
        <v>2117009.3081746935</v>
      </c>
      <c r="DC14" s="77">
        <f>SUP_CONTROL!$C$11*CAPA1_PILOTO!DC15+SUP_CONTROL!$C$12*CAPA2_FLAGSHIP!DC11+SUP_CONTROL!$C$13*CAPA3_EXPANSION!DC39+SUP_CONTROL!$C$14*CAPA4_RETAIL!DC8</f>
        <v>2117009.3081746935</v>
      </c>
      <c r="DD14" s="77">
        <f>SUP_CONTROL!$C$11*CAPA1_PILOTO!DD15+SUP_CONTROL!$C$12*CAPA2_FLAGSHIP!DD11+SUP_CONTROL!$C$13*CAPA3_EXPANSION!DD39+SUP_CONTROL!$C$14*CAPA4_RETAIL!DD8</f>
        <v>2117009.3081746935</v>
      </c>
      <c r="DE14" s="77">
        <f>SUP_CONTROL!$C$11*CAPA1_PILOTO!DE15+SUP_CONTROL!$C$12*CAPA2_FLAGSHIP!DE11+SUP_CONTROL!$C$13*CAPA3_EXPANSION!DE39+SUP_CONTROL!$C$14*CAPA4_RETAIL!DE8</f>
        <v>2117009.3081746935</v>
      </c>
      <c r="DF14" s="77">
        <f>SUP_CONTROL!$C$11*CAPA1_PILOTO!DF15+SUP_CONTROL!$C$12*CAPA2_FLAGSHIP!DF11+SUP_CONTROL!$C$13*CAPA3_EXPANSION!DF39+SUP_CONTROL!$C$14*CAPA4_RETAIL!DF8</f>
        <v>2117009.3081746935</v>
      </c>
      <c r="DG14" s="77">
        <f>SUP_CONTROL!$C$11*CAPA1_PILOTO!DG15+SUP_CONTROL!$C$12*CAPA2_FLAGSHIP!DG11+SUP_CONTROL!$C$13*CAPA3_EXPANSION!DG39+SUP_CONTROL!$C$14*CAPA4_RETAIL!DG8</f>
        <v>2117009.3081746935</v>
      </c>
      <c r="DH14" s="77">
        <f>SUP_CONTROL!$C$11*CAPA1_PILOTO!DH15+SUP_CONTROL!$C$12*CAPA2_FLAGSHIP!DH11+SUP_CONTROL!$C$13*CAPA3_EXPANSION!DH39+SUP_CONTROL!$C$14*CAPA4_RETAIL!DH8</f>
        <v>2117009.3081746935</v>
      </c>
      <c r="DI14" s="77">
        <f>SUP_CONTROL!$C$11*CAPA1_PILOTO!DI15+SUP_CONTROL!$C$12*CAPA2_FLAGSHIP!DI11+SUP_CONTROL!$C$13*CAPA3_EXPANSION!DI39+SUP_CONTROL!$C$14*CAPA4_RETAIL!DI8</f>
        <v>2117009.3081746935</v>
      </c>
      <c r="DJ14" s="77">
        <f>SUP_CONTROL!$C$11*CAPA1_PILOTO!DJ15+SUP_CONTROL!$C$12*CAPA2_FLAGSHIP!DJ11+SUP_CONTROL!$C$13*CAPA3_EXPANSION!DJ39+SUP_CONTROL!$C$14*CAPA4_RETAIL!DJ8</f>
        <v>2117009.3081746935</v>
      </c>
      <c r="DK14" s="77">
        <f>SUP_CONTROL!$C$11*CAPA1_PILOTO!DK15+SUP_CONTROL!$C$12*CAPA2_FLAGSHIP!DK11+SUP_CONTROL!$C$13*CAPA3_EXPANSION!DK39+SUP_CONTROL!$C$14*CAPA4_RETAIL!DK8</f>
        <v>2117009.3081746935</v>
      </c>
      <c r="DL14" s="77">
        <f>SUP_CONTROL!$C$11*CAPA1_PILOTO!DL15+SUP_CONTROL!$C$12*CAPA2_FLAGSHIP!DL11+SUP_CONTROL!$C$13*CAPA3_EXPANSION!DL39+SUP_CONTROL!$C$14*CAPA4_RETAIL!DL8</f>
        <v>2117009.3081746935</v>
      </c>
      <c r="DM14" s="77">
        <f>SUP_CONTROL!$C$11*CAPA1_PILOTO!DM15+SUP_CONTROL!$C$12*CAPA2_FLAGSHIP!DM11+SUP_CONTROL!$C$13*CAPA3_EXPANSION!DM39+SUP_CONTROL!$C$14*CAPA4_RETAIL!DM8</f>
        <v>2117009.3081746935</v>
      </c>
      <c r="DN14" s="77">
        <f>SUP_CONTROL!$C$11*CAPA1_PILOTO!DN15+SUP_CONTROL!$C$12*CAPA2_FLAGSHIP!DN11+SUP_CONTROL!$C$13*CAPA3_EXPANSION!DN39+SUP_CONTROL!$C$14*CAPA4_RETAIL!DN8</f>
        <v>2117009.3081746935</v>
      </c>
      <c r="DO14" s="77">
        <f>SUP_CONTROL!$C$11*CAPA1_PILOTO!DO15+SUP_CONTROL!$C$12*CAPA2_FLAGSHIP!DO11+SUP_CONTROL!$C$13*CAPA3_EXPANSION!DO39+SUP_CONTROL!$C$14*CAPA4_RETAIL!DO8</f>
        <v>2117009.3081746935</v>
      </c>
      <c r="DP14" s="77">
        <f>SUP_CONTROL!$C$11*CAPA1_PILOTO!DP15+SUP_CONTROL!$C$12*CAPA2_FLAGSHIP!DP11+SUP_CONTROL!$C$13*CAPA3_EXPANSION!DP39+SUP_CONTROL!$C$14*CAPA4_RETAIL!DP8</f>
        <v>2117009.3081746935</v>
      </c>
      <c r="DQ14" s="77">
        <f>SUP_CONTROL!$C$11*CAPA1_PILOTO!DQ15+SUP_CONTROL!$C$12*CAPA2_FLAGSHIP!DQ11+SUP_CONTROL!$C$13*CAPA3_EXPANSION!DQ39+SUP_CONTROL!$C$14*CAPA4_RETAIL!DQ8</f>
        <v>2117009.3081746935</v>
      </c>
      <c r="DR14" s="77">
        <f>SUP_CONTROL!$C$11*CAPA1_PILOTO!DR15+SUP_CONTROL!$C$12*CAPA2_FLAGSHIP!DR11+SUP_CONTROL!$C$13*CAPA3_EXPANSION!DR39+SUP_CONTROL!$C$14*CAPA4_RETAIL!DR8</f>
        <v>2117009.3081746935</v>
      </c>
      <c r="DS14" s="77">
        <f>SUP_CONTROL!$C$11*CAPA1_PILOTO!DS15+SUP_CONTROL!$C$12*CAPA2_FLAGSHIP!DS11+SUP_CONTROL!$C$13*CAPA3_EXPANSION!DS39+SUP_CONTROL!$C$14*CAPA4_RETAIL!DS8</f>
        <v>2117009.3081746935</v>
      </c>
    </row>
    <row r="15" spans="1:123" ht="15" customHeight="1" x14ac:dyDescent="0.2">
      <c r="B15" s="37" t="s">
        <v>1118</v>
      </c>
      <c r="D15" s="77">
        <f>SUP_CONTROL!$C$11*CAPA1_PILOTO!D23+SUP_CONTROL!$C$12*CAPA2_FLAGSHIP!D18+SUP_CONTROL!$C$13*CAPA3_EXPANSION!D46+SUP_CONTROL!$C$14*CAPA4_RETAIL!D12</f>
        <v>0</v>
      </c>
      <c r="E15" s="77">
        <f>SUP_CONTROL!$C$11*CAPA1_PILOTO!E23+SUP_CONTROL!$C$12*CAPA2_FLAGSHIP!E18+SUP_CONTROL!$C$13*CAPA3_EXPANSION!E46+SUP_CONTROL!$C$14*CAPA4_RETAIL!E12</f>
        <v>-15714.999999999998</v>
      </c>
      <c r="F15" s="77">
        <f>SUP_CONTROL!$C$11*CAPA1_PILOTO!F23+SUP_CONTROL!$C$12*CAPA2_FLAGSHIP!F18+SUP_CONTROL!$C$13*CAPA3_EXPANSION!F46+SUP_CONTROL!$C$14*CAPA4_RETAIL!F12</f>
        <v>-15714.999999999998</v>
      </c>
      <c r="G15" s="77">
        <f>SUP_CONTROL!$C$11*CAPA1_PILOTO!G23+SUP_CONTROL!$C$12*CAPA2_FLAGSHIP!G18+SUP_CONTROL!$C$13*CAPA3_EXPANSION!G46+SUP_CONTROL!$C$14*CAPA4_RETAIL!G12</f>
        <v>-12922.749499036378</v>
      </c>
      <c r="H15" s="77">
        <f>SUP_CONTROL!$C$11*CAPA1_PILOTO!H23+SUP_CONTROL!$C$12*CAPA2_FLAGSHIP!H18+SUP_CONTROL!$C$13*CAPA3_EXPANSION!H46+SUP_CONTROL!$C$14*CAPA4_RETAIL!H12</f>
        <v>5534.7285646337368</v>
      </c>
      <c r="I15" s="77">
        <f>SUP_CONTROL!$C$11*CAPA1_PILOTO!I23+SUP_CONTROL!$C$12*CAPA2_FLAGSHIP!I18+SUP_CONTROL!$C$13*CAPA3_EXPANSION!I46+SUP_CONTROL!$C$14*CAPA4_RETAIL!I12</f>
        <v>26599.167068832438</v>
      </c>
      <c r="J15" s="77">
        <f>SUP_CONTROL!$C$11*CAPA1_PILOTO!J23+SUP_CONTROL!$C$12*CAPA2_FLAGSHIP!J18+SUP_CONTROL!$C$13*CAPA3_EXPANSION!J46+SUP_CONTROL!$C$14*CAPA4_RETAIL!J12</f>
        <v>43785.342694493178</v>
      </c>
      <c r="K15" s="77">
        <f>SUP_CONTROL!$C$11*CAPA1_PILOTO!K23+SUP_CONTROL!$C$12*CAPA2_FLAGSHIP!K18+SUP_CONTROL!$C$13*CAPA3_EXPANSION!K46+SUP_CONTROL!$C$14*CAPA4_RETAIL!K12</f>
        <v>62522.230892345535</v>
      </c>
      <c r="L15" s="77">
        <f>SUP_CONTROL!$C$11*CAPA1_PILOTO!L23+SUP_CONTROL!$C$12*CAPA2_FLAGSHIP!L18+SUP_CONTROL!$C$13*CAPA3_EXPANSION!L46+SUP_CONTROL!$C$14*CAPA4_RETAIL!L12</f>
        <v>71517.225953368412</v>
      </c>
      <c r="M15" s="77">
        <f>SUP_CONTROL!$C$11*CAPA1_PILOTO!M23+SUP_CONTROL!$C$12*CAPA2_FLAGSHIP!M18+SUP_CONTROL!$C$13*CAPA3_EXPANSION!M46+SUP_CONTROL!$C$14*CAPA4_RETAIL!M12</f>
        <v>76290.080475543858</v>
      </c>
      <c r="N15" s="77">
        <f>SUP_CONTROL!$C$11*CAPA1_PILOTO!N23+SUP_CONTROL!$C$12*CAPA2_FLAGSHIP!N18+SUP_CONTROL!$C$13*CAPA3_EXPANSION!N46+SUP_CONTROL!$C$14*CAPA4_RETAIL!N12</f>
        <v>76290.080475543858</v>
      </c>
      <c r="O15" s="77">
        <f>SUP_CONTROL!$C$11*CAPA1_PILOTO!O23+SUP_CONTROL!$C$12*CAPA2_FLAGSHIP!O18+SUP_CONTROL!$C$13*CAPA3_EXPANSION!O46+SUP_CONTROL!$C$14*CAPA4_RETAIL!O12</f>
        <v>76290.080475543858</v>
      </c>
      <c r="P15" s="77">
        <f>SUP_CONTROL!$C$11*CAPA1_PILOTO!P23+SUP_CONTROL!$C$12*CAPA2_FLAGSHIP!P18+SUP_CONTROL!$C$13*CAPA3_EXPANSION!P46+SUP_CONTROL!$C$14*CAPA4_RETAIL!P12</f>
        <v>81053.001846726169</v>
      </c>
      <c r="Q15" s="77">
        <f>SUP_CONTROL!$C$11*CAPA1_PILOTO!Q23+SUP_CONTROL!$C$12*CAPA2_FLAGSHIP!Q18+SUP_CONTROL!$C$13*CAPA3_EXPANSION!Q46+SUP_CONTROL!$C$14*CAPA4_RETAIL!Q12</f>
        <v>81053.001846726169</v>
      </c>
      <c r="R15" s="77">
        <f>SUP_CONTROL!$C$11*CAPA1_PILOTO!R23+SUP_CONTROL!$C$12*CAPA2_FLAGSHIP!R18+SUP_CONTROL!$C$13*CAPA3_EXPANSION!R46+SUP_CONTROL!$C$14*CAPA4_RETAIL!R12</f>
        <v>81053.001846726169</v>
      </c>
      <c r="S15" s="77">
        <f>SUP_CONTROL!$C$11*CAPA1_PILOTO!S23+SUP_CONTROL!$C$12*CAPA2_FLAGSHIP!S18+SUP_CONTROL!$C$13*CAPA3_EXPANSION!S46+SUP_CONTROL!$C$14*CAPA4_RETAIL!S12</f>
        <v>81053.001846726169</v>
      </c>
      <c r="T15" s="77">
        <f>SUP_CONTROL!$C$11*CAPA1_PILOTO!T23+SUP_CONTROL!$C$12*CAPA2_FLAGSHIP!T18+SUP_CONTROL!$C$13*CAPA3_EXPANSION!T46+SUP_CONTROL!$C$14*CAPA4_RETAIL!T12</f>
        <v>85261.786804902498</v>
      </c>
      <c r="U15" s="77">
        <f>SUP_CONTROL!$C$11*CAPA1_PILOTO!U23+SUP_CONTROL!$C$12*CAPA2_FLAGSHIP!U18+SUP_CONTROL!$C$13*CAPA3_EXPANSION!U46+SUP_CONTROL!$C$14*CAPA4_RETAIL!U12</f>
        <v>87163.044872173967</v>
      </c>
      <c r="V15" s="77">
        <f>SUP_CONTROL!$C$11*CAPA1_PILOTO!V23+SUP_CONTROL!$C$12*CAPA2_FLAGSHIP!V18+SUP_CONTROL!$C$13*CAPA3_EXPANSION!V46+SUP_CONTROL!$C$14*CAPA4_RETAIL!V12</f>
        <v>92639.335208531265</v>
      </c>
      <c r="W15" s="77">
        <f>SUP_CONTROL!$C$11*CAPA1_PILOTO!W23+SUP_CONTROL!$C$12*CAPA2_FLAGSHIP!W18+SUP_CONTROL!$C$13*CAPA3_EXPANSION!W46+SUP_CONTROL!$C$14*CAPA4_RETAIL!W12</f>
        <v>100016.88361216003</v>
      </c>
      <c r="X15" s="77">
        <f>SUP_CONTROL!$C$11*CAPA1_PILOTO!X23+SUP_CONTROL!$C$12*CAPA2_FLAGSHIP!X18+SUP_CONTROL!$C$13*CAPA3_EXPANSION!X46+SUP_CONTROL!$C$14*CAPA4_RETAIL!X12</f>
        <v>103185.64705761248</v>
      </c>
      <c r="Y15" s="77">
        <f>SUP_CONTROL!$C$11*CAPA1_PILOTO!Y23+SUP_CONTROL!$C$12*CAPA2_FLAGSHIP!Y18+SUP_CONTROL!$C$13*CAPA3_EXPANSION!Y46+SUP_CONTROL!$C$14*CAPA4_RETAIL!Y12</f>
        <v>105720.65781397441</v>
      </c>
      <c r="Z15" s="77">
        <f>SUP_CONTROL!$C$11*CAPA1_PILOTO!Z23+SUP_CONTROL!$C$12*CAPA2_FLAGSHIP!Z18+SUP_CONTROL!$C$13*CAPA3_EXPANSION!Z46+SUP_CONTROL!$C$14*CAPA4_RETAIL!Z12</f>
        <v>106988.16319215539</v>
      </c>
      <c r="AA15" s="77">
        <f>SUP_CONTROL!$C$11*CAPA1_PILOTO!AA23+SUP_CONTROL!$C$12*CAPA2_FLAGSHIP!AA18+SUP_CONTROL!$C$13*CAPA3_EXPANSION!AA46+SUP_CONTROL!$C$14*CAPA4_RETAIL!AA12</f>
        <v>98558.293192155397</v>
      </c>
      <c r="AB15" s="77">
        <f>SUP_CONTROL!$C$11*CAPA1_PILOTO!AB23+SUP_CONTROL!$C$12*CAPA2_FLAGSHIP!AB18+SUP_CONTROL!$C$13*CAPA3_EXPANSION!AB46+SUP_CONTROL!$C$14*CAPA4_RETAIL!AB12</f>
        <v>104632.11035357139</v>
      </c>
      <c r="AC15" s="77">
        <f>SUP_CONTROL!$C$11*CAPA1_PILOTO!AC23+SUP_CONTROL!$C$12*CAPA2_FLAGSHIP!AC18+SUP_CONTROL!$C$13*CAPA3_EXPANSION!AC46+SUP_CONTROL!$C$14*CAPA4_RETAIL!AC12</f>
        <v>104632.11035357139</v>
      </c>
      <c r="AD15" s="77">
        <f>SUP_CONTROL!$C$11*CAPA1_PILOTO!AD23+SUP_CONTROL!$C$12*CAPA2_FLAGSHIP!AD18+SUP_CONTROL!$C$13*CAPA3_EXPANSION!AD46+SUP_CONTROL!$C$14*CAPA4_RETAIL!AD12</f>
        <v>103421.72563950151</v>
      </c>
      <c r="AE15" s="77">
        <f>SUP_CONTROL!$C$11*CAPA1_PILOTO!AE23+SUP_CONTROL!$C$12*CAPA2_FLAGSHIP!AE18+SUP_CONTROL!$C$13*CAPA3_EXPANSION!AE46+SUP_CONTROL!$C$14*CAPA4_RETAIL!AE12</f>
        <v>103421.72563950151</v>
      </c>
      <c r="AF15" s="77">
        <f>SUP_CONTROL!$C$11*CAPA1_PILOTO!AF23+SUP_CONTROL!$C$12*CAPA2_FLAGSHIP!AF18+SUP_CONTROL!$C$13*CAPA3_EXPANSION!AF46+SUP_CONTROL!$C$14*CAPA4_RETAIL!AF12</f>
        <v>108864.96820491686</v>
      </c>
      <c r="AG15" s="77">
        <f>SUP_CONTROL!$C$11*CAPA1_PILOTO!AG23+SUP_CONTROL!$C$12*CAPA2_FLAGSHIP!AG18+SUP_CONTROL!$C$13*CAPA3_EXPANSION!AG46+SUP_CONTROL!$C$14*CAPA4_RETAIL!AG12</f>
        <v>115858.21077033224</v>
      </c>
      <c r="AH15" s="77">
        <f>SUP_CONTROL!$C$11*CAPA1_PILOTO!AH23+SUP_CONTROL!$C$12*CAPA2_FLAGSHIP!AH18+SUP_CONTROL!$C$13*CAPA3_EXPANSION!AH46+SUP_CONTROL!$C$14*CAPA4_RETAIL!AH12</f>
        <v>119510.88286301427</v>
      </c>
      <c r="AI15" s="77">
        <f>SUP_CONTROL!$C$11*CAPA1_PILOTO!AI23+SUP_CONTROL!$C$12*CAPA2_FLAGSHIP!AI18+SUP_CONTROL!$C$13*CAPA3_EXPANSION!AI46+SUP_CONTROL!$C$14*CAPA4_RETAIL!AI12</f>
        <v>126960.70944001488</v>
      </c>
      <c r="AJ15" s="77">
        <f>SUP_CONTROL!$C$11*CAPA1_PILOTO!AJ23+SUP_CONTROL!$C$12*CAPA2_FLAGSHIP!AJ18+SUP_CONTROL!$C$13*CAPA3_EXPANSION!AJ46+SUP_CONTROL!$C$14*CAPA4_RETAIL!AJ12</f>
        <v>134671.44116649279</v>
      </c>
      <c r="AK15" s="77">
        <f>SUP_CONTROL!$C$11*CAPA1_PILOTO!AK23+SUP_CONTROL!$C$12*CAPA2_FLAGSHIP!AK18+SUP_CONTROL!$C$13*CAPA3_EXPANSION!AK46+SUP_CONTROL!$C$14*CAPA4_RETAIL!AK12</f>
        <v>137932.75553495888</v>
      </c>
      <c r="AL15" s="77">
        <f>SUP_CONTROL!$C$11*CAPA1_PILOTO!AL23+SUP_CONTROL!$C$12*CAPA2_FLAGSHIP!AL18+SUP_CONTROL!$C$13*CAPA3_EXPANSION!AL46+SUP_CONTROL!$C$14*CAPA4_RETAIL!AL12</f>
        <v>138121.03760159196</v>
      </c>
      <c r="AM15" s="77">
        <f>SUP_CONTROL!$C$11*CAPA1_PILOTO!AM23+SUP_CONTROL!$C$12*CAPA2_FLAGSHIP!AM18+SUP_CONTROL!$C$13*CAPA3_EXPANSION!AM46+SUP_CONTROL!$C$14*CAPA4_RETAIL!AM12</f>
        <v>144551.07992695039</v>
      </c>
      <c r="AN15" s="77">
        <f>SUP_CONTROL!$C$11*CAPA1_PILOTO!AN23+SUP_CONTROL!$C$12*CAPA2_FLAGSHIP!AN18+SUP_CONTROL!$C$13*CAPA3_EXPANSION!AN46+SUP_CONTROL!$C$14*CAPA4_RETAIL!AN12</f>
        <v>155497.80910991324</v>
      </c>
      <c r="AO15" s="77">
        <f>SUP_CONTROL!$C$11*CAPA1_PILOTO!AO23+SUP_CONTROL!$C$12*CAPA2_FLAGSHIP!AO18+SUP_CONTROL!$C$13*CAPA3_EXPANSION!AO46+SUP_CONTROL!$C$14*CAPA4_RETAIL!AO12</f>
        <v>163479.22930368019</v>
      </c>
      <c r="AP15" s="77">
        <f>SUP_CONTROL!$C$11*CAPA1_PILOTO!AP23+SUP_CONTROL!$C$12*CAPA2_FLAGSHIP!AP18+SUP_CONTROL!$C$13*CAPA3_EXPANSION!AP46+SUP_CONTROL!$C$14*CAPA4_RETAIL!AP12</f>
        <v>172752.20005591665</v>
      </c>
      <c r="AQ15" s="77">
        <f>SUP_CONTROL!$C$11*CAPA1_PILOTO!AQ23+SUP_CONTROL!$C$12*CAPA2_FLAGSHIP!AQ18+SUP_CONTROL!$C$13*CAPA3_EXPANSION!AQ46+SUP_CONTROL!$C$14*CAPA4_RETAIL!AQ12</f>
        <v>177272.6270105601</v>
      </c>
      <c r="AR15" s="77">
        <f>SUP_CONTROL!$C$11*CAPA1_PILOTO!AR23+SUP_CONTROL!$C$12*CAPA2_FLAGSHIP!AR18+SUP_CONTROL!$C$13*CAPA3_EXPANSION!AR46+SUP_CONTROL!$C$14*CAPA4_RETAIL!AR12</f>
        <v>185189.33034656703</v>
      </c>
      <c r="AS15" s="77">
        <f>SUP_CONTROL!$C$11*CAPA1_PILOTO!AS23+SUP_CONTROL!$C$12*CAPA2_FLAGSHIP!AS18+SUP_CONTROL!$C$13*CAPA3_EXPANSION!AS46+SUP_CONTROL!$C$14*CAPA4_RETAIL!AS12</f>
        <v>188999.40449405223</v>
      </c>
      <c r="AT15" s="77">
        <f>SUP_CONTROL!$C$11*CAPA1_PILOTO!AT23+SUP_CONTROL!$C$12*CAPA2_FLAGSHIP!AT18+SUP_CONTROL!$C$13*CAPA3_EXPANSION!AT46+SUP_CONTROL!$C$14*CAPA4_RETAIL!AT12</f>
        <v>195043.49885011488</v>
      </c>
      <c r="AU15" s="77">
        <f>SUP_CONTROL!$C$11*CAPA1_PILOTO!AU23+SUP_CONTROL!$C$12*CAPA2_FLAGSHIP!AU18+SUP_CONTROL!$C$13*CAPA3_EXPANSION!AU46+SUP_CONTROL!$C$14*CAPA4_RETAIL!AU12</f>
        <v>203024.91904388173</v>
      </c>
      <c r="AV15" s="77">
        <f>SUP_CONTROL!$C$11*CAPA1_PILOTO!AV23+SUP_CONTROL!$C$12*CAPA2_FLAGSHIP!AV18+SUP_CONTROL!$C$13*CAPA3_EXPANSION!AV46+SUP_CONTROL!$C$14*CAPA4_RETAIL!AV12</f>
        <v>206253.7954400556</v>
      </c>
      <c r="AW15" s="77">
        <f>SUP_CONTROL!$C$11*CAPA1_PILOTO!AW23+SUP_CONTROL!$C$12*CAPA2_FLAGSHIP!AW18+SUP_CONTROL!$C$13*CAPA3_EXPANSION!AW46+SUP_CONTROL!$C$14*CAPA4_RETAIL!AW12</f>
        <v>194701.89655699479</v>
      </c>
      <c r="AX15" s="77">
        <f>SUP_CONTROL!$C$11*CAPA1_PILOTO!AX23+SUP_CONTROL!$C$12*CAPA2_FLAGSHIP!AX18+SUP_CONTROL!$C$13*CAPA3_EXPANSION!AX46+SUP_CONTROL!$C$14*CAPA4_RETAIL!AX12</f>
        <v>195993.44711546437</v>
      </c>
      <c r="AY15" s="77">
        <f>SUP_CONTROL!$C$11*CAPA1_PILOTO!AY23+SUP_CONTROL!$C$12*CAPA2_FLAGSHIP!AY18+SUP_CONTROL!$C$13*CAPA3_EXPANSION!AY46+SUP_CONTROL!$C$14*CAPA4_RETAIL!AY12</f>
        <v>195993.44711546437</v>
      </c>
      <c r="AZ15" s="77">
        <f>SUP_CONTROL!$C$11*CAPA1_PILOTO!AZ23+SUP_CONTROL!$C$12*CAPA2_FLAGSHIP!AZ18+SUP_CONTROL!$C$13*CAPA3_EXPANSION!AZ46+SUP_CONTROL!$C$14*CAPA4_RETAIL!AZ12</f>
        <v>201451.25249678636</v>
      </c>
      <c r="BA15" s="77">
        <f>SUP_CONTROL!$C$11*CAPA1_PILOTO!BA23+SUP_CONTROL!$C$12*CAPA2_FLAGSHIP!BA18+SUP_CONTROL!$C$13*CAPA3_EXPANSION!BA46+SUP_CONTROL!$C$14*CAPA4_RETAIL!BA12</f>
        <v>196278.83509182086</v>
      </c>
      <c r="BB15" s="77">
        <f>SUP_CONTROL!$C$11*CAPA1_PILOTO!BB23+SUP_CONTROL!$C$12*CAPA2_FLAGSHIP!BB18+SUP_CONTROL!$C$13*CAPA3_EXPANSION!BB46+SUP_CONTROL!$C$14*CAPA4_RETAIL!BB12</f>
        <v>196278.83509182086</v>
      </c>
      <c r="BC15" s="77">
        <f>SUP_CONTROL!$C$11*CAPA1_PILOTO!BC23+SUP_CONTROL!$C$12*CAPA2_FLAGSHIP!BC18+SUP_CONTROL!$C$13*CAPA3_EXPANSION!BC46+SUP_CONTROL!$C$14*CAPA4_RETAIL!BC12</f>
        <v>196278.83509182086</v>
      </c>
      <c r="BD15" s="77">
        <f>SUP_CONTROL!$C$11*CAPA1_PILOTO!BD23+SUP_CONTROL!$C$12*CAPA2_FLAGSHIP!BD18+SUP_CONTROL!$C$13*CAPA3_EXPANSION!BD46+SUP_CONTROL!$C$14*CAPA4_RETAIL!BD12</f>
        <v>194626.11352494505</v>
      </c>
      <c r="BE15" s="77">
        <f>SUP_CONTROL!$C$11*CAPA1_PILOTO!BE23+SUP_CONTROL!$C$12*CAPA2_FLAGSHIP!BE18+SUP_CONTROL!$C$13*CAPA3_EXPANSION!BE46+SUP_CONTROL!$C$14*CAPA4_RETAIL!BE12</f>
        <v>202732.20161068952</v>
      </c>
      <c r="BF15" s="77">
        <f>SUP_CONTROL!$C$11*CAPA1_PILOTO!BF23+SUP_CONTROL!$C$12*CAPA2_FLAGSHIP!BF18+SUP_CONTROL!$C$13*CAPA3_EXPANSION!BF46+SUP_CONTROL!$C$14*CAPA4_RETAIL!BF12</f>
        <v>207323.4653667626</v>
      </c>
      <c r="BG15" s="77">
        <f>SUP_CONTROL!$C$11*CAPA1_PILOTO!BG23+SUP_CONTROL!$C$12*CAPA2_FLAGSHIP!BG18+SUP_CONTROL!$C$13*CAPA3_EXPANSION!BG46+SUP_CONTROL!$C$14*CAPA4_RETAIL!BG12</f>
        <v>217602.66304680804</v>
      </c>
      <c r="BH15" s="77">
        <f>SUP_CONTROL!$C$11*CAPA1_PILOTO!BH23+SUP_CONTROL!$C$12*CAPA2_FLAGSHIP!BH18+SUP_CONTROL!$C$13*CAPA3_EXPANSION!BH46+SUP_CONTROL!$C$14*CAPA4_RETAIL!BH12</f>
        <v>226444.69240091011</v>
      </c>
      <c r="BI15" s="77">
        <f>SUP_CONTROL!$C$11*CAPA1_PILOTO!BI23+SUP_CONTROL!$C$12*CAPA2_FLAGSHIP!BI18+SUP_CONTROL!$C$13*CAPA3_EXPANSION!BI46+SUP_CONTROL!$C$14*CAPA4_RETAIL!BI12</f>
        <v>235286.72175501214</v>
      </c>
      <c r="BJ15" s="77">
        <f>SUP_CONTROL!$C$11*CAPA1_PILOTO!BJ23+SUP_CONTROL!$C$12*CAPA2_FLAGSHIP!BJ18+SUP_CONTROL!$C$13*CAPA3_EXPANSION!BJ46+SUP_CONTROL!$C$14*CAPA4_RETAIL!BJ12</f>
        <v>244640.77522894606</v>
      </c>
      <c r="BK15" s="77">
        <f>SUP_CONTROL!$C$11*CAPA1_PILOTO!BK23+SUP_CONTROL!$C$12*CAPA2_FLAGSHIP!BK18+SUP_CONTROL!$C$13*CAPA3_EXPANSION!BK46+SUP_CONTROL!$C$14*CAPA4_RETAIL!BK12</f>
        <v>247063.4527271674</v>
      </c>
      <c r="BL15" s="77">
        <f>SUP_CONTROL!$C$11*CAPA1_PILOTO!BL23+SUP_CONTROL!$C$12*CAPA2_FLAGSHIP!BL18+SUP_CONTROL!$C$13*CAPA3_EXPANSION!BL46+SUP_CONTROL!$C$14*CAPA4_RETAIL!BL12</f>
        <v>262772.9079187641</v>
      </c>
      <c r="BM15" s="77">
        <f>SUP_CONTROL!$C$11*CAPA1_PILOTO!BM23+SUP_CONTROL!$C$12*CAPA2_FLAGSHIP!BM18+SUP_CONTROL!$C$13*CAPA3_EXPANSION!BM46+SUP_CONTROL!$C$14*CAPA4_RETAIL!BM12</f>
        <v>271526.92483348626</v>
      </c>
      <c r="BN15" s="77">
        <f>SUP_CONTROL!$C$11*CAPA1_PILOTO!BN23+SUP_CONTROL!$C$12*CAPA2_FLAGSHIP!BN18+SUP_CONTROL!$C$13*CAPA3_EXPANSION!BN46+SUP_CONTROL!$C$14*CAPA4_RETAIL!BN12</f>
        <v>280778.86678794556</v>
      </c>
      <c r="BO15" s="77">
        <f>SUP_CONTROL!$C$11*CAPA1_PILOTO!BO23+SUP_CONTROL!$C$12*CAPA2_FLAGSHIP!BO18+SUP_CONTROL!$C$13*CAPA3_EXPANSION!BO46+SUP_CONTROL!$C$14*CAPA4_RETAIL!BO12</f>
        <v>289719.05870628019</v>
      </c>
      <c r="BP15" s="77">
        <f>SUP_CONTROL!$C$11*CAPA1_PILOTO!BP23+SUP_CONTROL!$C$12*CAPA2_FLAGSHIP!BP18+SUP_CONTROL!$C$13*CAPA3_EXPANSION!BP46+SUP_CONTROL!$C$14*CAPA4_RETAIL!BP12</f>
        <v>292312.3755014629</v>
      </c>
      <c r="BQ15" s="77">
        <f>SUP_CONTROL!$C$11*CAPA1_PILOTO!BQ23+SUP_CONTROL!$C$12*CAPA2_FLAGSHIP!BQ18+SUP_CONTROL!$C$13*CAPA3_EXPANSION!BQ46+SUP_CONTROL!$C$14*CAPA4_RETAIL!BQ12</f>
        <v>300848.48303695675</v>
      </c>
      <c r="BR15" s="77">
        <f>SUP_CONTROL!$C$11*CAPA1_PILOTO!BR23+SUP_CONTROL!$C$12*CAPA2_FLAGSHIP!BR18+SUP_CONTROL!$C$13*CAPA3_EXPANSION!BR46+SUP_CONTROL!$C$14*CAPA4_RETAIL!BR12</f>
        <v>309847.60779901047</v>
      </c>
      <c r="BS15" s="77">
        <f>SUP_CONTROL!$C$11*CAPA1_PILOTO!BS23+SUP_CONTROL!$C$12*CAPA2_FLAGSHIP!BS18+SUP_CONTROL!$C$13*CAPA3_EXPANSION!BS46+SUP_CONTROL!$C$14*CAPA4_RETAIL!BS12</f>
        <v>312266.78476276033</v>
      </c>
      <c r="BT15" s="77">
        <f>SUP_CONTROL!$C$11*CAPA1_PILOTO!BT23+SUP_CONTROL!$C$12*CAPA2_FLAGSHIP!BT18+SUP_CONTROL!$C$13*CAPA3_EXPANSION!BT46+SUP_CONTROL!$C$14*CAPA4_RETAIL!BT12</f>
        <v>322632.90795876313</v>
      </c>
      <c r="BU15" s="77">
        <f>SUP_CONTROL!$C$11*CAPA1_PILOTO!BU23+SUP_CONTROL!$C$12*CAPA2_FLAGSHIP!BU18+SUP_CONTROL!$C$13*CAPA3_EXPANSION!BU46+SUP_CONTROL!$C$14*CAPA4_RETAIL!BU12</f>
        <v>324910.29141448205</v>
      </c>
      <c r="BV15" s="77">
        <f>SUP_CONTROL!$C$11*CAPA1_PILOTO!BV23+SUP_CONTROL!$C$12*CAPA2_FLAGSHIP!BV18+SUP_CONTROL!$C$13*CAPA3_EXPANSION!BV46+SUP_CONTROL!$C$14*CAPA4_RETAIL!BV12</f>
        <v>334067.68750369793</v>
      </c>
      <c r="BW15" s="77">
        <f>SUP_CONTROL!$C$11*CAPA1_PILOTO!BW23+SUP_CONTROL!$C$12*CAPA2_FLAGSHIP!BW18+SUP_CONTROL!$C$13*CAPA3_EXPANSION!BW46+SUP_CONTROL!$C$14*CAPA4_RETAIL!BW12</f>
        <v>342813.99507334596</v>
      </c>
      <c r="BX15" s="77">
        <f>SUP_CONTROL!$C$11*CAPA1_PILOTO!BX23+SUP_CONTROL!$C$12*CAPA2_FLAGSHIP!BX18+SUP_CONTROL!$C$13*CAPA3_EXPANSION!BX46+SUP_CONTROL!$C$14*CAPA4_RETAIL!BX12</f>
        <v>360878.6111112787</v>
      </c>
      <c r="BY15" s="77">
        <f>SUP_CONTROL!$C$11*CAPA1_PILOTO!BY23+SUP_CONTROL!$C$12*CAPA2_FLAGSHIP!BY18+SUP_CONTROL!$C$13*CAPA3_EXPANSION!BY46+SUP_CONTROL!$C$14*CAPA4_RETAIL!BY12</f>
        <v>369388.09081160277</v>
      </c>
      <c r="BZ15" s="77">
        <f>SUP_CONTROL!$C$11*CAPA1_PILOTO!BZ23+SUP_CONTROL!$C$12*CAPA2_FLAGSHIP!BZ18+SUP_CONTROL!$C$13*CAPA3_EXPANSION!BZ46+SUP_CONTROL!$C$14*CAPA4_RETAIL!BZ12</f>
        <v>379881.25747765467</v>
      </c>
      <c r="CA15" s="77">
        <f>SUP_CONTROL!$C$11*CAPA1_PILOTO!CA23+SUP_CONTROL!$C$12*CAPA2_FLAGSHIP!CA18+SUP_CONTROL!$C$13*CAPA3_EXPANSION!CA46+SUP_CONTROL!$C$14*CAPA4_RETAIL!CA12</f>
        <v>390482.98696414934</v>
      </c>
      <c r="CB15" s="77">
        <f>SUP_CONTROL!$C$11*CAPA1_PILOTO!CB23+SUP_CONTROL!$C$12*CAPA2_FLAGSHIP!CB18+SUP_CONTROL!$C$13*CAPA3_EXPANSION!CB46+SUP_CONTROL!$C$14*CAPA4_RETAIL!CB12</f>
        <v>391418.51132254075</v>
      </c>
      <c r="CC15" s="77">
        <f>SUP_CONTROL!$C$11*CAPA1_PILOTO!CC23+SUP_CONTROL!$C$12*CAPA2_FLAGSHIP!CC18+SUP_CONTROL!$C$13*CAPA3_EXPANSION!CC46+SUP_CONTROL!$C$14*CAPA4_RETAIL!CC12</f>
        <v>393163.40362998861</v>
      </c>
      <c r="CD15" s="77">
        <f>SUP_CONTROL!$C$11*CAPA1_PILOTO!CD23+SUP_CONTROL!$C$12*CAPA2_FLAGSHIP!CD18+SUP_CONTROL!$C$13*CAPA3_EXPANSION!CD46+SUP_CONTROL!$C$14*CAPA4_RETAIL!CD12</f>
        <v>395930.53952730744</v>
      </c>
      <c r="CE15" s="77">
        <f>SUP_CONTROL!$C$11*CAPA1_PILOTO!CE23+SUP_CONTROL!$C$12*CAPA2_FLAGSHIP!CE18+SUP_CONTROL!$C$13*CAPA3_EXPANSION!CE46+SUP_CONTROL!$C$14*CAPA4_RETAIL!CE12</f>
        <v>397133.64209135901</v>
      </c>
      <c r="CF15" s="77">
        <f>SUP_CONTROL!$C$11*CAPA1_PILOTO!CF23+SUP_CONTROL!$C$12*CAPA2_FLAGSHIP!CF18+SUP_CONTROL!$C$13*CAPA3_EXPANSION!CF46+SUP_CONTROL!$C$14*CAPA4_RETAIL!CF12</f>
        <v>397133.64209135901</v>
      </c>
      <c r="CG15" s="77">
        <f>SUP_CONTROL!$C$11*CAPA1_PILOTO!CG23+SUP_CONTROL!$C$12*CAPA2_FLAGSHIP!CG18+SUP_CONTROL!$C$13*CAPA3_EXPANSION!CG46+SUP_CONTROL!$C$14*CAPA4_RETAIL!CG12</f>
        <v>397133.64209135901</v>
      </c>
      <c r="CH15" s="77">
        <f>SUP_CONTROL!$C$11*CAPA1_PILOTO!CH23+SUP_CONTROL!$C$12*CAPA2_FLAGSHIP!CH18+SUP_CONTROL!$C$13*CAPA3_EXPANSION!CH46+SUP_CONTROL!$C$14*CAPA4_RETAIL!CH12</f>
        <v>397133.64209135901</v>
      </c>
      <c r="CI15" s="77">
        <f>SUP_CONTROL!$C$11*CAPA1_PILOTO!CI23+SUP_CONTROL!$C$12*CAPA2_FLAGSHIP!CI18+SUP_CONTROL!$C$13*CAPA3_EXPANSION!CI46+SUP_CONTROL!$C$14*CAPA4_RETAIL!CI12</f>
        <v>397133.64209135901</v>
      </c>
      <c r="CJ15" s="77">
        <f>SUP_CONTROL!$C$11*CAPA1_PILOTO!CJ23+SUP_CONTROL!$C$12*CAPA2_FLAGSHIP!CJ18+SUP_CONTROL!$C$13*CAPA3_EXPANSION!CJ46+SUP_CONTROL!$C$14*CAPA4_RETAIL!CJ12</f>
        <v>397133.64209135901</v>
      </c>
      <c r="CK15" s="77">
        <f>SUP_CONTROL!$C$11*CAPA1_PILOTO!CK23+SUP_CONTROL!$C$12*CAPA2_FLAGSHIP!CK18+SUP_CONTROL!$C$13*CAPA3_EXPANSION!CK46+SUP_CONTROL!$C$14*CAPA4_RETAIL!CK12</f>
        <v>397133.64209135901</v>
      </c>
      <c r="CL15" s="77">
        <f>SUP_CONTROL!$C$11*CAPA1_PILOTO!CL23+SUP_CONTROL!$C$12*CAPA2_FLAGSHIP!CL18+SUP_CONTROL!$C$13*CAPA3_EXPANSION!CL46+SUP_CONTROL!$C$14*CAPA4_RETAIL!CL12</f>
        <v>397133.64209135901</v>
      </c>
      <c r="CM15" s="77">
        <f>SUP_CONTROL!$C$11*CAPA1_PILOTO!CM23+SUP_CONTROL!$C$12*CAPA2_FLAGSHIP!CM18+SUP_CONTROL!$C$13*CAPA3_EXPANSION!CM46+SUP_CONTROL!$C$14*CAPA4_RETAIL!CM12</f>
        <v>397133.64209135901</v>
      </c>
      <c r="CN15" s="77">
        <f>SUP_CONTROL!$C$11*CAPA1_PILOTO!CN23+SUP_CONTROL!$C$12*CAPA2_FLAGSHIP!CN18+SUP_CONTROL!$C$13*CAPA3_EXPANSION!CN46+SUP_CONTROL!$C$14*CAPA4_RETAIL!CN12</f>
        <v>397133.64209135901</v>
      </c>
      <c r="CO15" s="77">
        <f>SUP_CONTROL!$C$11*CAPA1_PILOTO!CO23+SUP_CONTROL!$C$12*CAPA2_FLAGSHIP!CO18+SUP_CONTROL!$C$13*CAPA3_EXPANSION!CO46+SUP_CONTROL!$C$14*CAPA4_RETAIL!CO12</f>
        <v>397133.64209135901</v>
      </c>
      <c r="CP15" s="77">
        <f>SUP_CONTROL!$C$11*CAPA1_PILOTO!CP23+SUP_CONTROL!$C$12*CAPA2_FLAGSHIP!CP18+SUP_CONTROL!$C$13*CAPA3_EXPANSION!CP46+SUP_CONTROL!$C$14*CAPA4_RETAIL!CP12</f>
        <v>397133.64209135901</v>
      </c>
      <c r="CQ15" s="77">
        <f>SUP_CONTROL!$C$11*CAPA1_PILOTO!CQ23+SUP_CONTROL!$C$12*CAPA2_FLAGSHIP!CQ18+SUP_CONTROL!$C$13*CAPA3_EXPANSION!CQ46+SUP_CONTROL!$C$14*CAPA4_RETAIL!CQ12</f>
        <v>397133.64209135901</v>
      </c>
      <c r="CR15" s="77">
        <f>SUP_CONTROL!$C$11*CAPA1_PILOTO!CR23+SUP_CONTROL!$C$12*CAPA2_FLAGSHIP!CR18+SUP_CONTROL!$C$13*CAPA3_EXPANSION!CR46+SUP_CONTROL!$C$14*CAPA4_RETAIL!CR12</f>
        <v>397133.64209135901</v>
      </c>
      <c r="CS15" s="77">
        <f>SUP_CONTROL!$C$11*CAPA1_PILOTO!CS23+SUP_CONTROL!$C$12*CAPA2_FLAGSHIP!CS18+SUP_CONTROL!$C$13*CAPA3_EXPANSION!CS46+SUP_CONTROL!$C$14*CAPA4_RETAIL!CS12</f>
        <v>397133.64209135901</v>
      </c>
      <c r="CT15" s="77">
        <f>SUP_CONTROL!$C$11*CAPA1_PILOTO!CT23+SUP_CONTROL!$C$12*CAPA2_FLAGSHIP!CT18+SUP_CONTROL!$C$13*CAPA3_EXPANSION!CT46+SUP_CONTROL!$C$14*CAPA4_RETAIL!CT12</f>
        <v>397133.64209135901</v>
      </c>
      <c r="CU15" s="77">
        <f>SUP_CONTROL!$C$11*CAPA1_PILOTO!CU23+SUP_CONTROL!$C$12*CAPA2_FLAGSHIP!CU18+SUP_CONTROL!$C$13*CAPA3_EXPANSION!CU46+SUP_CONTROL!$C$14*CAPA4_RETAIL!CU12</f>
        <v>397133.64209135901</v>
      </c>
      <c r="CV15" s="77">
        <f>SUP_CONTROL!$C$11*CAPA1_PILOTO!CV23+SUP_CONTROL!$C$12*CAPA2_FLAGSHIP!CV18+SUP_CONTROL!$C$13*CAPA3_EXPANSION!CV46+SUP_CONTROL!$C$14*CAPA4_RETAIL!CV12</f>
        <v>397133.64209135901</v>
      </c>
      <c r="CW15" s="77">
        <f>SUP_CONTROL!$C$11*CAPA1_PILOTO!CW23+SUP_CONTROL!$C$12*CAPA2_FLAGSHIP!CW18+SUP_CONTROL!$C$13*CAPA3_EXPANSION!CW46+SUP_CONTROL!$C$14*CAPA4_RETAIL!CW12</f>
        <v>397133.64209135901</v>
      </c>
      <c r="CX15" s="77">
        <f>SUP_CONTROL!$C$11*CAPA1_PILOTO!CX23+SUP_CONTROL!$C$12*CAPA2_FLAGSHIP!CX18+SUP_CONTROL!$C$13*CAPA3_EXPANSION!CX46+SUP_CONTROL!$C$14*CAPA4_RETAIL!CX12</f>
        <v>397133.64209135901</v>
      </c>
      <c r="CY15" s="77">
        <f>SUP_CONTROL!$C$11*CAPA1_PILOTO!CY23+SUP_CONTROL!$C$12*CAPA2_FLAGSHIP!CY18+SUP_CONTROL!$C$13*CAPA3_EXPANSION!CY46+SUP_CONTROL!$C$14*CAPA4_RETAIL!CY12</f>
        <v>397133.64209135901</v>
      </c>
      <c r="CZ15" s="77">
        <f>SUP_CONTROL!$C$11*CAPA1_PILOTO!CZ23+SUP_CONTROL!$C$12*CAPA2_FLAGSHIP!CZ18+SUP_CONTROL!$C$13*CAPA3_EXPANSION!CZ46+SUP_CONTROL!$C$14*CAPA4_RETAIL!CZ12</f>
        <v>397133.64209135901</v>
      </c>
      <c r="DA15" s="77">
        <f>SUP_CONTROL!$C$11*CAPA1_PILOTO!DA23+SUP_CONTROL!$C$12*CAPA2_FLAGSHIP!DA18+SUP_CONTROL!$C$13*CAPA3_EXPANSION!DA46+SUP_CONTROL!$C$14*CAPA4_RETAIL!DA12</f>
        <v>397133.64209135901</v>
      </c>
      <c r="DB15" s="77">
        <f>SUP_CONTROL!$C$11*CAPA1_PILOTO!DB23+SUP_CONTROL!$C$12*CAPA2_FLAGSHIP!DB18+SUP_CONTROL!$C$13*CAPA3_EXPANSION!DB46+SUP_CONTROL!$C$14*CAPA4_RETAIL!DB12</f>
        <v>397133.64209135901</v>
      </c>
      <c r="DC15" s="77">
        <f>SUP_CONTROL!$C$11*CAPA1_PILOTO!DC23+SUP_CONTROL!$C$12*CAPA2_FLAGSHIP!DC18+SUP_CONTROL!$C$13*CAPA3_EXPANSION!DC46+SUP_CONTROL!$C$14*CAPA4_RETAIL!DC12</f>
        <v>397133.64209135901</v>
      </c>
      <c r="DD15" s="77">
        <f>SUP_CONTROL!$C$11*CAPA1_PILOTO!DD23+SUP_CONTROL!$C$12*CAPA2_FLAGSHIP!DD18+SUP_CONTROL!$C$13*CAPA3_EXPANSION!DD46+SUP_CONTROL!$C$14*CAPA4_RETAIL!DD12</f>
        <v>397133.64209135901</v>
      </c>
      <c r="DE15" s="77">
        <f>SUP_CONTROL!$C$11*CAPA1_PILOTO!DE23+SUP_CONTROL!$C$12*CAPA2_FLAGSHIP!DE18+SUP_CONTROL!$C$13*CAPA3_EXPANSION!DE46+SUP_CONTROL!$C$14*CAPA4_RETAIL!DE12</f>
        <v>397133.64209135901</v>
      </c>
      <c r="DF15" s="77">
        <f>SUP_CONTROL!$C$11*CAPA1_PILOTO!DF23+SUP_CONTROL!$C$12*CAPA2_FLAGSHIP!DF18+SUP_CONTROL!$C$13*CAPA3_EXPANSION!DF46+SUP_CONTROL!$C$14*CAPA4_RETAIL!DF12</f>
        <v>397133.64209135901</v>
      </c>
      <c r="DG15" s="77">
        <f>SUP_CONTROL!$C$11*CAPA1_PILOTO!DG23+SUP_CONTROL!$C$12*CAPA2_FLAGSHIP!DG18+SUP_CONTROL!$C$13*CAPA3_EXPANSION!DG46+SUP_CONTROL!$C$14*CAPA4_RETAIL!DG12</f>
        <v>397133.64209135901</v>
      </c>
      <c r="DH15" s="77">
        <f>SUP_CONTROL!$C$11*CAPA1_PILOTO!DH23+SUP_CONTROL!$C$12*CAPA2_FLAGSHIP!DH18+SUP_CONTROL!$C$13*CAPA3_EXPANSION!DH46+SUP_CONTROL!$C$14*CAPA4_RETAIL!DH12</f>
        <v>397133.64209135901</v>
      </c>
      <c r="DI15" s="77">
        <f>SUP_CONTROL!$C$11*CAPA1_PILOTO!DI23+SUP_CONTROL!$C$12*CAPA2_FLAGSHIP!DI18+SUP_CONTROL!$C$13*CAPA3_EXPANSION!DI46+SUP_CONTROL!$C$14*CAPA4_RETAIL!DI12</f>
        <v>397133.64209135901</v>
      </c>
      <c r="DJ15" s="77">
        <f>SUP_CONTROL!$C$11*CAPA1_PILOTO!DJ23+SUP_CONTROL!$C$12*CAPA2_FLAGSHIP!DJ18+SUP_CONTROL!$C$13*CAPA3_EXPANSION!DJ46+SUP_CONTROL!$C$14*CAPA4_RETAIL!DJ12</f>
        <v>397133.64209135901</v>
      </c>
      <c r="DK15" s="77">
        <f>SUP_CONTROL!$C$11*CAPA1_PILOTO!DK23+SUP_CONTROL!$C$12*CAPA2_FLAGSHIP!DK18+SUP_CONTROL!$C$13*CAPA3_EXPANSION!DK46+SUP_CONTROL!$C$14*CAPA4_RETAIL!DK12</f>
        <v>397133.64209135901</v>
      </c>
      <c r="DL15" s="77">
        <f>SUP_CONTROL!$C$11*CAPA1_PILOTO!DL23+SUP_CONTROL!$C$12*CAPA2_FLAGSHIP!DL18+SUP_CONTROL!$C$13*CAPA3_EXPANSION!DL46+SUP_CONTROL!$C$14*CAPA4_RETAIL!DL12</f>
        <v>397133.64209135901</v>
      </c>
      <c r="DM15" s="77">
        <f>SUP_CONTROL!$C$11*CAPA1_PILOTO!DM23+SUP_CONTROL!$C$12*CAPA2_FLAGSHIP!DM18+SUP_CONTROL!$C$13*CAPA3_EXPANSION!DM46+SUP_CONTROL!$C$14*CAPA4_RETAIL!DM12</f>
        <v>397133.64209135901</v>
      </c>
      <c r="DN15" s="77">
        <f>SUP_CONTROL!$C$11*CAPA1_PILOTO!DN23+SUP_CONTROL!$C$12*CAPA2_FLAGSHIP!DN18+SUP_CONTROL!$C$13*CAPA3_EXPANSION!DN46+SUP_CONTROL!$C$14*CAPA4_RETAIL!DN12</f>
        <v>397133.64209135901</v>
      </c>
      <c r="DO15" s="77">
        <f>SUP_CONTROL!$C$11*CAPA1_PILOTO!DO23+SUP_CONTROL!$C$12*CAPA2_FLAGSHIP!DO18+SUP_CONTROL!$C$13*CAPA3_EXPANSION!DO46+SUP_CONTROL!$C$14*CAPA4_RETAIL!DO12</f>
        <v>397133.64209135901</v>
      </c>
      <c r="DP15" s="77">
        <f>SUP_CONTROL!$C$11*CAPA1_PILOTO!DP23+SUP_CONTROL!$C$12*CAPA2_FLAGSHIP!DP18+SUP_CONTROL!$C$13*CAPA3_EXPANSION!DP46+SUP_CONTROL!$C$14*CAPA4_RETAIL!DP12</f>
        <v>397133.64209135901</v>
      </c>
      <c r="DQ15" s="77">
        <f>SUP_CONTROL!$C$11*CAPA1_PILOTO!DQ23+SUP_CONTROL!$C$12*CAPA2_FLAGSHIP!DQ18+SUP_CONTROL!$C$13*CAPA3_EXPANSION!DQ46+SUP_CONTROL!$C$14*CAPA4_RETAIL!DQ12</f>
        <v>397133.64209135901</v>
      </c>
      <c r="DR15" s="77">
        <f>SUP_CONTROL!$C$11*CAPA1_PILOTO!DR23+SUP_CONTROL!$C$12*CAPA2_FLAGSHIP!DR18+SUP_CONTROL!$C$13*CAPA3_EXPANSION!DR46+SUP_CONTROL!$C$14*CAPA4_RETAIL!DR12</f>
        <v>397133.64209135901</v>
      </c>
      <c r="DS15" s="77">
        <f>SUP_CONTROL!$C$11*CAPA1_PILOTO!DS23+SUP_CONTROL!$C$12*CAPA2_FLAGSHIP!DS18+SUP_CONTROL!$C$13*CAPA3_EXPANSION!DS46+SUP_CONTROL!$C$14*CAPA4_RETAIL!DS12</f>
        <v>397133.64209135901</v>
      </c>
    </row>
    <row r="16" spans="1:123" ht="15" customHeight="1" x14ac:dyDescent="0.2">
      <c r="B16" s="37" t="s">
        <v>1119</v>
      </c>
      <c r="D16" s="77">
        <f>SUP_CONTROL!$C$11*(CAPA1_PILOTO!D25+CAPA1_PILOTO!D26+CAPA1_PILOTO!D27+CAPA1_PILOTO!D37)+SUP_CONTROL!$C$12*(CAPA2_FLAGSHIP!D20+CAPA2_FLAGSHIP!D21+CAPA2_FLAGSHIP!D19)+SUP_CONTROL!$C$13*(CAPA3_EXPANSION!D22+CAPA3_EXPANSION!D29+CAPA3_EXPANSION!D30+CAPA3_EXPANSION!D59)+SUP_CONTROL!$C$14*CAPA4_RETAIL!D14</f>
        <v>567244.15466666664</v>
      </c>
      <c r="E16" s="77">
        <f>SUP_CONTROL!$C$11*(CAPA1_PILOTO!E25+CAPA1_PILOTO!E26+CAPA1_PILOTO!E27+CAPA1_PILOTO!E37)+SUP_CONTROL!$C$12*(CAPA2_FLAGSHIP!E20+CAPA2_FLAGSHIP!E21+CAPA2_FLAGSHIP!E19)+SUP_CONTROL!$C$13*(CAPA3_EXPANSION!E22+CAPA3_EXPANSION!E29+CAPA3_EXPANSION!E30+CAPA3_EXPANSION!E59)+SUP_CONTROL!$C$14*CAPA4_RETAIL!E14</f>
        <v>428644.15466666664</v>
      </c>
      <c r="F16" s="77">
        <f>SUP_CONTROL!$C$11*(CAPA1_PILOTO!F25+CAPA1_PILOTO!F26+CAPA1_PILOTO!F27+CAPA1_PILOTO!F37)+SUP_CONTROL!$C$12*(CAPA2_FLAGSHIP!F20+CAPA2_FLAGSHIP!F21+CAPA2_FLAGSHIP!F19)+SUP_CONTROL!$C$13*(CAPA3_EXPANSION!F22+CAPA3_EXPANSION!F29+CAPA3_EXPANSION!F30+CAPA3_EXPANSION!F59)+SUP_CONTROL!$C$14*CAPA4_RETAIL!F14</f>
        <v>383644.15466666664</v>
      </c>
      <c r="G16" s="77">
        <f>SUP_CONTROL!$C$11*(CAPA1_PILOTO!G25+CAPA1_PILOTO!G26+CAPA1_PILOTO!G27+CAPA1_PILOTO!G37)+SUP_CONTROL!$C$12*(CAPA2_FLAGSHIP!G20+CAPA2_FLAGSHIP!G21+CAPA2_FLAGSHIP!G19)+SUP_CONTROL!$C$13*(CAPA3_EXPANSION!G22+CAPA3_EXPANSION!G29+CAPA3_EXPANSION!G30+CAPA3_EXPANSION!G59)+SUP_CONTROL!$C$14*CAPA4_RETAIL!G14</f>
        <v>251467.95924999999</v>
      </c>
      <c r="H16" s="77">
        <f>SUP_CONTROL!$C$11*(CAPA1_PILOTO!H25+CAPA1_PILOTO!H26+CAPA1_PILOTO!H27+CAPA1_PILOTO!H37)+SUP_CONTROL!$C$12*(CAPA2_FLAGSHIP!H20+CAPA2_FLAGSHIP!H21+CAPA2_FLAGSHIP!H19)+SUP_CONTROL!$C$13*(CAPA3_EXPANSION!H22+CAPA3_EXPANSION!H29+CAPA3_EXPANSION!H30+CAPA3_EXPANSION!H59)+SUP_CONTROL!$C$14*CAPA4_RETAIL!H14</f>
        <v>293822.04450000002</v>
      </c>
      <c r="I16" s="77">
        <f>SUP_CONTROL!$C$11*(CAPA1_PILOTO!I25+CAPA1_PILOTO!I26+CAPA1_PILOTO!I27+CAPA1_PILOTO!I37)+SUP_CONTROL!$C$12*(CAPA2_FLAGSHIP!I20+CAPA2_FLAGSHIP!I21+CAPA2_FLAGSHIP!I19)+SUP_CONTROL!$C$13*(CAPA3_EXPANSION!I22+CAPA3_EXPANSION!I29+CAPA3_EXPANSION!I30+CAPA3_EXPANSION!I59)+SUP_CONTROL!$C$14*CAPA4_RETAIL!I14</f>
        <v>12000</v>
      </c>
      <c r="J16" s="77">
        <f>SUP_CONTROL!$C$11*(CAPA1_PILOTO!J25+CAPA1_PILOTO!J26+CAPA1_PILOTO!J27+CAPA1_PILOTO!J37)+SUP_CONTROL!$C$12*(CAPA2_FLAGSHIP!J20+CAPA2_FLAGSHIP!J21+CAPA2_FLAGSHIP!J19)+SUP_CONTROL!$C$13*(CAPA3_EXPANSION!J22+CAPA3_EXPANSION!J29+CAPA3_EXPANSION!J30+CAPA3_EXPANSION!J59)+SUP_CONTROL!$C$14*CAPA4_RETAIL!J14</f>
        <v>18000</v>
      </c>
      <c r="K16" s="77">
        <f>SUP_CONTROL!$C$11*(CAPA1_PILOTO!K25+CAPA1_PILOTO!K26+CAPA1_PILOTO!K27+CAPA1_PILOTO!K37)+SUP_CONTROL!$C$12*(CAPA2_FLAGSHIP!K20+CAPA2_FLAGSHIP!K21+CAPA2_FLAGSHIP!K19)+SUP_CONTROL!$C$13*(CAPA3_EXPANSION!K22+CAPA3_EXPANSION!K29+CAPA3_EXPANSION!K30+CAPA3_EXPANSION!K59)+SUP_CONTROL!$C$14*CAPA4_RETAIL!K14</f>
        <v>22800</v>
      </c>
      <c r="L16" s="77">
        <f>SUP_CONTROL!$C$11*(CAPA1_PILOTO!L25+CAPA1_PILOTO!L26+CAPA1_PILOTO!L27+CAPA1_PILOTO!L37)+SUP_CONTROL!$C$12*(CAPA2_FLAGSHIP!L20+CAPA2_FLAGSHIP!L21+CAPA2_FLAGSHIP!L19)+SUP_CONTROL!$C$13*(CAPA3_EXPANSION!L22+CAPA3_EXPANSION!L29+CAPA3_EXPANSION!L30+CAPA3_EXPANSION!L59)+SUP_CONTROL!$C$14*CAPA4_RETAIL!L14</f>
        <v>-11600</v>
      </c>
      <c r="M16" s="77">
        <f>SUP_CONTROL!$C$11*(CAPA1_PILOTO!M25+CAPA1_PILOTO!M26+CAPA1_PILOTO!M27+CAPA1_PILOTO!M37)+SUP_CONTROL!$C$12*(CAPA2_FLAGSHIP!M20+CAPA2_FLAGSHIP!M21+CAPA2_FLAGSHIP!M19)+SUP_CONTROL!$C$13*(CAPA3_EXPANSION!M22+CAPA3_EXPANSION!M29+CAPA3_EXPANSION!M30+CAPA3_EXPANSION!M59)+SUP_CONTROL!$C$14*CAPA4_RETAIL!M14</f>
        <v>-6400</v>
      </c>
      <c r="N16" s="77">
        <f>SUP_CONTROL!$C$11*(CAPA1_PILOTO!N25+CAPA1_PILOTO!N26+CAPA1_PILOTO!N27+CAPA1_PILOTO!N37)+SUP_CONTROL!$C$12*(CAPA2_FLAGSHIP!N20+CAPA2_FLAGSHIP!N21+CAPA2_FLAGSHIP!N19)+SUP_CONTROL!$C$13*(CAPA3_EXPANSION!N22+CAPA3_EXPANSION!N29+CAPA3_EXPANSION!N30+CAPA3_EXPANSION!N59)+SUP_CONTROL!$C$14*CAPA4_RETAIL!N14</f>
        <v>0</v>
      </c>
      <c r="O16" s="77">
        <f>SUP_CONTROL!$C$11*(CAPA1_PILOTO!O25+CAPA1_PILOTO!O26+CAPA1_PILOTO!O27+CAPA1_PILOTO!O37)+SUP_CONTROL!$C$12*(CAPA2_FLAGSHIP!O20+CAPA2_FLAGSHIP!O21+CAPA2_FLAGSHIP!O19)+SUP_CONTROL!$C$13*(CAPA3_EXPANSION!O22+CAPA3_EXPANSION!O29+CAPA3_EXPANSION!O30+CAPA3_EXPANSION!O59)+SUP_CONTROL!$C$14*CAPA4_RETAIL!O14</f>
        <v>0</v>
      </c>
      <c r="P16" s="77">
        <f>SUP_CONTROL!$C$11*(CAPA1_PILOTO!P25+CAPA1_PILOTO!P26+CAPA1_PILOTO!P27+CAPA1_PILOTO!P37)+SUP_CONTROL!$C$12*(CAPA2_FLAGSHIP!P20+CAPA2_FLAGSHIP!P21+CAPA2_FLAGSHIP!P19)+SUP_CONTROL!$C$13*(CAPA3_EXPANSION!P22+CAPA3_EXPANSION!P29+CAPA3_EXPANSION!P30+CAPA3_EXPANSION!P59)+SUP_CONTROL!$C$14*CAPA4_RETAIL!P14</f>
        <v>0</v>
      </c>
      <c r="Q16" s="77">
        <f>SUP_CONTROL!$C$11*(CAPA1_PILOTO!Q25+CAPA1_PILOTO!Q26+CAPA1_PILOTO!Q27+CAPA1_PILOTO!Q37)+SUP_CONTROL!$C$12*(CAPA2_FLAGSHIP!Q20+CAPA2_FLAGSHIP!Q21+CAPA2_FLAGSHIP!Q19)+SUP_CONTROL!$C$13*(CAPA3_EXPANSION!Q22+CAPA3_EXPANSION!Q29+CAPA3_EXPANSION!Q30+CAPA3_EXPANSION!Q59)+SUP_CONTROL!$C$14*CAPA4_RETAIL!Q14</f>
        <v>96701.936999999976</v>
      </c>
      <c r="R16" s="77">
        <f>SUP_CONTROL!$C$11*(CAPA1_PILOTO!R25+CAPA1_PILOTO!R26+CAPA1_PILOTO!R27+CAPA1_PILOTO!R37)+SUP_CONTROL!$C$12*(CAPA2_FLAGSHIP!R20+CAPA2_FLAGSHIP!R21+CAPA2_FLAGSHIP!R19)+SUP_CONTROL!$C$13*(CAPA3_EXPANSION!R22+CAPA3_EXPANSION!R29+CAPA3_EXPANSION!R30+CAPA3_EXPANSION!R59)+SUP_CONTROL!$C$14*CAPA4_RETAIL!R14</f>
        <v>0</v>
      </c>
      <c r="S16" s="77">
        <f>SUP_CONTROL!$C$11*(CAPA1_PILOTO!S25+CAPA1_PILOTO!S26+CAPA1_PILOTO!S27+CAPA1_PILOTO!S37)+SUP_CONTROL!$C$12*(CAPA2_FLAGSHIP!S20+CAPA2_FLAGSHIP!S21+CAPA2_FLAGSHIP!S19)+SUP_CONTROL!$C$13*(CAPA3_EXPANSION!S22+CAPA3_EXPANSION!S29+CAPA3_EXPANSION!S30+CAPA3_EXPANSION!S59)+SUP_CONTROL!$C$14*CAPA4_RETAIL!S14</f>
        <v>96701.936999999976</v>
      </c>
      <c r="T16" s="77">
        <f>SUP_CONTROL!$C$11*(CAPA1_PILOTO!T25+CAPA1_PILOTO!T26+CAPA1_PILOTO!T27+CAPA1_PILOTO!T37)+SUP_CONTROL!$C$12*(CAPA2_FLAGSHIP!T20+CAPA2_FLAGSHIP!T21+CAPA2_FLAGSHIP!T19)+SUP_CONTROL!$C$13*(CAPA3_EXPANSION!T22+CAPA3_EXPANSION!T29+CAPA3_EXPANSION!T30+CAPA3_EXPANSION!T59)+SUP_CONTROL!$C$14*CAPA4_RETAIL!T14</f>
        <v>106701.93699999998</v>
      </c>
      <c r="U16" s="77">
        <f>SUP_CONTROL!$C$11*(CAPA1_PILOTO!U25+CAPA1_PILOTO!U26+CAPA1_PILOTO!U27+CAPA1_PILOTO!U37)+SUP_CONTROL!$C$12*(CAPA2_FLAGSHIP!U20+CAPA2_FLAGSHIP!U21+CAPA2_FLAGSHIP!U19)+SUP_CONTROL!$C$13*(CAPA3_EXPANSION!U22+CAPA3_EXPANSION!U29+CAPA3_EXPANSION!U30+CAPA3_EXPANSION!U59)+SUP_CONTROL!$C$14*CAPA4_RETAIL!U14</f>
        <v>-2000</v>
      </c>
      <c r="V16" s="77">
        <f>SUP_CONTROL!$C$11*(CAPA1_PILOTO!V25+CAPA1_PILOTO!V26+CAPA1_PILOTO!V27+CAPA1_PILOTO!V37)+SUP_CONTROL!$C$12*(CAPA2_FLAGSHIP!V20+CAPA2_FLAGSHIP!V21+CAPA2_FLAGSHIP!V19)+SUP_CONTROL!$C$13*(CAPA3_EXPANSION!V22+CAPA3_EXPANSION!V29+CAPA3_EXPANSION!V30+CAPA3_EXPANSION!V59)+SUP_CONTROL!$C$14*CAPA4_RETAIL!V14</f>
        <v>8000</v>
      </c>
      <c r="W16" s="77">
        <f>SUP_CONTROL!$C$11*(CAPA1_PILOTO!W25+CAPA1_PILOTO!W26+CAPA1_PILOTO!W27+CAPA1_PILOTO!W37)+SUP_CONTROL!$C$12*(CAPA2_FLAGSHIP!W20+CAPA2_FLAGSHIP!W21+CAPA2_FLAGSHIP!W19)+SUP_CONTROL!$C$13*(CAPA3_EXPANSION!W22+CAPA3_EXPANSION!W29+CAPA3_EXPANSION!W30+CAPA3_EXPANSION!W59)+SUP_CONTROL!$C$14*CAPA4_RETAIL!W14</f>
        <v>8000</v>
      </c>
      <c r="X16" s="77">
        <f>SUP_CONTROL!$C$11*(CAPA1_PILOTO!X25+CAPA1_PILOTO!X26+CAPA1_PILOTO!X27+CAPA1_PILOTO!X37)+SUP_CONTROL!$C$12*(CAPA2_FLAGSHIP!X20+CAPA2_FLAGSHIP!X21+CAPA2_FLAGSHIP!X19)+SUP_CONTROL!$C$13*(CAPA3_EXPANSION!X22+CAPA3_EXPANSION!X29+CAPA3_EXPANSION!X30+CAPA3_EXPANSION!X59)+SUP_CONTROL!$C$14*CAPA4_RETAIL!X14</f>
        <v>-4000</v>
      </c>
      <c r="Y16" s="77">
        <f>SUP_CONTROL!$C$11*(CAPA1_PILOTO!Y25+CAPA1_PILOTO!Y26+CAPA1_PILOTO!Y27+CAPA1_PILOTO!Y37)+SUP_CONTROL!$C$12*(CAPA2_FLAGSHIP!Y20+CAPA2_FLAGSHIP!Y21+CAPA2_FLAGSHIP!Y19)+SUP_CONTROL!$C$13*(CAPA3_EXPANSION!Y22+CAPA3_EXPANSION!Y29+CAPA3_EXPANSION!Y30+CAPA3_EXPANSION!Y59)+SUP_CONTROL!$C$14*CAPA4_RETAIL!Y14</f>
        <v>-2000</v>
      </c>
      <c r="Z16" s="77">
        <f>SUP_CONTROL!$C$11*(CAPA1_PILOTO!Z25+CAPA1_PILOTO!Z26+CAPA1_PILOTO!Z27+CAPA1_PILOTO!Z37)+SUP_CONTROL!$C$12*(CAPA2_FLAGSHIP!Z20+CAPA2_FLAGSHIP!Z21+CAPA2_FLAGSHIP!Z19)+SUP_CONTROL!$C$13*(CAPA3_EXPANSION!Z22+CAPA3_EXPANSION!Z29+CAPA3_EXPANSION!Z30+CAPA3_EXPANSION!Z59)+SUP_CONTROL!$C$14*CAPA4_RETAIL!Z14</f>
        <v>0</v>
      </c>
      <c r="AA16" s="77">
        <f>SUP_CONTROL!$C$11*(CAPA1_PILOTO!AA25+CAPA1_PILOTO!AA26+CAPA1_PILOTO!AA27+CAPA1_PILOTO!AA37)+SUP_CONTROL!$C$12*(CAPA2_FLAGSHIP!AA20+CAPA2_FLAGSHIP!AA21+CAPA2_FLAGSHIP!AA19)+SUP_CONTROL!$C$13*(CAPA3_EXPANSION!AA22+CAPA3_EXPANSION!AA29+CAPA3_EXPANSION!AA30+CAPA3_EXPANSION!AA59)+SUP_CONTROL!$C$14*CAPA4_RETAIL!AA14</f>
        <v>342751.408</v>
      </c>
      <c r="AB16" s="77">
        <f>SUP_CONTROL!$C$11*(CAPA1_PILOTO!AB25+CAPA1_PILOTO!AB26+CAPA1_PILOTO!AB27+CAPA1_PILOTO!AB37)+SUP_CONTROL!$C$12*(CAPA2_FLAGSHIP!AB20+CAPA2_FLAGSHIP!AB21+CAPA2_FLAGSHIP!AB19)+SUP_CONTROL!$C$13*(CAPA3_EXPANSION!AB22+CAPA3_EXPANSION!AB29+CAPA3_EXPANSION!AB30+CAPA3_EXPANSION!AB59)+SUP_CONTROL!$C$14*CAPA4_RETAIL!AB14</f>
        <v>0</v>
      </c>
      <c r="AC16" s="77">
        <f>SUP_CONTROL!$C$11*(CAPA1_PILOTO!AC25+CAPA1_PILOTO!AC26+CAPA1_PILOTO!AC27+CAPA1_PILOTO!AC37)+SUP_CONTROL!$C$12*(CAPA2_FLAGSHIP!AC20+CAPA2_FLAGSHIP!AC21+CAPA2_FLAGSHIP!AC19)+SUP_CONTROL!$C$13*(CAPA3_EXPANSION!AC22+CAPA3_EXPANSION!AC29+CAPA3_EXPANSION!AC30+CAPA3_EXPANSION!AC59)+SUP_CONTROL!$C$14*CAPA4_RETAIL!AC14</f>
        <v>144626.02225000001</v>
      </c>
      <c r="AD16" s="77">
        <f>SUP_CONTROL!$C$11*(CAPA1_PILOTO!AD25+CAPA1_PILOTO!AD26+CAPA1_PILOTO!AD27+CAPA1_PILOTO!AD37)+SUP_CONTROL!$C$12*(CAPA2_FLAGSHIP!AD20+CAPA2_FLAGSHIP!AD21+CAPA2_FLAGSHIP!AD19)+SUP_CONTROL!$C$13*(CAPA3_EXPANSION!AD22+CAPA3_EXPANSION!AD29+CAPA3_EXPANSION!AD30+CAPA3_EXPANSION!AD59)+SUP_CONTROL!$C$14*CAPA4_RETAIL!AD14</f>
        <v>96701.936999999976</v>
      </c>
      <c r="AE16" s="77">
        <f>SUP_CONTROL!$C$11*(CAPA1_PILOTO!AE25+CAPA1_PILOTO!AE26+CAPA1_PILOTO!AE27+CAPA1_PILOTO!AE37)+SUP_CONTROL!$C$12*(CAPA2_FLAGSHIP!AE20+CAPA2_FLAGSHIP!AE21+CAPA2_FLAGSHIP!AE19)+SUP_CONTROL!$C$13*(CAPA3_EXPANSION!AE22+CAPA3_EXPANSION!AE29+CAPA3_EXPANSION!AE30+CAPA3_EXPANSION!AE59)+SUP_CONTROL!$C$14*CAPA4_RETAIL!AE14</f>
        <v>0</v>
      </c>
      <c r="AF16" s="77">
        <f>SUP_CONTROL!$C$11*(CAPA1_PILOTO!AF25+CAPA1_PILOTO!AF26+CAPA1_PILOTO!AF27+CAPA1_PILOTO!AF37)+SUP_CONTROL!$C$12*(CAPA2_FLAGSHIP!AF20+CAPA2_FLAGSHIP!AF21+CAPA2_FLAGSHIP!AF19)+SUP_CONTROL!$C$13*(CAPA3_EXPANSION!AF22+CAPA3_EXPANSION!AF29+CAPA3_EXPANSION!AF30+CAPA3_EXPANSION!AF59)+SUP_CONTROL!$C$14*CAPA4_RETAIL!AF14</f>
        <v>112701.93699999998</v>
      </c>
      <c r="AG16" s="77">
        <f>SUP_CONTROL!$C$11*(CAPA1_PILOTO!AG25+CAPA1_PILOTO!AG26+CAPA1_PILOTO!AG27+CAPA1_PILOTO!AG37)+SUP_CONTROL!$C$12*(CAPA2_FLAGSHIP!AG20+CAPA2_FLAGSHIP!AG21+CAPA2_FLAGSHIP!AG19)+SUP_CONTROL!$C$13*(CAPA3_EXPANSION!AG22+CAPA3_EXPANSION!AG29+CAPA3_EXPANSION!AG30+CAPA3_EXPANSION!AG59)+SUP_CONTROL!$C$14*CAPA4_RETAIL!AG14</f>
        <v>103501.93699999998</v>
      </c>
      <c r="AH16" s="77">
        <f>SUP_CONTROL!$C$11*(CAPA1_PILOTO!AH25+CAPA1_PILOTO!AH26+CAPA1_PILOTO!AH27+CAPA1_PILOTO!AH37)+SUP_CONTROL!$C$12*(CAPA2_FLAGSHIP!AH20+CAPA2_FLAGSHIP!AH21+CAPA2_FLAGSHIP!AH19)+SUP_CONTROL!$C$13*(CAPA3_EXPANSION!AH22+CAPA3_EXPANSION!AH29+CAPA3_EXPANSION!AH30+CAPA3_EXPANSION!AH59)+SUP_CONTROL!$C$14*CAPA4_RETAIL!AH14</f>
        <v>-5200</v>
      </c>
      <c r="AI16" s="77">
        <f>SUP_CONTROL!$C$11*(CAPA1_PILOTO!AI25+CAPA1_PILOTO!AI26+CAPA1_PILOTO!AI27+CAPA1_PILOTO!AI37)+SUP_CONTROL!$C$12*(CAPA2_FLAGSHIP!AI20+CAPA2_FLAGSHIP!AI21+CAPA2_FLAGSHIP!AI19)+SUP_CONTROL!$C$13*(CAPA3_EXPANSION!AI22+CAPA3_EXPANSION!AI29+CAPA3_EXPANSION!AI30+CAPA3_EXPANSION!AI59)+SUP_CONTROL!$C$14*CAPA4_RETAIL!AI14</f>
        <v>8000</v>
      </c>
      <c r="AJ16" s="77">
        <f>SUP_CONTROL!$C$11*(CAPA1_PILOTO!AJ25+CAPA1_PILOTO!AJ26+CAPA1_PILOTO!AJ27+CAPA1_PILOTO!AJ37)+SUP_CONTROL!$C$12*(CAPA2_FLAGSHIP!AJ20+CAPA2_FLAGSHIP!AJ21+CAPA2_FLAGSHIP!AJ19)+SUP_CONTROL!$C$13*(CAPA3_EXPANSION!AJ22+CAPA3_EXPANSION!AJ29+CAPA3_EXPANSION!AJ30+CAPA3_EXPANSION!AJ59)+SUP_CONTROL!$C$14*CAPA4_RETAIL!AJ14</f>
        <v>152626.02225000001</v>
      </c>
      <c r="AK16" s="77">
        <f>SUP_CONTROL!$C$11*(CAPA1_PILOTO!AK25+CAPA1_PILOTO!AK26+CAPA1_PILOTO!AK27+CAPA1_PILOTO!AK37)+SUP_CONTROL!$C$12*(CAPA2_FLAGSHIP!AK20+CAPA2_FLAGSHIP!AK21+CAPA2_FLAGSHIP!AK19)+SUP_CONTROL!$C$13*(CAPA3_EXPANSION!AK22+CAPA3_EXPANSION!AK29+CAPA3_EXPANSION!AK30+CAPA3_EXPANSION!AK59)+SUP_CONTROL!$C$14*CAPA4_RETAIL!AK14</f>
        <v>92701.936999999976</v>
      </c>
      <c r="AL16" s="77">
        <f>SUP_CONTROL!$C$11*(CAPA1_PILOTO!AL25+CAPA1_PILOTO!AL26+CAPA1_PILOTO!AL27+CAPA1_PILOTO!AL37)+SUP_CONTROL!$C$12*(CAPA2_FLAGSHIP!AL20+CAPA2_FLAGSHIP!AL21+CAPA2_FLAGSHIP!AL19)+SUP_CONTROL!$C$13*(CAPA3_EXPANSION!AL22+CAPA3_EXPANSION!AL29+CAPA3_EXPANSION!AL30+CAPA3_EXPANSION!AL59)+SUP_CONTROL!$C$14*CAPA4_RETAIL!AL14</f>
        <v>94701.936999999976</v>
      </c>
      <c r="AM16" s="77">
        <f>SUP_CONTROL!$C$11*(CAPA1_PILOTO!AM25+CAPA1_PILOTO!AM26+CAPA1_PILOTO!AM27+CAPA1_PILOTO!AM37)+SUP_CONTROL!$C$12*(CAPA2_FLAGSHIP!AM20+CAPA2_FLAGSHIP!AM21+CAPA2_FLAGSHIP!AM19)+SUP_CONTROL!$C$13*(CAPA3_EXPANSION!AM22+CAPA3_EXPANSION!AM29+CAPA3_EXPANSION!AM30+CAPA3_EXPANSION!AM59)+SUP_CONTROL!$C$14*CAPA4_RETAIL!AM14</f>
        <v>112701.93699999998</v>
      </c>
      <c r="AN16" s="77">
        <f>SUP_CONTROL!$C$11*(CAPA1_PILOTO!AN25+CAPA1_PILOTO!AN26+CAPA1_PILOTO!AN27+CAPA1_PILOTO!AN37)+SUP_CONTROL!$C$12*(CAPA2_FLAGSHIP!AN20+CAPA2_FLAGSHIP!AN21+CAPA2_FLAGSHIP!AN19)+SUP_CONTROL!$C$13*(CAPA3_EXPANSION!AN22+CAPA3_EXPANSION!AN29+CAPA3_EXPANSION!AN30+CAPA3_EXPANSION!AN59)+SUP_CONTROL!$C$14*CAPA4_RETAIL!AN14</f>
        <v>6800</v>
      </c>
      <c r="AO16" s="77">
        <f>SUP_CONTROL!$C$11*(CAPA1_PILOTO!AO25+CAPA1_PILOTO!AO26+CAPA1_PILOTO!AO27+CAPA1_PILOTO!AO37)+SUP_CONTROL!$C$12*(CAPA2_FLAGSHIP!AO20+CAPA2_FLAGSHIP!AO21+CAPA2_FLAGSHIP!AO19)+SUP_CONTROL!$C$13*(CAPA3_EXPANSION!AO22+CAPA3_EXPANSION!AO29+CAPA3_EXPANSION!AO30+CAPA3_EXPANSION!AO59)+SUP_CONTROL!$C$14*CAPA4_RETAIL!AO14</f>
        <v>149426.02225000001</v>
      </c>
      <c r="AP16" s="77">
        <f>SUP_CONTROL!$C$11*(CAPA1_PILOTO!AP25+CAPA1_PILOTO!AP26+CAPA1_PILOTO!AP27+CAPA1_PILOTO!AP37)+SUP_CONTROL!$C$12*(CAPA2_FLAGSHIP!AP20+CAPA2_FLAGSHIP!AP21+CAPA2_FLAGSHIP!AP19)+SUP_CONTROL!$C$13*(CAPA3_EXPANSION!AP22+CAPA3_EXPANSION!AP29+CAPA3_EXPANSION!AP30+CAPA3_EXPANSION!AP59)+SUP_CONTROL!$C$14*CAPA4_RETAIL!AP14</f>
        <v>6000</v>
      </c>
      <c r="AQ16" s="77">
        <f>SUP_CONTROL!$C$11*(CAPA1_PILOTO!AQ25+CAPA1_PILOTO!AQ26+CAPA1_PILOTO!AQ27+CAPA1_PILOTO!AQ37)+SUP_CONTROL!$C$12*(CAPA2_FLAGSHIP!AQ20+CAPA2_FLAGSHIP!AQ21+CAPA2_FLAGSHIP!AQ19)+SUP_CONTROL!$C$13*(CAPA3_EXPANSION!AQ22+CAPA3_EXPANSION!AQ29+CAPA3_EXPANSION!AQ30+CAPA3_EXPANSION!AQ59)+SUP_CONTROL!$C$14*CAPA4_RETAIL!AQ14</f>
        <v>92701.936999999976</v>
      </c>
      <c r="AR16" s="77">
        <f>SUP_CONTROL!$C$11*(CAPA1_PILOTO!AR25+CAPA1_PILOTO!AR26+CAPA1_PILOTO!AR27+CAPA1_PILOTO!AR37)+SUP_CONTROL!$C$12*(CAPA2_FLAGSHIP!AR20+CAPA2_FLAGSHIP!AR21+CAPA2_FLAGSHIP!AR19)+SUP_CONTROL!$C$13*(CAPA3_EXPANSION!AR22+CAPA3_EXPANSION!AR29+CAPA3_EXPANSION!AR30+CAPA3_EXPANSION!AR59)+SUP_CONTROL!$C$14*CAPA4_RETAIL!AR14</f>
        <v>110701.93699999998</v>
      </c>
      <c r="AS16" s="77">
        <f>SUP_CONTROL!$C$11*(CAPA1_PILOTO!AS25+CAPA1_PILOTO!AS26+CAPA1_PILOTO!AS27+CAPA1_PILOTO!AS37)+SUP_CONTROL!$C$12*(CAPA2_FLAGSHIP!AS20+CAPA2_FLAGSHIP!AS21+CAPA2_FLAGSHIP!AS19)+SUP_CONTROL!$C$13*(CAPA3_EXPANSION!AS22+CAPA3_EXPANSION!AS29+CAPA3_EXPANSION!AS30+CAPA3_EXPANSION!AS59)+SUP_CONTROL!$C$14*CAPA4_RETAIL!AS14</f>
        <v>-3200</v>
      </c>
      <c r="AT16" s="77">
        <f>SUP_CONTROL!$C$11*(CAPA1_PILOTO!AT25+CAPA1_PILOTO!AT26+CAPA1_PILOTO!AT27+CAPA1_PILOTO!AT37)+SUP_CONTROL!$C$12*(CAPA2_FLAGSHIP!AT20+CAPA2_FLAGSHIP!AT21+CAPA2_FLAGSHIP!AT19)+SUP_CONTROL!$C$13*(CAPA3_EXPANSION!AT22+CAPA3_EXPANSION!AT29+CAPA3_EXPANSION!AT30+CAPA3_EXPANSION!AT59)+SUP_CONTROL!$C$14*CAPA4_RETAIL!AT14</f>
        <v>6800</v>
      </c>
      <c r="AU16" s="77">
        <f>SUP_CONTROL!$C$11*(CAPA1_PILOTO!AU25+CAPA1_PILOTO!AU26+CAPA1_PILOTO!AU27+CAPA1_PILOTO!AU37)+SUP_CONTROL!$C$12*(CAPA2_FLAGSHIP!AU20+CAPA2_FLAGSHIP!AU21+CAPA2_FLAGSHIP!AU19)+SUP_CONTROL!$C$13*(CAPA3_EXPANSION!AU22+CAPA3_EXPANSION!AU29+CAPA3_EXPANSION!AU30+CAPA3_EXPANSION!AU59)+SUP_CONTROL!$C$14*CAPA4_RETAIL!AU14</f>
        <v>8000</v>
      </c>
      <c r="AV16" s="77">
        <f>SUP_CONTROL!$C$11*(CAPA1_PILOTO!AV25+CAPA1_PILOTO!AV26+CAPA1_PILOTO!AV27+CAPA1_PILOTO!AV37)+SUP_CONTROL!$C$12*(CAPA2_FLAGSHIP!AV20+CAPA2_FLAGSHIP!AV21+CAPA2_FLAGSHIP!AV19)+SUP_CONTROL!$C$13*(CAPA3_EXPANSION!AV22+CAPA3_EXPANSION!AV29+CAPA3_EXPANSION!AV30+CAPA3_EXPANSION!AV59)+SUP_CONTROL!$C$14*CAPA4_RETAIL!AV14</f>
        <v>-4000</v>
      </c>
      <c r="AW16" s="77">
        <f>SUP_CONTROL!$C$11*(CAPA1_PILOTO!AW25+CAPA1_PILOTO!AW26+CAPA1_PILOTO!AW27+CAPA1_PILOTO!AW37)+SUP_CONTROL!$C$12*(CAPA2_FLAGSHIP!AW20+CAPA2_FLAGSHIP!AW21+CAPA2_FLAGSHIP!AW19)+SUP_CONTROL!$C$13*(CAPA3_EXPANSION!AW22+CAPA3_EXPANSION!AW29+CAPA3_EXPANSION!AW30+CAPA3_EXPANSION!AW59)+SUP_CONTROL!$C$14*CAPA4_RETAIL!AW14</f>
        <v>622713.89599999995</v>
      </c>
      <c r="AX16" s="77">
        <f>SUP_CONTROL!$C$11*(CAPA1_PILOTO!AX25+CAPA1_PILOTO!AX26+CAPA1_PILOTO!AX27+CAPA1_PILOTO!AX37)+SUP_CONTROL!$C$12*(CAPA2_FLAGSHIP!AX20+CAPA2_FLAGSHIP!AX21+CAPA2_FLAGSHIP!AX19)+SUP_CONTROL!$C$13*(CAPA3_EXPANSION!AX22+CAPA3_EXPANSION!AX29+CAPA3_EXPANSION!AX30+CAPA3_EXPANSION!AX59)+SUP_CONTROL!$C$14*CAPA4_RETAIL!AX14</f>
        <v>0</v>
      </c>
      <c r="AY16" s="77">
        <f>SUP_CONTROL!$C$11*(CAPA1_PILOTO!AY25+CAPA1_PILOTO!AY26+CAPA1_PILOTO!AY27+CAPA1_PILOTO!AY37)+SUP_CONTROL!$C$12*(CAPA2_FLAGSHIP!AY20+CAPA2_FLAGSHIP!AY21+CAPA2_FLAGSHIP!AY19)+SUP_CONTROL!$C$13*(CAPA3_EXPANSION!AY22+CAPA3_EXPANSION!AY29+CAPA3_EXPANSION!AY30+CAPA3_EXPANSION!AY59)+SUP_CONTROL!$C$14*CAPA4_RETAIL!AY14</f>
        <v>0</v>
      </c>
      <c r="AZ16" s="77">
        <f>SUP_CONTROL!$C$11*(CAPA1_PILOTO!AZ25+CAPA1_PILOTO!AZ26+CAPA1_PILOTO!AZ27+CAPA1_PILOTO!AZ37)+SUP_CONTROL!$C$12*(CAPA2_FLAGSHIP!AZ20+CAPA2_FLAGSHIP!AZ21+CAPA2_FLAGSHIP!AZ19)+SUP_CONTROL!$C$13*(CAPA3_EXPANSION!AZ22+CAPA3_EXPANSION!AZ29+CAPA3_EXPANSION!AZ30+CAPA3_EXPANSION!AZ59)+SUP_CONTROL!$C$14*CAPA4_RETAIL!AZ14</f>
        <v>0</v>
      </c>
      <c r="BA16" s="77">
        <f>SUP_CONTROL!$C$11*(CAPA1_PILOTO!BA25+CAPA1_PILOTO!BA26+CAPA1_PILOTO!BA27+CAPA1_PILOTO!BA37)+SUP_CONTROL!$C$12*(CAPA2_FLAGSHIP!BA20+CAPA2_FLAGSHIP!BA21+CAPA2_FLAGSHIP!BA19)+SUP_CONTROL!$C$13*(CAPA3_EXPANSION!BA22+CAPA3_EXPANSION!BA29+CAPA3_EXPANSION!BA30+CAPA3_EXPANSION!BA59)+SUP_CONTROL!$C$14*CAPA4_RETAIL!BA14</f>
        <v>504273.42074999999</v>
      </c>
      <c r="BB16" s="77">
        <f>SUP_CONTROL!$C$11*(CAPA1_PILOTO!BB25+CAPA1_PILOTO!BB26+CAPA1_PILOTO!BB27+CAPA1_PILOTO!BB37)+SUP_CONTROL!$C$12*(CAPA2_FLAGSHIP!BB20+CAPA2_FLAGSHIP!BB21+CAPA2_FLAGSHIP!BB19)+SUP_CONTROL!$C$13*(CAPA3_EXPANSION!BB22+CAPA3_EXPANSION!BB29+CAPA3_EXPANSION!BB30+CAPA3_EXPANSION!BB59)+SUP_CONTROL!$C$14*CAPA4_RETAIL!BB14</f>
        <v>96701.936999999976</v>
      </c>
      <c r="BC16" s="77">
        <f>SUP_CONTROL!$C$11*(CAPA1_PILOTO!BC25+CAPA1_PILOTO!BC26+CAPA1_PILOTO!BC27+CAPA1_PILOTO!BC37)+SUP_CONTROL!$C$12*(CAPA2_FLAGSHIP!BC20+CAPA2_FLAGSHIP!BC21+CAPA2_FLAGSHIP!BC19)+SUP_CONTROL!$C$13*(CAPA3_EXPANSION!BC22+CAPA3_EXPANSION!BC29+CAPA3_EXPANSION!BC30+CAPA3_EXPANSION!BC59)+SUP_CONTROL!$C$14*CAPA4_RETAIL!BC14</f>
        <v>144626.02225000001</v>
      </c>
      <c r="BD16" s="77">
        <f>SUP_CONTROL!$C$11*(CAPA1_PILOTO!BD25+CAPA1_PILOTO!BD26+CAPA1_PILOTO!BD27+CAPA1_PILOTO!BD37)+SUP_CONTROL!$C$12*(CAPA2_FLAGSHIP!BD20+CAPA2_FLAGSHIP!BD21+CAPA2_FLAGSHIP!BD19)+SUP_CONTROL!$C$13*(CAPA3_EXPANSION!BD22+CAPA3_EXPANSION!BD29+CAPA3_EXPANSION!BD30+CAPA3_EXPANSION!BD59)+SUP_CONTROL!$C$14*CAPA4_RETAIL!BD14</f>
        <v>146701.93699999998</v>
      </c>
      <c r="BE16" s="77">
        <f>SUP_CONTROL!$C$11*(CAPA1_PILOTO!BE25+CAPA1_PILOTO!BE26+CAPA1_PILOTO!BE27+CAPA1_PILOTO!BE37)+SUP_CONTROL!$C$12*(CAPA2_FLAGSHIP!BE20+CAPA2_FLAGSHIP!BE21+CAPA2_FLAGSHIP!BE19)+SUP_CONTROL!$C$13*(CAPA3_EXPANSION!BE22+CAPA3_EXPANSION!BE29+CAPA3_EXPANSION!BE30+CAPA3_EXPANSION!BE59)+SUP_CONTROL!$C$14*CAPA4_RETAIL!BE14</f>
        <v>96701.936999999976</v>
      </c>
      <c r="BF16" s="77">
        <f>SUP_CONTROL!$C$11*(CAPA1_PILOTO!BF25+CAPA1_PILOTO!BF26+CAPA1_PILOTO!BF27+CAPA1_PILOTO!BF37)+SUP_CONTROL!$C$12*(CAPA2_FLAGSHIP!BF20+CAPA2_FLAGSHIP!BF21+CAPA2_FLAGSHIP!BF19)+SUP_CONTROL!$C$13*(CAPA3_EXPANSION!BF22+CAPA3_EXPANSION!BF29+CAPA3_EXPANSION!BF30+CAPA3_EXPANSION!BF59)+SUP_CONTROL!$C$14*CAPA4_RETAIL!BF14</f>
        <v>100701.93699999998</v>
      </c>
      <c r="BG16" s="77">
        <f>SUP_CONTROL!$C$11*(CAPA1_PILOTO!BG25+CAPA1_PILOTO!BG26+CAPA1_PILOTO!BG27+CAPA1_PILOTO!BG37)+SUP_CONTROL!$C$12*(CAPA2_FLAGSHIP!BG20+CAPA2_FLAGSHIP!BG21+CAPA2_FLAGSHIP!BG19)+SUP_CONTROL!$C$13*(CAPA3_EXPANSION!BG22+CAPA3_EXPANSION!BG29+CAPA3_EXPANSION!BG30+CAPA3_EXPANSION!BG59)+SUP_CONTROL!$C$14*CAPA4_RETAIL!BG14</f>
        <v>149426.02225000001</v>
      </c>
      <c r="BH16" s="77">
        <f>SUP_CONTROL!$C$11*(CAPA1_PILOTO!BH25+CAPA1_PILOTO!BH26+CAPA1_PILOTO!BH27+CAPA1_PILOTO!BH37)+SUP_CONTROL!$C$12*(CAPA2_FLAGSHIP!BH20+CAPA2_FLAGSHIP!BH21+CAPA2_FLAGSHIP!BH19)+SUP_CONTROL!$C$13*(CAPA3_EXPANSION!BH22+CAPA3_EXPANSION!BH29+CAPA3_EXPANSION!BH30+CAPA3_EXPANSION!BH59)+SUP_CONTROL!$C$14*CAPA4_RETAIL!BH14</f>
        <v>101501.93699999998</v>
      </c>
      <c r="BI16" s="77">
        <f>SUP_CONTROL!$C$11*(CAPA1_PILOTO!BI25+CAPA1_PILOTO!BI26+CAPA1_PILOTO!BI27+CAPA1_PILOTO!BI37)+SUP_CONTROL!$C$12*(CAPA2_FLAGSHIP!BI20+CAPA2_FLAGSHIP!BI21+CAPA2_FLAGSHIP!BI19)+SUP_CONTROL!$C$13*(CAPA3_EXPANSION!BI22+CAPA3_EXPANSION!BI29+CAPA3_EXPANSION!BI30+CAPA3_EXPANSION!BI59)+SUP_CONTROL!$C$14*CAPA4_RETAIL!BI14</f>
        <v>102701.93699999998</v>
      </c>
      <c r="BJ16" s="77">
        <f>SUP_CONTROL!$C$11*(CAPA1_PILOTO!BJ25+CAPA1_PILOTO!BJ26+CAPA1_PILOTO!BJ27+CAPA1_PILOTO!BJ37)+SUP_CONTROL!$C$12*(CAPA2_FLAGSHIP!BJ20+CAPA2_FLAGSHIP!BJ21+CAPA2_FLAGSHIP!BJ19)+SUP_CONTROL!$C$13*(CAPA3_EXPANSION!BJ22+CAPA3_EXPANSION!BJ29+CAPA3_EXPANSION!BJ30+CAPA3_EXPANSION!BJ59)+SUP_CONTROL!$C$14*CAPA4_RETAIL!BJ14</f>
        <v>108701.93699999998</v>
      </c>
      <c r="BK16" s="77">
        <f>SUP_CONTROL!$C$11*(CAPA1_PILOTO!BK25+CAPA1_PILOTO!BK26+CAPA1_PILOTO!BK27+CAPA1_PILOTO!BK37)+SUP_CONTROL!$C$12*(CAPA2_FLAGSHIP!BK20+CAPA2_FLAGSHIP!BK21+CAPA2_FLAGSHIP!BK19)+SUP_CONTROL!$C$13*(CAPA3_EXPANSION!BK22+CAPA3_EXPANSION!BK29+CAPA3_EXPANSION!BK30+CAPA3_EXPANSION!BK59)+SUP_CONTROL!$C$14*CAPA4_RETAIL!BK14</f>
        <v>149426.02225000001</v>
      </c>
      <c r="BL16" s="77">
        <f>SUP_CONTROL!$C$11*(CAPA1_PILOTO!BL25+CAPA1_PILOTO!BL26+CAPA1_PILOTO!BL27+CAPA1_PILOTO!BL37)+SUP_CONTROL!$C$12*(CAPA2_FLAGSHIP!BL20+CAPA2_FLAGSHIP!BL21+CAPA2_FLAGSHIP!BL19)+SUP_CONTROL!$C$13*(CAPA3_EXPANSION!BL22+CAPA3_EXPANSION!BL29+CAPA3_EXPANSION!BL30+CAPA3_EXPANSION!BL59)+SUP_CONTROL!$C$14*CAPA4_RETAIL!BL14</f>
        <v>101501.93699999998</v>
      </c>
      <c r="BM16" s="77">
        <f>SUP_CONTROL!$C$11*(CAPA1_PILOTO!BM25+CAPA1_PILOTO!BM26+CAPA1_PILOTO!BM27+CAPA1_PILOTO!BM37)+SUP_CONTROL!$C$12*(CAPA2_FLAGSHIP!BM20+CAPA2_FLAGSHIP!BM21+CAPA2_FLAGSHIP!BM19)+SUP_CONTROL!$C$13*(CAPA3_EXPANSION!BM22+CAPA3_EXPANSION!BM29+CAPA3_EXPANSION!BM30+CAPA3_EXPANSION!BM59)+SUP_CONTROL!$C$14*CAPA4_RETAIL!BM14</f>
        <v>102701.93699999998</v>
      </c>
      <c r="BN16" s="77">
        <f>SUP_CONTROL!$C$11*(CAPA1_PILOTO!BN25+CAPA1_PILOTO!BN26+CAPA1_PILOTO!BN27+CAPA1_PILOTO!BN37)+SUP_CONTROL!$C$12*(CAPA2_FLAGSHIP!BN20+CAPA2_FLAGSHIP!BN21+CAPA2_FLAGSHIP!BN19)+SUP_CONTROL!$C$13*(CAPA3_EXPANSION!BN22+CAPA3_EXPANSION!BN29+CAPA3_EXPANSION!BN30+CAPA3_EXPANSION!BN59)+SUP_CONTROL!$C$14*CAPA4_RETAIL!BN14</f>
        <v>108701.93699999998</v>
      </c>
      <c r="BO16" s="77">
        <f>SUP_CONTROL!$C$11*(CAPA1_PILOTO!BO25+CAPA1_PILOTO!BO26+CAPA1_PILOTO!BO27+CAPA1_PILOTO!BO37)+SUP_CONTROL!$C$12*(CAPA2_FLAGSHIP!BO20+CAPA2_FLAGSHIP!BO21+CAPA2_FLAGSHIP!BO19)+SUP_CONTROL!$C$13*(CAPA3_EXPANSION!BO22+CAPA3_EXPANSION!BO29+CAPA3_EXPANSION!BO30+CAPA3_EXPANSION!BO59)+SUP_CONTROL!$C$14*CAPA4_RETAIL!BO14</f>
        <v>149426.02225000001</v>
      </c>
      <c r="BP16" s="77">
        <f>SUP_CONTROL!$C$11*(CAPA1_PILOTO!BP25+CAPA1_PILOTO!BP26+CAPA1_PILOTO!BP27+CAPA1_PILOTO!BP37)+SUP_CONTROL!$C$12*(CAPA2_FLAGSHIP!BP20+CAPA2_FLAGSHIP!BP21+CAPA2_FLAGSHIP!BP19)+SUP_CONTROL!$C$13*(CAPA3_EXPANSION!BP22+CAPA3_EXPANSION!BP29+CAPA3_EXPANSION!BP30+CAPA3_EXPANSION!BP59)+SUP_CONTROL!$C$14*CAPA4_RETAIL!BP14</f>
        <v>509073.42074999999</v>
      </c>
      <c r="BQ16" s="77">
        <f>SUP_CONTROL!$C$11*(CAPA1_PILOTO!BQ25+CAPA1_PILOTO!BQ26+CAPA1_PILOTO!BQ27+CAPA1_PILOTO!BQ37)+SUP_CONTROL!$C$12*(CAPA2_FLAGSHIP!BQ20+CAPA2_FLAGSHIP!BQ21+CAPA2_FLAGSHIP!BQ19)+SUP_CONTROL!$C$13*(CAPA3_EXPANSION!BQ22+CAPA3_EXPANSION!BQ29+CAPA3_EXPANSION!BQ30+CAPA3_EXPANSION!BQ59)+SUP_CONTROL!$C$14*CAPA4_RETAIL!BQ14</f>
        <v>102701.93699999998</v>
      </c>
      <c r="BR16" s="77">
        <f>SUP_CONTROL!$C$11*(CAPA1_PILOTO!BR25+CAPA1_PILOTO!BR26+CAPA1_PILOTO!BR27+CAPA1_PILOTO!BR37)+SUP_CONTROL!$C$12*(CAPA2_FLAGSHIP!BR20+CAPA2_FLAGSHIP!BR21+CAPA2_FLAGSHIP!BR19)+SUP_CONTROL!$C$13*(CAPA3_EXPANSION!BR22+CAPA3_EXPANSION!BR29+CAPA3_EXPANSION!BR30+CAPA3_EXPANSION!BR59)+SUP_CONTROL!$C$14*CAPA4_RETAIL!BR14</f>
        <v>108701.93699999998</v>
      </c>
      <c r="BS16" s="77">
        <f>SUP_CONTROL!$C$11*(CAPA1_PILOTO!BS25+CAPA1_PILOTO!BS26+CAPA1_PILOTO!BS27+CAPA1_PILOTO!BS37)+SUP_CONTROL!$C$12*(CAPA2_FLAGSHIP!BS20+CAPA2_FLAGSHIP!BS21+CAPA2_FLAGSHIP!BS19)+SUP_CONTROL!$C$13*(CAPA3_EXPANSION!BS22+CAPA3_EXPANSION!BS29+CAPA3_EXPANSION!BS30+CAPA3_EXPANSION!BS59)+SUP_CONTROL!$C$14*CAPA4_RETAIL!BS14</f>
        <v>141501.93699999998</v>
      </c>
      <c r="BT16" s="77">
        <f>SUP_CONTROL!$C$11*(CAPA1_PILOTO!BT25+CAPA1_PILOTO!BT26+CAPA1_PILOTO!BT27+CAPA1_PILOTO!BT37)+SUP_CONTROL!$C$12*(CAPA2_FLAGSHIP!BT20+CAPA2_FLAGSHIP!BT21+CAPA2_FLAGSHIP!BT19)+SUP_CONTROL!$C$13*(CAPA3_EXPANSION!BT22+CAPA3_EXPANSION!BT29+CAPA3_EXPANSION!BT30+CAPA3_EXPANSION!BT59)+SUP_CONTROL!$C$14*CAPA4_RETAIL!BT14</f>
        <v>141426.02225000001</v>
      </c>
      <c r="BU16" s="77">
        <f>SUP_CONTROL!$C$11*(CAPA1_PILOTO!BU25+CAPA1_PILOTO!BU26+CAPA1_PILOTO!BU27+CAPA1_PILOTO!BU37)+SUP_CONTROL!$C$12*(CAPA2_FLAGSHIP!BU20+CAPA2_FLAGSHIP!BU21+CAPA2_FLAGSHIP!BU19)+SUP_CONTROL!$C$13*(CAPA3_EXPANSION!BU22+CAPA3_EXPANSION!BU29+CAPA3_EXPANSION!BU30+CAPA3_EXPANSION!BU59)+SUP_CONTROL!$C$14*CAPA4_RETAIL!BU14</f>
        <v>94701.936999999976</v>
      </c>
      <c r="BV16" s="77">
        <f>SUP_CONTROL!$C$11*(CAPA1_PILOTO!BV25+CAPA1_PILOTO!BV26+CAPA1_PILOTO!BV27+CAPA1_PILOTO!BV37)+SUP_CONTROL!$C$12*(CAPA2_FLAGSHIP!BV20+CAPA2_FLAGSHIP!BV21+CAPA2_FLAGSHIP!BV19)+SUP_CONTROL!$C$13*(CAPA3_EXPANSION!BV22+CAPA3_EXPANSION!BV29+CAPA3_EXPANSION!BV30+CAPA3_EXPANSION!BV59)+SUP_CONTROL!$C$14*CAPA4_RETAIL!BV14</f>
        <v>102701.93699999998</v>
      </c>
      <c r="BW16" s="77">
        <f>SUP_CONTROL!$C$11*(CAPA1_PILOTO!BW25+CAPA1_PILOTO!BW26+CAPA1_PILOTO!BW27+CAPA1_PILOTO!BW37)+SUP_CONTROL!$C$12*(CAPA2_FLAGSHIP!BW20+CAPA2_FLAGSHIP!BW21+CAPA2_FLAGSHIP!BW19)+SUP_CONTROL!$C$13*(CAPA3_EXPANSION!BW22+CAPA3_EXPANSION!BW29+CAPA3_EXPANSION!BW30+CAPA3_EXPANSION!BW59)+SUP_CONTROL!$C$14*CAPA4_RETAIL!BW14</f>
        <v>108701.93699999998</v>
      </c>
      <c r="BX16" s="77">
        <f>SUP_CONTROL!$C$11*(CAPA1_PILOTO!BX25+CAPA1_PILOTO!BX26+CAPA1_PILOTO!BX27+CAPA1_PILOTO!BX37)+SUP_CONTROL!$C$12*(CAPA2_FLAGSHIP!BX20+CAPA2_FLAGSHIP!BX21+CAPA2_FLAGSHIP!BX19)+SUP_CONTROL!$C$13*(CAPA3_EXPANSION!BX22+CAPA3_EXPANSION!BX29+CAPA3_EXPANSION!BX30+CAPA3_EXPANSION!BX59)+SUP_CONTROL!$C$14*CAPA4_RETAIL!BX14</f>
        <v>149426.02225000001</v>
      </c>
      <c r="BY16" s="77">
        <f>SUP_CONTROL!$C$11*(CAPA1_PILOTO!BY25+CAPA1_PILOTO!BY26+CAPA1_PILOTO!BY27+CAPA1_PILOTO!BY37)+SUP_CONTROL!$C$12*(CAPA2_FLAGSHIP!BY20+CAPA2_FLAGSHIP!BY21+CAPA2_FLAGSHIP!BY19)+SUP_CONTROL!$C$13*(CAPA3_EXPANSION!BY22+CAPA3_EXPANSION!BY29+CAPA3_EXPANSION!BY30+CAPA3_EXPANSION!BY59)+SUP_CONTROL!$C$14*CAPA4_RETAIL!BY14</f>
        <v>101501.93699999998</v>
      </c>
      <c r="BZ16" s="77">
        <f>SUP_CONTROL!$C$11*(CAPA1_PILOTO!BZ25+CAPA1_PILOTO!BZ26+CAPA1_PILOTO!BZ27+CAPA1_PILOTO!BZ37)+SUP_CONTROL!$C$12*(CAPA2_FLAGSHIP!BZ20+CAPA2_FLAGSHIP!BZ21+CAPA2_FLAGSHIP!BZ19)+SUP_CONTROL!$C$13*(CAPA3_EXPANSION!BZ22+CAPA3_EXPANSION!BZ29+CAPA3_EXPANSION!BZ30+CAPA3_EXPANSION!BZ59)+SUP_CONTROL!$C$14*CAPA4_RETAIL!BZ14</f>
        <v>102701.93699999998</v>
      </c>
      <c r="CA16" s="77">
        <f>SUP_CONTROL!$C$11*(CAPA1_PILOTO!CA25+CAPA1_PILOTO!CA26+CAPA1_PILOTO!CA27+CAPA1_PILOTO!CA37)+SUP_CONTROL!$C$12*(CAPA2_FLAGSHIP!CA20+CAPA2_FLAGSHIP!CA21+CAPA2_FLAGSHIP!CA19)+SUP_CONTROL!$C$13*(CAPA3_EXPANSION!CA22+CAPA3_EXPANSION!CA29+CAPA3_EXPANSION!CA30+CAPA3_EXPANSION!CA59)+SUP_CONTROL!$C$14*CAPA4_RETAIL!CA14</f>
        <v>12000</v>
      </c>
      <c r="CB16" s="77">
        <f>SUP_CONTROL!$C$11*(CAPA1_PILOTO!CB25+CAPA1_PILOTO!CB26+CAPA1_PILOTO!CB27+CAPA1_PILOTO!CB37)+SUP_CONTROL!$C$12*(CAPA2_FLAGSHIP!CB20+CAPA2_FLAGSHIP!CB21+CAPA2_FLAGSHIP!CB19)+SUP_CONTROL!$C$13*(CAPA3_EXPANSION!CB22+CAPA3_EXPANSION!CB29+CAPA3_EXPANSION!CB30+CAPA3_EXPANSION!CB59)+SUP_CONTROL!$C$14*CAPA4_RETAIL!CB14</f>
        <v>578513.89599999995</v>
      </c>
      <c r="CC16" s="77">
        <f>SUP_CONTROL!$C$11*(CAPA1_PILOTO!CC25+CAPA1_PILOTO!CC26+CAPA1_PILOTO!CC27+CAPA1_PILOTO!CC37)+SUP_CONTROL!$C$12*(CAPA2_FLAGSHIP!CC20+CAPA2_FLAGSHIP!CC21+CAPA2_FLAGSHIP!CC19)+SUP_CONTROL!$C$13*(CAPA3_EXPANSION!CC22+CAPA3_EXPANSION!CC29+CAPA3_EXPANSION!CC30+CAPA3_EXPANSION!CC59)+SUP_CONTROL!$C$14*CAPA4_RETAIL!CC14</f>
        <v>4800</v>
      </c>
      <c r="CD16" s="77">
        <f>SUP_CONTROL!$C$11*(CAPA1_PILOTO!CD25+CAPA1_PILOTO!CD26+CAPA1_PILOTO!CD27+CAPA1_PILOTO!CD37)+SUP_CONTROL!$C$12*(CAPA2_FLAGSHIP!CD20+CAPA2_FLAGSHIP!CD21+CAPA2_FLAGSHIP!CD19)+SUP_CONTROL!$C$13*(CAPA3_EXPANSION!CD22+CAPA3_EXPANSION!CD29+CAPA3_EXPANSION!CD30+CAPA3_EXPANSION!CD59)+SUP_CONTROL!$C$14*CAPA4_RETAIL!CD14</f>
        <v>-4000</v>
      </c>
      <c r="CE16" s="77">
        <f>SUP_CONTROL!$C$11*(CAPA1_PILOTO!CE25+CAPA1_PILOTO!CE26+CAPA1_PILOTO!CE27+CAPA1_PILOTO!CE37)+SUP_CONTROL!$C$12*(CAPA2_FLAGSHIP!CE20+CAPA2_FLAGSHIP!CE21+CAPA2_FLAGSHIP!CE19)+SUP_CONTROL!$C$13*(CAPA3_EXPANSION!CE22+CAPA3_EXPANSION!CE29+CAPA3_EXPANSION!CE30+CAPA3_EXPANSION!CE59)+SUP_CONTROL!$C$14*CAPA4_RETAIL!CE14</f>
        <v>-2000</v>
      </c>
      <c r="CF16" s="77">
        <f>SUP_CONTROL!$C$11*(CAPA1_PILOTO!CF25+CAPA1_PILOTO!CF26+CAPA1_PILOTO!CF27+CAPA1_PILOTO!CF37)+SUP_CONTROL!$C$12*(CAPA2_FLAGSHIP!CF20+CAPA2_FLAGSHIP!CF21+CAPA2_FLAGSHIP!CF19)+SUP_CONTROL!$C$13*(CAPA3_EXPANSION!CF22+CAPA3_EXPANSION!CF29+CAPA3_EXPANSION!CF30+CAPA3_EXPANSION!CF59)+SUP_CONTROL!$C$14*CAPA4_RETAIL!CF14</f>
        <v>0</v>
      </c>
      <c r="CG16" s="77">
        <f>SUP_CONTROL!$C$11*(CAPA1_PILOTO!CG25+CAPA1_PILOTO!CG26+CAPA1_PILOTO!CG27+CAPA1_PILOTO!CG37)+SUP_CONTROL!$C$12*(CAPA2_FLAGSHIP!CG20+CAPA2_FLAGSHIP!CG21+CAPA2_FLAGSHIP!CG19)+SUP_CONTROL!$C$13*(CAPA3_EXPANSION!CG22+CAPA3_EXPANSION!CG29+CAPA3_EXPANSION!CG30+CAPA3_EXPANSION!CG59)+SUP_CONTROL!$C$14*CAPA4_RETAIL!CG14</f>
        <v>0</v>
      </c>
      <c r="CH16" s="77">
        <f>SUP_CONTROL!$C$11*(CAPA1_PILOTO!CH25+CAPA1_PILOTO!CH26+CAPA1_PILOTO!CH27+CAPA1_PILOTO!CH37)+SUP_CONTROL!$C$12*(CAPA2_FLAGSHIP!CH20+CAPA2_FLAGSHIP!CH21+CAPA2_FLAGSHIP!CH19)+SUP_CONTROL!$C$13*(CAPA3_EXPANSION!CH22+CAPA3_EXPANSION!CH29+CAPA3_EXPANSION!CH30+CAPA3_EXPANSION!CH59)+SUP_CONTROL!$C$14*CAPA4_RETAIL!CH14</f>
        <v>0</v>
      </c>
      <c r="CI16" s="77">
        <f>SUP_CONTROL!$C$11*(CAPA1_PILOTO!CI25+CAPA1_PILOTO!CI26+CAPA1_PILOTO!CI27+CAPA1_PILOTO!CI37)+SUP_CONTROL!$C$12*(CAPA2_FLAGSHIP!CI20+CAPA2_FLAGSHIP!CI21+CAPA2_FLAGSHIP!CI19)+SUP_CONTROL!$C$13*(CAPA3_EXPANSION!CI22+CAPA3_EXPANSION!CI29+CAPA3_EXPANSION!CI30+CAPA3_EXPANSION!CI59)+SUP_CONTROL!$C$14*CAPA4_RETAIL!CI14</f>
        <v>0</v>
      </c>
      <c r="CJ16" s="77">
        <f>SUP_CONTROL!$C$11*(CAPA1_PILOTO!CJ25+CAPA1_PILOTO!CJ26+CAPA1_PILOTO!CJ27+CAPA1_PILOTO!CJ37)+SUP_CONTROL!$C$12*(CAPA2_FLAGSHIP!CJ20+CAPA2_FLAGSHIP!CJ21+CAPA2_FLAGSHIP!CJ19)+SUP_CONTROL!$C$13*(CAPA3_EXPANSION!CJ22+CAPA3_EXPANSION!CJ29+CAPA3_EXPANSION!CJ30+CAPA3_EXPANSION!CJ59)+SUP_CONTROL!$C$14*CAPA4_RETAIL!CJ14</f>
        <v>0</v>
      </c>
      <c r="CK16" s="77">
        <f>SUP_CONTROL!$C$11*(CAPA1_PILOTO!CK25+CAPA1_PILOTO!CK26+CAPA1_PILOTO!CK27+CAPA1_PILOTO!CK37)+SUP_CONTROL!$C$12*(CAPA2_FLAGSHIP!CK20+CAPA2_FLAGSHIP!CK21+CAPA2_FLAGSHIP!CK19)+SUP_CONTROL!$C$13*(CAPA3_EXPANSION!CK22+CAPA3_EXPANSION!CK29+CAPA3_EXPANSION!CK30+CAPA3_EXPANSION!CK59)+SUP_CONTROL!$C$14*CAPA4_RETAIL!CK14</f>
        <v>0</v>
      </c>
      <c r="CL16" s="77">
        <f>SUP_CONTROL!$C$11*(CAPA1_PILOTO!CL25+CAPA1_PILOTO!CL26+CAPA1_PILOTO!CL27+CAPA1_PILOTO!CL37)+SUP_CONTROL!$C$12*(CAPA2_FLAGSHIP!CL20+CAPA2_FLAGSHIP!CL21+CAPA2_FLAGSHIP!CL19)+SUP_CONTROL!$C$13*(CAPA3_EXPANSION!CL22+CAPA3_EXPANSION!CL29+CAPA3_EXPANSION!CL30+CAPA3_EXPANSION!CL59)+SUP_CONTROL!$C$14*CAPA4_RETAIL!CL14</f>
        <v>0</v>
      </c>
      <c r="CM16" s="77">
        <f>SUP_CONTROL!$C$11*(CAPA1_PILOTO!CM25+CAPA1_PILOTO!CM26+CAPA1_PILOTO!CM27+CAPA1_PILOTO!CM37)+SUP_CONTROL!$C$12*(CAPA2_FLAGSHIP!CM20+CAPA2_FLAGSHIP!CM21+CAPA2_FLAGSHIP!CM19)+SUP_CONTROL!$C$13*(CAPA3_EXPANSION!CM22+CAPA3_EXPANSION!CM29+CAPA3_EXPANSION!CM30+CAPA3_EXPANSION!CM59)+SUP_CONTROL!$C$14*CAPA4_RETAIL!CM14</f>
        <v>0</v>
      </c>
      <c r="CN16" s="77">
        <f>SUP_CONTROL!$C$11*(CAPA1_PILOTO!CN25+CAPA1_PILOTO!CN26+CAPA1_PILOTO!CN27+CAPA1_PILOTO!CN37)+SUP_CONTROL!$C$12*(CAPA2_FLAGSHIP!CN20+CAPA2_FLAGSHIP!CN21+CAPA2_FLAGSHIP!CN19)+SUP_CONTROL!$C$13*(CAPA3_EXPANSION!CN22+CAPA3_EXPANSION!CN29+CAPA3_EXPANSION!CN30+CAPA3_EXPANSION!CN59)+SUP_CONTROL!$C$14*CAPA4_RETAIL!CN14</f>
        <v>0</v>
      </c>
      <c r="CO16" s="77">
        <f>SUP_CONTROL!$C$11*(CAPA1_PILOTO!CO25+CAPA1_PILOTO!CO26+CAPA1_PILOTO!CO27+CAPA1_PILOTO!CO37)+SUP_CONTROL!$C$12*(CAPA2_FLAGSHIP!CO20+CAPA2_FLAGSHIP!CO21+CAPA2_FLAGSHIP!CO19)+SUP_CONTROL!$C$13*(CAPA3_EXPANSION!CO22+CAPA3_EXPANSION!CO29+CAPA3_EXPANSION!CO30+CAPA3_EXPANSION!CO59)+SUP_CONTROL!$C$14*CAPA4_RETAIL!CO14</f>
        <v>0</v>
      </c>
      <c r="CP16" s="77">
        <f>SUP_CONTROL!$C$11*(CAPA1_PILOTO!CP25+CAPA1_PILOTO!CP26+CAPA1_PILOTO!CP27+CAPA1_PILOTO!CP37)+SUP_CONTROL!$C$12*(CAPA2_FLAGSHIP!CP20+CAPA2_FLAGSHIP!CP21+CAPA2_FLAGSHIP!CP19)+SUP_CONTROL!$C$13*(CAPA3_EXPANSION!CP22+CAPA3_EXPANSION!CP29+CAPA3_EXPANSION!CP30+CAPA3_EXPANSION!CP59)+SUP_CONTROL!$C$14*CAPA4_RETAIL!CP14</f>
        <v>0</v>
      </c>
      <c r="CQ16" s="77">
        <f>SUP_CONTROL!$C$11*(CAPA1_PILOTO!CQ25+CAPA1_PILOTO!CQ26+CAPA1_PILOTO!CQ27+CAPA1_PILOTO!CQ37)+SUP_CONTROL!$C$12*(CAPA2_FLAGSHIP!CQ20+CAPA2_FLAGSHIP!CQ21+CAPA2_FLAGSHIP!CQ19)+SUP_CONTROL!$C$13*(CAPA3_EXPANSION!CQ22+CAPA3_EXPANSION!CQ29+CAPA3_EXPANSION!CQ30+CAPA3_EXPANSION!CQ59)+SUP_CONTROL!$C$14*CAPA4_RETAIL!CQ14</f>
        <v>0</v>
      </c>
      <c r="CR16" s="77">
        <f>SUP_CONTROL!$C$11*(CAPA1_PILOTO!CR25+CAPA1_PILOTO!CR26+CAPA1_PILOTO!CR27+CAPA1_PILOTO!CR37)+SUP_CONTROL!$C$12*(CAPA2_FLAGSHIP!CR20+CAPA2_FLAGSHIP!CR21+CAPA2_FLAGSHIP!CR19)+SUP_CONTROL!$C$13*(CAPA3_EXPANSION!CR22+CAPA3_EXPANSION!CR29+CAPA3_EXPANSION!CR30+CAPA3_EXPANSION!CR59)+SUP_CONTROL!$C$14*CAPA4_RETAIL!CR14</f>
        <v>0</v>
      </c>
      <c r="CS16" s="77">
        <f>SUP_CONTROL!$C$11*(CAPA1_PILOTO!CS25+CAPA1_PILOTO!CS26+CAPA1_PILOTO!CS27+CAPA1_PILOTO!CS37)+SUP_CONTROL!$C$12*(CAPA2_FLAGSHIP!CS20+CAPA2_FLAGSHIP!CS21+CAPA2_FLAGSHIP!CS19)+SUP_CONTROL!$C$13*(CAPA3_EXPANSION!CS22+CAPA3_EXPANSION!CS29+CAPA3_EXPANSION!CS30+CAPA3_EXPANSION!CS59)+SUP_CONTROL!$C$14*CAPA4_RETAIL!CS14</f>
        <v>0</v>
      </c>
      <c r="CT16" s="77">
        <f>SUP_CONTROL!$C$11*(CAPA1_PILOTO!CT25+CAPA1_PILOTO!CT26+CAPA1_PILOTO!CT27+CAPA1_PILOTO!CT37)+SUP_CONTROL!$C$12*(CAPA2_FLAGSHIP!CT20+CAPA2_FLAGSHIP!CT21+CAPA2_FLAGSHIP!CT19)+SUP_CONTROL!$C$13*(CAPA3_EXPANSION!CT22+CAPA3_EXPANSION!CT29+CAPA3_EXPANSION!CT30+CAPA3_EXPANSION!CT59)+SUP_CONTROL!$C$14*CAPA4_RETAIL!CT14</f>
        <v>0</v>
      </c>
      <c r="CU16" s="77">
        <f>SUP_CONTROL!$C$11*(CAPA1_PILOTO!CU25+CAPA1_PILOTO!CU26+CAPA1_PILOTO!CU27+CAPA1_PILOTO!CU37)+SUP_CONTROL!$C$12*(CAPA2_FLAGSHIP!CU20+CAPA2_FLAGSHIP!CU21+CAPA2_FLAGSHIP!CU19)+SUP_CONTROL!$C$13*(CAPA3_EXPANSION!CU22+CAPA3_EXPANSION!CU29+CAPA3_EXPANSION!CU30+CAPA3_EXPANSION!CU59)+SUP_CONTROL!$C$14*CAPA4_RETAIL!CU14</f>
        <v>0</v>
      </c>
      <c r="CV16" s="77">
        <f>SUP_CONTROL!$C$11*(CAPA1_PILOTO!CV25+CAPA1_PILOTO!CV26+CAPA1_PILOTO!CV27+CAPA1_PILOTO!CV37)+SUP_CONTROL!$C$12*(CAPA2_FLAGSHIP!CV20+CAPA2_FLAGSHIP!CV21+CAPA2_FLAGSHIP!CV19)+SUP_CONTROL!$C$13*(CAPA3_EXPANSION!CV22+CAPA3_EXPANSION!CV29+CAPA3_EXPANSION!CV30+CAPA3_EXPANSION!CV59)+SUP_CONTROL!$C$14*CAPA4_RETAIL!CV14</f>
        <v>0</v>
      </c>
      <c r="CW16" s="77">
        <f>SUP_CONTROL!$C$11*(CAPA1_PILOTO!CW25+CAPA1_PILOTO!CW26+CAPA1_PILOTO!CW27+CAPA1_PILOTO!CW37)+SUP_CONTROL!$C$12*(CAPA2_FLAGSHIP!CW20+CAPA2_FLAGSHIP!CW21+CAPA2_FLAGSHIP!CW19)+SUP_CONTROL!$C$13*(CAPA3_EXPANSION!CW22+CAPA3_EXPANSION!CW29+CAPA3_EXPANSION!CW30+CAPA3_EXPANSION!CW59)+SUP_CONTROL!$C$14*CAPA4_RETAIL!CW14</f>
        <v>0</v>
      </c>
      <c r="CX16" s="77">
        <f>SUP_CONTROL!$C$11*(CAPA1_PILOTO!CX25+CAPA1_PILOTO!CX26+CAPA1_PILOTO!CX27+CAPA1_PILOTO!CX37)+SUP_CONTROL!$C$12*(CAPA2_FLAGSHIP!CX20+CAPA2_FLAGSHIP!CX21+CAPA2_FLAGSHIP!CX19)+SUP_CONTROL!$C$13*(CAPA3_EXPANSION!CX22+CAPA3_EXPANSION!CX29+CAPA3_EXPANSION!CX30+CAPA3_EXPANSION!CX59)+SUP_CONTROL!$C$14*CAPA4_RETAIL!CX14</f>
        <v>0</v>
      </c>
      <c r="CY16" s="77">
        <f>SUP_CONTROL!$C$11*(CAPA1_PILOTO!CY25+CAPA1_PILOTO!CY26+CAPA1_PILOTO!CY27+CAPA1_PILOTO!CY37)+SUP_CONTROL!$C$12*(CAPA2_FLAGSHIP!CY20+CAPA2_FLAGSHIP!CY21+CAPA2_FLAGSHIP!CY19)+SUP_CONTROL!$C$13*(CAPA3_EXPANSION!CY22+CAPA3_EXPANSION!CY29+CAPA3_EXPANSION!CY30+CAPA3_EXPANSION!CY59)+SUP_CONTROL!$C$14*CAPA4_RETAIL!CY14</f>
        <v>0</v>
      </c>
      <c r="CZ16" s="77">
        <f>SUP_CONTROL!$C$11*(CAPA1_PILOTO!CZ25+CAPA1_PILOTO!CZ26+CAPA1_PILOTO!CZ27+CAPA1_PILOTO!CZ37)+SUP_CONTROL!$C$12*(CAPA2_FLAGSHIP!CZ20+CAPA2_FLAGSHIP!CZ21+CAPA2_FLAGSHIP!CZ19)+SUP_CONTROL!$C$13*(CAPA3_EXPANSION!CZ22+CAPA3_EXPANSION!CZ29+CAPA3_EXPANSION!CZ30+CAPA3_EXPANSION!CZ59)+SUP_CONTROL!$C$14*CAPA4_RETAIL!CZ14</f>
        <v>0</v>
      </c>
      <c r="DA16" s="77">
        <f>SUP_CONTROL!$C$11*(CAPA1_PILOTO!DA25+CAPA1_PILOTO!DA26+CAPA1_PILOTO!DA27+CAPA1_PILOTO!DA37)+SUP_CONTROL!$C$12*(CAPA2_FLAGSHIP!DA20+CAPA2_FLAGSHIP!DA21+CAPA2_FLAGSHIP!DA19)+SUP_CONTROL!$C$13*(CAPA3_EXPANSION!DA22+CAPA3_EXPANSION!DA29+CAPA3_EXPANSION!DA30+CAPA3_EXPANSION!DA59)+SUP_CONTROL!$C$14*CAPA4_RETAIL!DA14</f>
        <v>0</v>
      </c>
      <c r="DB16" s="77">
        <f>SUP_CONTROL!$C$11*(CAPA1_PILOTO!DB25+CAPA1_PILOTO!DB26+CAPA1_PILOTO!DB27+CAPA1_PILOTO!DB37)+SUP_CONTROL!$C$12*(CAPA2_FLAGSHIP!DB20+CAPA2_FLAGSHIP!DB21+CAPA2_FLAGSHIP!DB19)+SUP_CONTROL!$C$13*(CAPA3_EXPANSION!DB22+CAPA3_EXPANSION!DB29+CAPA3_EXPANSION!DB30+CAPA3_EXPANSION!DB59)+SUP_CONTROL!$C$14*CAPA4_RETAIL!DB14</f>
        <v>0</v>
      </c>
      <c r="DC16" s="77">
        <f>SUP_CONTROL!$C$11*(CAPA1_PILOTO!DC25+CAPA1_PILOTO!DC26+CAPA1_PILOTO!DC27+CAPA1_PILOTO!DC37)+SUP_CONTROL!$C$12*(CAPA2_FLAGSHIP!DC20+CAPA2_FLAGSHIP!DC21+CAPA2_FLAGSHIP!DC19)+SUP_CONTROL!$C$13*(CAPA3_EXPANSION!DC22+CAPA3_EXPANSION!DC29+CAPA3_EXPANSION!DC30+CAPA3_EXPANSION!DC59)+SUP_CONTROL!$C$14*CAPA4_RETAIL!DC14</f>
        <v>0</v>
      </c>
      <c r="DD16" s="77">
        <f>SUP_CONTROL!$C$11*(CAPA1_PILOTO!DD25+CAPA1_PILOTO!DD26+CAPA1_PILOTO!DD27+CAPA1_PILOTO!DD37)+SUP_CONTROL!$C$12*(CAPA2_FLAGSHIP!DD20+CAPA2_FLAGSHIP!DD21+CAPA2_FLAGSHIP!DD19)+SUP_CONTROL!$C$13*(CAPA3_EXPANSION!DD22+CAPA3_EXPANSION!DD29+CAPA3_EXPANSION!DD30+CAPA3_EXPANSION!DD59)+SUP_CONTROL!$C$14*CAPA4_RETAIL!DD14</f>
        <v>0</v>
      </c>
      <c r="DE16" s="77">
        <f>SUP_CONTROL!$C$11*(CAPA1_PILOTO!DE25+CAPA1_PILOTO!DE26+CAPA1_PILOTO!DE27+CAPA1_PILOTO!DE37)+SUP_CONTROL!$C$12*(CAPA2_FLAGSHIP!DE20+CAPA2_FLAGSHIP!DE21+CAPA2_FLAGSHIP!DE19)+SUP_CONTROL!$C$13*(CAPA3_EXPANSION!DE22+CAPA3_EXPANSION!DE29+CAPA3_EXPANSION!DE30+CAPA3_EXPANSION!DE59)+SUP_CONTROL!$C$14*CAPA4_RETAIL!DE14</f>
        <v>0</v>
      </c>
      <c r="DF16" s="77">
        <f>SUP_CONTROL!$C$11*(CAPA1_PILOTO!DF25+CAPA1_PILOTO!DF26+CAPA1_PILOTO!DF27+CAPA1_PILOTO!DF37)+SUP_CONTROL!$C$12*(CAPA2_FLAGSHIP!DF20+CAPA2_FLAGSHIP!DF21+CAPA2_FLAGSHIP!DF19)+SUP_CONTROL!$C$13*(CAPA3_EXPANSION!DF22+CAPA3_EXPANSION!DF29+CAPA3_EXPANSION!DF30+CAPA3_EXPANSION!DF59)+SUP_CONTROL!$C$14*CAPA4_RETAIL!DF14</f>
        <v>0</v>
      </c>
      <c r="DG16" s="77">
        <f>SUP_CONTROL!$C$11*(CAPA1_PILOTO!DG25+CAPA1_PILOTO!DG26+CAPA1_PILOTO!DG27+CAPA1_PILOTO!DG37)+SUP_CONTROL!$C$12*(CAPA2_FLAGSHIP!DG20+CAPA2_FLAGSHIP!DG21+CAPA2_FLAGSHIP!DG19)+SUP_CONTROL!$C$13*(CAPA3_EXPANSION!DG22+CAPA3_EXPANSION!DG29+CAPA3_EXPANSION!DG30+CAPA3_EXPANSION!DG59)+SUP_CONTROL!$C$14*CAPA4_RETAIL!DG14</f>
        <v>0</v>
      </c>
      <c r="DH16" s="77">
        <f>SUP_CONTROL!$C$11*(CAPA1_PILOTO!DH25+CAPA1_PILOTO!DH26+CAPA1_PILOTO!DH27+CAPA1_PILOTO!DH37)+SUP_CONTROL!$C$12*(CAPA2_FLAGSHIP!DH20+CAPA2_FLAGSHIP!DH21+CAPA2_FLAGSHIP!DH19)+SUP_CONTROL!$C$13*(CAPA3_EXPANSION!DH22+CAPA3_EXPANSION!DH29+CAPA3_EXPANSION!DH30+CAPA3_EXPANSION!DH59)+SUP_CONTROL!$C$14*CAPA4_RETAIL!DH14</f>
        <v>0</v>
      </c>
      <c r="DI16" s="77">
        <f>SUP_CONTROL!$C$11*(CAPA1_PILOTO!DI25+CAPA1_PILOTO!DI26+CAPA1_PILOTO!DI27+CAPA1_PILOTO!DI37)+SUP_CONTROL!$C$12*(CAPA2_FLAGSHIP!DI20+CAPA2_FLAGSHIP!DI21+CAPA2_FLAGSHIP!DI19)+SUP_CONTROL!$C$13*(CAPA3_EXPANSION!DI22+CAPA3_EXPANSION!DI29+CAPA3_EXPANSION!DI30+CAPA3_EXPANSION!DI59)+SUP_CONTROL!$C$14*CAPA4_RETAIL!DI14</f>
        <v>0</v>
      </c>
      <c r="DJ16" s="77">
        <f>SUP_CONTROL!$C$11*(CAPA1_PILOTO!DJ25+CAPA1_PILOTO!DJ26+CAPA1_PILOTO!DJ27+CAPA1_PILOTO!DJ37)+SUP_CONTROL!$C$12*(CAPA2_FLAGSHIP!DJ20+CAPA2_FLAGSHIP!DJ21+CAPA2_FLAGSHIP!DJ19)+SUP_CONTROL!$C$13*(CAPA3_EXPANSION!DJ22+CAPA3_EXPANSION!DJ29+CAPA3_EXPANSION!DJ30+CAPA3_EXPANSION!DJ59)+SUP_CONTROL!$C$14*CAPA4_RETAIL!DJ14</f>
        <v>0</v>
      </c>
      <c r="DK16" s="77">
        <f>SUP_CONTROL!$C$11*(CAPA1_PILOTO!DK25+CAPA1_PILOTO!DK26+CAPA1_PILOTO!DK27+CAPA1_PILOTO!DK37)+SUP_CONTROL!$C$12*(CAPA2_FLAGSHIP!DK20+CAPA2_FLAGSHIP!DK21+CAPA2_FLAGSHIP!DK19)+SUP_CONTROL!$C$13*(CAPA3_EXPANSION!DK22+CAPA3_EXPANSION!DK29+CAPA3_EXPANSION!DK30+CAPA3_EXPANSION!DK59)+SUP_CONTROL!$C$14*CAPA4_RETAIL!DK14</f>
        <v>0</v>
      </c>
      <c r="DL16" s="77">
        <f>SUP_CONTROL!$C$11*(CAPA1_PILOTO!DL25+CAPA1_PILOTO!DL26+CAPA1_PILOTO!DL27+CAPA1_PILOTO!DL37)+SUP_CONTROL!$C$12*(CAPA2_FLAGSHIP!DL20+CAPA2_FLAGSHIP!DL21+CAPA2_FLAGSHIP!DL19)+SUP_CONTROL!$C$13*(CAPA3_EXPANSION!DL22+CAPA3_EXPANSION!DL29+CAPA3_EXPANSION!DL30+CAPA3_EXPANSION!DL59)+SUP_CONTROL!$C$14*CAPA4_RETAIL!DL14</f>
        <v>0</v>
      </c>
      <c r="DM16" s="77">
        <f>SUP_CONTROL!$C$11*(CAPA1_PILOTO!DM25+CAPA1_PILOTO!DM26+CAPA1_PILOTO!DM27+CAPA1_PILOTO!DM37)+SUP_CONTROL!$C$12*(CAPA2_FLAGSHIP!DM20+CAPA2_FLAGSHIP!DM21+CAPA2_FLAGSHIP!DM19)+SUP_CONTROL!$C$13*(CAPA3_EXPANSION!DM22+CAPA3_EXPANSION!DM29+CAPA3_EXPANSION!DM30+CAPA3_EXPANSION!DM59)+SUP_CONTROL!$C$14*CAPA4_RETAIL!DM14</f>
        <v>0</v>
      </c>
      <c r="DN16" s="77">
        <f>SUP_CONTROL!$C$11*(CAPA1_PILOTO!DN25+CAPA1_PILOTO!DN26+CAPA1_PILOTO!DN27+CAPA1_PILOTO!DN37)+SUP_CONTROL!$C$12*(CAPA2_FLAGSHIP!DN20+CAPA2_FLAGSHIP!DN21+CAPA2_FLAGSHIP!DN19)+SUP_CONTROL!$C$13*(CAPA3_EXPANSION!DN22+CAPA3_EXPANSION!DN29+CAPA3_EXPANSION!DN30+CAPA3_EXPANSION!DN59)+SUP_CONTROL!$C$14*CAPA4_RETAIL!DN14</f>
        <v>0</v>
      </c>
      <c r="DO16" s="77">
        <f>SUP_CONTROL!$C$11*(CAPA1_PILOTO!DO25+CAPA1_PILOTO!DO26+CAPA1_PILOTO!DO27+CAPA1_PILOTO!DO37)+SUP_CONTROL!$C$12*(CAPA2_FLAGSHIP!DO20+CAPA2_FLAGSHIP!DO21+CAPA2_FLAGSHIP!DO19)+SUP_CONTROL!$C$13*(CAPA3_EXPANSION!DO22+CAPA3_EXPANSION!DO29+CAPA3_EXPANSION!DO30+CAPA3_EXPANSION!DO59)+SUP_CONTROL!$C$14*CAPA4_RETAIL!DO14</f>
        <v>0</v>
      </c>
      <c r="DP16" s="77">
        <f>SUP_CONTROL!$C$11*(CAPA1_PILOTO!DP25+CAPA1_PILOTO!DP26+CAPA1_PILOTO!DP27+CAPA1_PILOTO!DP37)+SUP_CONTROL!$C$12*(CAPA2_FLAGSHIP!DP20+CAPA2_FLAGSHIP!DP21+CAPA2_FLAGSHIP!DP19)+SUP_CONTROL!$C$13*(CAPA3_EXPANSION!DP22+CAPA3_EXPANSION!DP29+CAPA3_EXPANSION!DP30+CAPA3_EXPANSION!DP59)+SUP_CONTROL!$C$14*CAPA4_RETAIL!DP14</f>
        <v>0</v>
      </c>
      <c r="DQ16" s="77">
        <f>SUP_CONTROL!$C$11*(CAPA1_PILOTO!DQ25+CAPA1_PILOTO!DQ26+CAPA1_PILOTO!DQ27+CAPA1_PILOTO!DQ37)+SUP_CONTROL!$C$12*(CAPA2_FLAGSHIP!DQ20+CAPA2_FLAGSHIP!DQ21+CAPA2_FLAGSHIP!DQ19)+SUP_CONTROL!$C$13*(CAPA3_EXPANSION!DQ22+CAPA3_EXPANSION!DQ29+CAPA3_EXPANSION!DQ30+CAPA3_EXPANSION!DQ59)+SUP_CONTROL!$C$14*CAPA4_RETAIL!DQ14</f>
        <v>0</v>
      </c>
      <c r="DR16" s="77">
        <f>SUP_CONTROL!$C$11*(CAPA1_PILOTO!DR25+CAPA1_PILOTO!DR26+CAPA1_PILOTO!DR27+CAPA1_PILOTO!DR37)+SUP_CONTROL!$C$12*(CAPA2_FLAGSHIP!DR20+CAPA2_FLAGSHIP!DR21+CAPA2_FLAGSHIP!DR19)+SUP_CONTROL!$C$13*(CAPA3_EXPANSION!DR22+CAPA3_EXPANSION!DR29+CAPA3_EXPANSION!DR30+CAPA3_EXPANSION!DR59)+SUP_CONTROL!$C$14*CAPA4_RETAIL!DR14</f>
        <v>0</v>
      </c>
      <c r="DS16" s="77">
        <f>SUP_CONTROL!$C$11*(CAPA1_PILOTO!DS25+CAPA1_PILOTO!DS26+CAPA1_PILOTO!DS27+CAPA1_PILOTO!DS37)+SUP_CONTROL!$C$12*(CAPA2_FLAGSHIP!DS20+CAPA2_FLAGSHIP!DS21+CAPA2_FLAGSHIP!DS19)+SUP_CONTROL!$C$13*(CAPA3_EXPANSION!DS22+CAPA3_EXPANSION!DS29+CAPA3_EXPANSION!DS30+CAPA3_EXPANSION!DS59)+SUP_CONTROL!$C$14*CAPA4_RETAIL!DS14</f>
        <v>0</v>
      </c>
    </row>
    <row r="17" spans="1:123" ht="15" customHeight="1" x14ac:dyDescent="0.2">
      <c r="B17" s="37" t="s">
        <v>1120</v>
      </c>
      <c r="D17" s="99">
        <f>PROD_DEMANDA!D11</f>
        <v>0</v>
      </c>
      <c r="E17" s="99">
        <f>PROD_DEMANDA!E11</f>
        <v>0</v>
      </c>
      <c r="F17" s="99">
        <f>PROD_DEMANDA!F11</f>
        <v>0</v>
      </c>
      <c r="G17" s="99">
        <f>PROD_DEMANDA!G11</f>
        <v>9.4275999999999982</v>
      </c>
      <c r="H17" s="99">
        <f>PROD_DEMANDA!H11</f>
        <v>20.875399999999999</v>
      </c>
      <c r="I17" s="99">
        <f>PROD_DEMANDA!I11</f>
        <v>34.343400000000003</v>
      </c>
      <c r="J17" s="99">
        <f>PROD_DEMANDA!J11</f>
        <v>49.225540000000002</v>
      </c>
      <c r="K17" s="99">
        <f>PROD_DEMANDA!K11</f>
        <v>65.824850000000012</v>
      </c>
      <c r="L17" s="99">
        <f>PROD_DEMANDA!L11</f>
        <v>70.774339999999995</v>
      </c>
      <c r="M17" s="99">
        <f>PROD_DEMANDA!M11</f>
        <v>73.400600000000011</v>
      </c>
      <c r="N17" s="99">
        <f>PROD_DEMANDA!N11</f>
        <v>73.400600000000011</v>
      </c>
      <c r="O17" s="99">
        <f>PROD_DEMANDA!O11</f>
        <v>73.400600000000011</v>
      </c>
      <c r="P17" s="99">
        <f>PROD_DEMANDA!P11</f>
        <v>73.400600000000011</v>
      </c>
      <c r="Q17" s="99">
        <f>PROD_DEMANDA!Q11</f>
        <v>73.400600000000011</v>
      </c>
      <c r="R17" s="99">
        <f>PROD_DEMANDA!R11</f>
        <v>73.400600000000011</v>
      </c>
      <c r="S17" s="99">
        <f>PROD_DEMANDA!S11</f>
        <v>73.400600000000011</v>
      </c>
      <c r="T17" s="99">
        <f>PROD_DEMANDA!T11</f>
        <v>77.77770000000001</v>
      </c>
      <c r="U17" s="99">
        <f>PROD_DEMANDA!U11</f>
        <v>78.787800000000004</v>
      </c>
      <c r="V17" s="99">
        <f>PROD_DEMANDA!V11</f>
        <v>83.838300000000004</v>
      </c>
      <c r="W17" s="99">
        <f>PROD_DEMANDA!W11</f>
        <v>89.898900000000012</v>
      </c>
      <c r="X17" s="99">
        <f>PROD_DEMANDA!X11</f>
        <v>91.582400000000007</v>
      </c>
      <c r="Y17" s="99">
        <f>PROD_DEMANDA!Y11</f>
        <v>92.929200000000009</v>
      </c>
      <c r="Z17" s="99">
        <f>PROD_DEMANDA!Z11</f>
        <v>93.60260000000001</v>
      </c>
      <c r="AA17" s="99">
        <f>PROD_DEMANDA!AA11</f>
        <v>93.60260000000001</v>
      </c>
      <c r="AB17" s="99">
        <f>PROD_DEMANDA!AB11</f>
        <v>93.60260000000001</v>
      </c>
      <c r="AC17" s="99">
        <f>PROD_DEMANDA!AC11</f>
        <v>93.60260000000001</v>
      </c>
      <c r="AD17" s="99">
        <f>PROD_DEMANDA!AD11</f>
        <v>92.99654000000001</v>
      </c>
      <c r="AE17" s="99">
        <f>PROD_DEMANDA!AE11</f>
        <v>92.99654000000001</v>
      </c>
      <c r="AF17" s="99">
        <f>PROD_DEMANDA!AF11</f>
        <v>98.516063099999997</v>
      </c>
      <c r="AG17" s="99">
        <f>PROD_DEMANDA!AG11</f>
        <v>104.03558620000001</v>
      </c>
      <c r="AH17" s="99">
        <f>PROD_DEMANDA!AH11</f>
        <v>105.86454060000001</v>
      </c>
      <c r="AI17" s="99">
        <f>PROD_DEMANDA!AI11</f>
        <v>111.612683</v>
      </c>
      <c r="AJ17" s="99">
        <f>PROD_DEMANDA!AJ11</f>
        <v>117.49146500000001</v>
      </c>
      <c r="AK17" s="99">
        <f>PROD_DEMANDA!AK11</f>
        <v>119.12446000000001</v>
      </c>
      <c r="AL17" s="99">
        <f>PROD_DEMANDA!AL11</f>
        <v>119.21873600000001</v>
      </c>
      <c r="AM17" s="99">
        <f>PROD_DEMANDA!AM11</f>
        <v>125.23236634999999</v>
      </c>
      <c r="AN17" s="99">
        <f>PROD_DEMANDA!AN11</f>
        <v>130.60963370000002</v>
      </c>
      <c r="AO17" s="99">
        <f>PROD_DEMANDA!AO11</f>
        <v>136.52780960000001</v>
      </c>
      <c r="AP17" s="99">
        <f>PROD_DEMANDA!AP11</f>
        <v>143.08234850000002</v>
      </c>
      <c r="AQ17" s="99">
        <f>PROD_DEMANDA!AQ11</f>
        <v>145.309619</v>
      </c>
      <c r="AR17" s="99">
        <f>PROD_DEMANDA!AR11</f>
        <v>151.95961235000001</v>
      </c>
      <c r="AS17" s="99">
        <f>PROD_DEMANDA!AS11</f>
        <v>153.83688319999999</v>
      </c>
      <c r="AT17" s="99">
        <f>PROD_DEMANDA!AT11</f>
        <v>158.80051459999999</v>
      </c>
      <c r="AU17" s="99">
        <f>PROD_DEMANDA!AU11</f>
        <v>164.71869050000001</v>
      </c>
      <c r="AV17" s="99">
        <f>PROD_DEMANDA!AV11</f>
        <v>166.30959799999999</v>
      </c>
      <c r="AW17" s="99">
        <f>PROD_DEMANDA!AW11</f>
        <v>167.582324</v>
      </c>
      <c r="AX17" s="99">
        <f>PROD_DEMANDA!AX11</f>
        <v>168.21868700000002</v>
      </c>
      <c r="AY17" s="99">
        <f>PROD_DEMANDA!AY11</f>
        <v>168.21868700000002</v>
      </c>
      <c r="AZ17" s="99">
        <f>PROD_DEMANDA!AZ11</f>
        <v>168.21868700000002</v>
      </c>
      <c r="BA17" s="99">
        <f>PROD_DEMANDA!BA11</f>
        <v>165.710272</v>
      </c>
      <c r="BB17" s="99">
        <f>PROD_DEMANDA!BB11</f>
        <v>165.710272</v>
      </c>
      <c r="BC17" s="99">
        <f>PROD_DEMANDA!BC11</f>
        <v>165.710272</v>
      </c>
      <c r="BD17" s="99">
        <f>PROD_DEMANDA!BD11</f>
        <v>173.76413600000001</v>
      </c>
      <c r="BE17" s="99">
        <f>PROD_DEMANDA!BE11</f>
        <v>179.649652</v>
      </c>
      <c r="BF17" s="99">
        <f>PROD_DEMANDA!BF11</f>
        <v>184.58230700000001</v>
      </c>
      <c r="BG17" s="99">
        <f>PROD_DEMANDA!BG11</f>
        <v>191.52169400000002</v>
      </c>
      <c r="BH17" s="99">
        <f>PROD_DEMANDA!BH11</f>
        <v>197.76411200000001</v>
      </c>
      <c r="BI17" s="99">
        <f>PROD_DEMANDA!BI11</f>
        <v>204.00653</v>
      </c>
      <c r="BJ17" s="99">
        <f>PROD_DEMANDA!BJ11</f>
        <v>211.24894700000002</v>
      </c>
      <c r="BK17" s="99">
        <f>PROD_DEMANDA!BK11</f>
        <v>214.3782368</v>
      </c>
      <c r="BL17" s="99">
        <f>PROD_DEMANDA!BL11</f>
        <v>220.4819344</v>
      </c>
      <c r="BM17" s="99">
        <f>PROD_DEMANDA!BM11</f>
        <v>226.585632</v>
      </c>
      <c r="BN17" s="99">
        <f>PROD_DEMANDA!BN11</f>
        <v>233.66710640000002</v>
      </c>
      <c r="BO17" s="99">
        <f>PROD_DEMANDA!BO11</f>
        <v>239.85969280000006</v>
      </c>
      <c r="BP17" s="99">
        <f>PROD_DEMANDA!BP11</f>
        <v>243.02197920000006</v>
      </c>
      <c r="BQ17" s="99">
        <f>PROD_DEMANDA!BQ11</f>
        <v>249.02163650000006</v>
      </c>
      <c r="BR17" s="99">
        <f>PROD_DEMANDA!BR11</f>
        <v>255.98240395000008</v>
      </c>
      <c r="BS17" s="99">
        <f>PROD_DEMANDA!BS11</f>
        <v>265.85562640000006</v>
      </c>
      <c r="BT17" s="99">
        <f>PROD_DEMANDA!BT11</f>
        <v>272.72902020000004</v>
      </c>
      <c r="BU17" s="99">
        <f>PROD_DEMANDA!BU11</f>
        <v>275.74046499999997</v>
      </c>
      <c r="BV17" s="99">
        <f>PROD_DEMANDA!BV11</f>
        <v>282.03675500000003</v>
      </c>
      <c r="BW17" s="99">
        <f>PROD_DEMANDA!BW11</f>
        <v>288.87681549999996</v>
      </c>
      <c r="BX17" s="99">
        <f>PROD_DEMANDA!BX11</f>
        <v>294.85829099999995</v>
      </c>
      <c r="BY17" s="99">
        <f>PROD_DEMANDA!BY11</f>
        <v>300.75390799999991</v>
      </c>
      <c r="BZ17" s="99">
        <f>PROD_DEMANDA!BZ11</f>
        <v>307.58218399999987</v>
      </c>
      <c r="CA17" s="99">
        <f>PROD_DEMANDA!CA11</f>
        <v>315.19025719999996</v>
      </c>
      <c r="CB17" s="99">
        <f>PROD_DEMANDA!CB11</f>
        <v>321.66701839999996</v>
      </c>
      <c r="CC17" s="99">
        <f>PROD_DEMANDA!CC11</f>
        <v>324.38216719999991</v>
      </c>
      <c r="CD17" s="99">
        <f>PROD_DEMANDA!CD11</f>
        <v>325.68317599999995</v>
      </c>
      <c r="CE17" s="99">
        <f>PROD_DEMANDA!CE11</f>
        <v>326.24883199999994</v>
      </c>
      <c r="CF17" s="99">
        <f>PROD_DEMANDA!CF11</f>
        <v>326.24883199999994</v>
      </c>
      <c r="CG17" s="99">
        <f>PROD_DEMANDA!CG11</f>
        <v>326.24883199999994</v>
      </c>
      <c r="CH17" s="99">
        <f>PROD_DEMANDA!CH11</f>
        <v>326.24883199999994</v>
      </c>
      <c r="CI17" s="99">
        <f>PROD_DEMANDA!CI11</f>
        <v>326.24883199999994</v>
      </c>
      <c r="CJ17" s="99">
        <f>PROD_DEMANDA!CJ11</f>
        <v>326.24883199999994</v>
      </c>
      <c r="CK17" s="99">
        <f>PROD_DEMANDA!CK11</f>
        <v>326.24883199999994</v>
      </c>
      <c r="CL17" s="99">
        <f>PROD_DEMANDA!CL11</f>
        <v>326.24883199999994</v>
      </c>
      <c r="CM17" s="99">
        <f>PROD_DEMANDA!CM11</f>
        <v>326.24883199999994</v>
      </c>
      <c r="CN17" s="99">
        <f>PROD_DEMANDA!CN11</f>
        <v>326.24883199999994</v>
      </c>
      <c r="CO17" s="99">
        <f>PROD_DEMANDA!CO11</f>
        <v>326.24883199999994</v>
      </c>
      <c r="CP17" s="99">
        <f>PROD_DEMANDA!CP11</f>
        <v>326.24883199999994</v>
      </c>
      <c r="CQ17" s="99">
        <f>PROD_DEMANDA!CQ11</f>
        <v>326.24883199999994</v>
      </c>
      <c r="CR17" s="99">
        <f>PROD_DEMANDA!CR11</f>
        <v>326.24883199999994</v>
      </c>
      <c r="CS17" s="99">
        <f>PROD_DEMANDA!CS11</f>
        <v>326.24883199999994</v>
      </c>
      <c r="CT17" s="99">
        <f>PROD_DEMANDA!CT11</f>
        <v>326.24883199999994</v>
      </c>
      <c r="CU17" s="99">
        <f>PROD_DEMANDA!CU11</f>
        <v>326.24883199999994</v>
      </c>
      <c r="CV17" s="99">
        <f>PROD_DEMANDA!CV11</f>
        <v>326.24883199999994</v>
      </c>
      <c r="CW17" s="99">
        <f>PROD_DEMANDA!CW11</f>
        <v>326.24883199999994</v>
      </c>
      <c r="CX17" s="99">
        <f>PROD_DEMANDA!CX11</f>
        <v>326.24883199999994</v>
      </c>
      <c r="CY17" s="99">
        <f>PROD_DEMANDA!CY11</f>
        <v>326.24883199999994</v>
      </c>
      <c r="CZ17" s="99">
        <f>PROD_DEMANDA!CZ11</f>
        <v>326.24883199999994</v>
      </c>
      <c r="DA17" s="99">
        <f>PROD_DEMANDA!DA11</f>
        <v>326.24883199999994</v>
      </c>
      <c r="DB17" s="99">
        <f>PROD_DEMANDA!DB11</f>
        <v>326.24883199999994</v>
      </c>
      <c r="DC17" s="99">
        <f>PROD_DEMANDA!DC11</f>
        <v>326.24883199999994</v>
      </c>
      <c r="DD17" s="99">
        <f>PROD_DEMANDA!DD11</f>
        <v>326.24883199999994</v>
      </c>
      <c r="DE17" s="99">
        <f>PROD_DEMANDA!DE11</f>
        <v>326.24883199999994</v>
      </c>
      <c r="DF17" s="99">
        <f>PROD_DEMANDA!DF11</f>
        <v>326.24883199999994</v>
      </c>
      <c r="DG17" s="99">
        <f>PROD_DEMANDA!DG11</f>
        <v>326.24883199999994</v>
      </c>
      <c r="DH17" s="99">
        <f>PROD_DEMANDA!DH11</f>
        <v>326.24883199999994</v>
      </c>
      <c r="DI17" s="99">
        <f>PROD_DEMANDA!DI11</f>
        <v>326.24883199999994</v>
      </c>
      <c r="DJ17" s="99">
        <f>PROD_DEMANDA!DJ11</f>
        <v>326.24883199999994</v>
      </c>
      <c r="DK17" s="99">
        <f>PROD_DEMANDA!DK11</f>
        <v>326.24883199999994</v>
      </c>
      <c r="DL17" s="99">
        <f>PROD_DEMANDA!DL11</f>
        <v>326.24883199999994</v>
      </c>
      <c r="DM17" s="99">
        <f>PROD_DEMANDA!DM11</f>
        <v>326.24883199999994</v>
      </c>
      <c r="DN17" s="99">
        <f>PROD_DEMANDA!DN11</f>
        <v>326.24883199999994</v>
      </c>
      <c r="DO17" s="99">
        <f>PROD_DEMANDA!DO11</f>
        <v>326.24883199999994</v>
      </c>
      <c r="DP17" s="99">
        <f>PROD_DEMANDA!DP11</f>
        <v>326.24883199999994</v>
      </c>
      <c r="DQ17" s="99">
        <f>PROD_DEMANDA!DQ11</f>
        <v>326.24883199999994</v>
      </c>
      <c r="DR17" s="99">
        <f>PROD_DEMANDA!DR11</f>
        <v>326.24883199999994</v>
      </c>
      <c r="DS17" s="99">
        <f>PROD_DEMANDA!DS11</f>
        <v>326.24883199999994</v>
      </c>
    </row>
    <row r="18" spans="1:123" ht="15" customHeight="1" x14ac:dyDescent="0.2">
      <c r="B18" s="37" t="s">
        <v>633</v>
      </c>
      <c r="D18" s="88">
        <f>CAPA3_EXPANSION!D35</f>
        <v>0</v>
      </c>
      <c r="E18" s="88">
        <f>CAPA3_EXPANSION!E35</f>
        <v>0</v>
      </c>
      <c r="F18" s="88">
        <f>CAPA3_EXPANSION!F35</f>
        <v>0</v>
      </c>
      <c r="G18" s="88">
        <f>CAPA3_EXPANSION!G35</f>
        <v>2</v>
      </c>
      <c r="H18" s="88">
        <f>CAPA3_EXPANSION!H35</f>
        <v>4</v>
      </c>
      <c r="I18" s="88">
        <f>CAPA3_EXPANSION!I35</f>
        <v>6</v>
      </c>
      <c r="J18" s="88">
        <f>CAPA3_EXPANSION!J35</f>
        <v>8</v>
      </c>
      <c r="K18" s="88">
        <f>CAPA3_EXPANSION!K35</f>
        <v>10</v>
      </c>
      <c r="L18" s="88">
        <f>CAPA3_EXPANSION!L35</f>
        <v>10</v>
      </c>
      <c r="M18" s="88">
        <f>CAPA3_EXPANSION!M35</f>
        <v>10</v>
      </c>
      <c r="N18" s="88">
        <f>CAPA3_EXPANSION!N35</f>
        <v>10</v>
      </c>
      <c r="O18" s="88">
        <f>CAPA3_EXPANSION!O35</f>
        <v>10</v>
      </c>
      <c r="P18" s="88">
        <f>CAPA3_EXPANSION!P35</f>
        <v>10</v>
      </c>
      <c r="Q18" s="88">
        <f>CAPA3_EXPANSION!Q35</f>
        <v>11</v>
      </c>
      <c r="R18" s="88">
        <f>CAPA3_EXPANSION!R35</f>
        <v>11</v>
      </c>
      <c r="S18" s="88">
        <f>CAPA3_EXPANSION!S35</f>
        <v>12</v>
      </c>
      <c r="T18" s="88">
        <f>CAPA3_EXPANSION!T35</f>
        <v>13</v>
      </c>
      <c r="U18" s="88">
        <f>CAPA3_EXPANSION!U35</f>
        <v>13</v>
      </c>
      <c r="V18" s="88">
        <f>CAPA3_EXPANSION!V35</f>
        <v>13</v>
      </c>
      <c r="W18" s="88">
        <f>CAPA3_EXPANSION!W35</f>
        <v>13</v>
      </c>
      <c r="X18" s="88">
        <f>CAPA3_EXPANSION!X35</f>
        <v>13</v>
      </c>
      <c r="Y18" s="88">
        <f>CAPA3_EXPANSION!Y35</f>
        <v>13</v>
      </c>
      <c r="Z18" s="88">
        <f>CAPA3_EXPANSION!Z35</f>
        <v>13</v>
      </c>
      <c r="AA18" s="88">
        <f>CAPA3_EXPANSION!AA35</f>
        <v>13</v>
      </c>
      <c r="AB18" s="88">
        <f>CAPA3_EXPANSION!AB35</f>
        <v>13</v>
      </c>
      <c r="AC18" s="88">
        <f>CAPA3_EXPANSION!AC35</f>
        <v>14</v>
      </c>
      <c r="AD18" s="88">
        <f>CAPA3_EXPANSION!AD35</f>
        <v>15</v>
      </c>
      <c r="AE18" s="88">
        <f>CAPA3_EXPANSION!AE35</f>
        <v>15</v>
      </c>
      <c r="AF18" s="88">
        <f>CAPA3_EXPANSION!AF35</f>
        <v>16</v>
      </c>
      <c r="AG18" s="88">
        <f>CAPA3_EXPANSION!AG35</f>
        <v>17</v>
      </c>
      <c r="AH18" s="88">
        <f>CAPA3_EXPANSION!AH35</f>
        <v>17</v>
      </c>
      <c r="AI18" s="88">
        <f>CAPA3_EXPANSION!AI35</f>
        <v>17</v>
      </c>
      <c r="AJ18" s="88">
        <f>CAPA3_EXPANSION!AJ35</f>
        <v>18</v>
      </c>
      <c r="AK18" s="88">
        <f>CAPA3_EXPANSION!AK35</f>
        <v>19</v>
      </c>
      <c r="AL18" s="88">
        <f>CAPA3_EXPANSION!AL35</f>
        <v>20</v>
      </c>
      <c r="AM18" s="88">
        <f>CAPA3_EXPANSION!AM35</f>
        <v>21</v>
      </c>
      <c r="AN18" s="88">
        <f>CAPA3_EXPANSION!AN35</f>
        <v>21</v>
      </c>
      <c r="AO18" s="88">
        <f>CAPA3_EXPANSION!AO35</f>
        <v>22</v>
      </c>
      <c r="AP18" s="88">
        <f>CAPA3_EXPANSION!AP35</f>
        <v>22</v>
      </c>
      <c r="AQ18" s="88">
        <f>CAPA3_EXPANSION!AQ35</f>
        <v>23</v>
      </c>
      <c r="AR18" s="88">
        <f>CAPA3_EXPANSION!AR35</f>
        <v>24</v>
      </c>
      <c r="AS18" s="88">
        <f>CAPA3_EXPANSION!AS35</f>
        <v>24</v>
      </c>
      <c r="AT18" s="88">
        <f>CAPA3_EXPANSION!AT35</f>
        <v>24</v>
      </c>
      <c r="AU18" s="88">
        <f>CAPA3_EXPANSION!AU35</f>
        <v>24</v>
      </c>
      <c r="AV18" s="88">
        <f>CAPA3_EXPANSION!AV35</f>
        <v>24</v>
      </c>
      <c r="AW18" s="88">
        <f>CAPA3_EXPANSION!AW35</f>
        <v>24</v>
      </c>
      <c r="AX18" s="88">
        <f>CAPA3_EXPANSION!AX35</f>
        <v>24</v>
      </c>
      <c r="AY18" s="88">
        <f>CAPA3_EXPANSION!AY35</f>
        <v>24</v>
      </c>
      <c r="AZ18" s="88">
        <f>CAPA3_EXPANSION!AZ35</f>
        <v>24</v>
      </c>
      <c r="BA18" s="88">
        <f>CAPA3_EXPANSION!BA35</f>
        <v>25</v>
      </c>
      <c r="BB18" s="88">
        <f>CAPA3_EXPANSION!BB35</f>
        <v>26</v>
      </c>
      <c r="BC18" s="88">
        <f>CAPA3_EXPANSION!BC35</f>
        <v>27</v>
      </c>
      <c r="BD18" s="88">
        <f>CAPA3_EXPANSION!BD35</f>
        <v>28</v>
      </c>
      <c r="BE18" s="88">
        <f>CAPA3_EXPANSION!BE35</f>
        <v>29</v>
      </c>
      <c r="BF18" s="88">
        <f>CAPA3_EXPANSION!BF35</f>
        <v>30</v>
      </c>
      <c r="BG18" s="88">
        <f>CAPA3_EXPANSION!BG35</f>
        <v>31</v>
      </c>
      <c r="BH18" s="88">
        <f>CAPA3_EXPANSION!BH35</f>
        <v>32</v>
      </c>
      <c r="BI18" s="88">
        <f>CAPA3_EXPANSION!BI35</f>
        <v>33</v>
      </c>
      <c r="BJ18" s="88">
        <f>CAPA3_EXPANSION!BJ35</f>
        <v>34</v>
      </c>
      <c r="BK18" s="88">
        <f>CAPA3_EXPANSION!BK35</f>
        <v>35</v>
      </c>
      <c r="BL18" s="88">
        <f>CAPA3_EXPANSION!BL35</f>
        <v>36</v>
      </c>
      <c r="BM18" s="88">
        <f>CAPA3_EXPANSION!BM35</f>
        <v>37</v>
      </c>
      <c r="BN18" s="88">
        <f>CAPA3_EXPANSION!BN35</f>
        <v>38</v>
      </c>
      <c r="BO18" s="88">
        <f>CAPA3_EXPANSION!BO35</f>
        <v>39</v>
      </c>
      <c r="BP18" s="88">
        <f>CAPA3_EXPANSION!BP35</f>
        <v>40</v>
      </c>
      <c r="BQ18" s="88">
        <f>CAPA3_EXPANSION!BQ35</f>
        <v>41</v>
      </c>
      <c r="BR18" s="88">
        <f>CAPA3_EXPANSION!BR35</f>
        <v>42</v>
      </c>
      <c r="BS18" s="88">
        <f>CAPA3_EXPANSION!BS35</f>
        <v>43</v>
      </c>
      <c r="BT18" s="88">
        <f>CAPA3_EXPANSION!BT35</f>
        <v>44</v>
      </c>
      <c r="BU18" s="88">
        <f>CAPA3_EXPANSION!BU35</f>
        <v>45</v>
      </c>
      <c r="BV18" s="88">
        <f>CAPA3_EXPANSION!BV35</f>
        <v>46</v>
      </c>
      <c r="BW18" s="88">
        <f>CAPA3_EXPANSION!BW35</f>
        <v>47</v>
      </c>
      <c r="BX18" s="88">
        <f>CAPA3_EXPANSION!BX35</f>
        <v>48</v>
      </c>
      <c r="BY18" s="88">
        <f>CAPA3_EXPANSION!BY35</f>
        <v>49</v>
      </c>
      <c r="BZ18" s="88">
        <f>CAPA3_EXPANSION!BZ35</f>
        <v>50</v>
      </c>
      <c r="CA18" s="88">
        <f>CAPA3_EXPANSION!CA35</f>
        <v>50</v>
      </c>
      <c r="CB18" s="88">
        <f>CAPA3_EXPANSION!CB35</f>
        <v>50</v>
      </c>
      <c r="CC18" s="88">
        <f>CAPA3_EXPANSION!CC35</f>
        <v>50</v>
      </c>
      <c r="CD18" s="88">
        <f>CAPA3_EXPANSION!CD35</f>
        <v>50</v>
      </c>
      <c r="CE18" s="88">
        <f>CAPA3_EXPANSION!CE35</f>
        <v>50</v>
      </c>
      <c r="CF18" s="88">
        <f>CAPA3_EXPANSION!CF35</f>
        <v>50</v>
      </c>
      <c r="CG18" s="88">
        <f>CAPA3_EXPANSION!CG35</f>
        <v>50</v>
      </c>
      <c r="CH18" s="88">
        <f>CAPA3_EXPANSION!CH35</f>
        <v>50</v>
      </c>
      <c r="CI18" s="88">
        <f>CAPA3_EXPANSION!CI35</f>
        <v>50</v>
      </c>
      <c r="CJ18" s="88">
        <f>CAPA3_EXPANSION!CJ35</f>
        <v>50</v>
      </c>
      <c r="CK18" s="88">
        <f>CAPA3_EXPANSION!CK35</f>
        <v>50</v>
      </c>
      <c r="CL18" s="88">
        <f>CAPA3_EXPANSION!CL35</f>
        <v>50</v>
      </c>
      <c r="CM18" s="88">
        <f>CAPA3_EXPANSION!CM35</f>
        <v>50</v>
      </c>
      <c r="CN18" s="88">
        <f>CAPA3_EXPANSION!CN35</f>
        <v>50</v>
      </c>
      <c r="CO18" s="88">
        <f>CAPA3_EXPANSION!CO35</f>
        <v>50</v>
      </c>
      <c r="CP18" s="88">
        <f>CAPA3_EXPANSION!CP35</f>
        <v>50</v>
      </c>
      <c r="CQ18" s="88">
        <f>CAPA3_EXPANSION!CQ35</f>
        <v>50</v>
      </c>
      <c r="CR18" s="88">
        <f>CAPA3_EXPANSION!CR35</f>
        <v>50</v>
      </c>
      <c r="CS18" s="88">
        <f>CAPA3_EXPANSION!CS35</f>
        <v>50</v>
      </c>
      <c r="CT18" s="88">
        <f>CAPA3_EXPANSION!CT35</f>
        <v>50</v>
      </c>
      <c r="CU18" s="88">
        <f>CAPA3_EXPANSION!CU35</f>
        <v>50</v>
      </c>
      <c r="CV18" s="88">
        <f>CAPA3_EXPANSION!CV35</f>
        <v>50</v>
      </c>
      <c r="CW18" s="88">
        <f>CAPA3_EXPANSION!CW35</f>
        <v>50</v>
      </c>
      <c r="CX18" s="88">
        <f>CAPA3_EXPANSION!CX35</f>
        <v>50</v>
      </c>
      <c r="CY18" s="88">
        <f>CAPA3_EXPANSION!CY35</f>
        <v>50</v>
      </c>
      <c r="CZ18" s="88">
        <f>CAPA3_EXPANSION!CZ35</f>
        <v>50</v>
      </c>
      <c r="DA18" s="88">
        <f>CAPA3_EXPANSION!DA35</f>
        <v>50</v>
      </c>
      <c r="DB18" s="88">
        <f>CAPA3_EXPANSION!DB35</f>
        <v>50</v>
      </c>
      <c r="DC18" s="88">
        <f>CAPA3_EXPANSION!DC35</f>
        <v>50</v>
      </c>
      <c r="DD18" s="88">
        <f>CAPA3_EXPANSION!DD35</f>
        <v>50</v>
      </c>
      <c r="DE18" s="88">
        <f>CAPA3_EXPANSION!DE35</f>
        <v>50</v>
      </c>
      <c r="DF18" s="88">
        <f>CAPA3_EXPANSION!DF35</f>
        <v>50</v>
      </c>
      <c r="DG18" s="88">
        <f>CAPA3_EXPANSION!DG35</f>
        <v>50</v>
      </c>
      <c r="DH18" s="88">
        <f>CAPA3_EXPANSION!DH35</f>
        <v>50</v>
      </c>
      <c r="DI18" s="88">
        <f>CAPA3_EXPANSION!DI35</f>
        <v>50</v>
      </c>
      <c r="DJ18" s="88">
        <f>CAPA3_EXPANSION!DJ35</f>
        <v>50</v>
      </c>
      <c r="DK18" s="88">
        <f>CAPA3_EXPANSION!DK35</f>
        <v>50</v>
      </c>
      <c r="DL18" s="88">
        <f>CAPA3_EXPANSION!DL35</f>
        <v>50</v>
      </c>
      <c r="DM18" s="88">
        <f>CAPA3_EXPANSION!DM35</f>
        <v>50</v>
      </c>
      <c r="DN18" s="88">
        <f>CAPA3_EXPANSION!DN35</f>
        <v>50</v>
      </c>
      <c r="DO18" s="88">
        <f>CAPA3_EXPANSION!DO35</f>
        <v>50</v>
      </c>
      <c r="DP18" s="88">
        <f>CAPA3_EXPANSION!DP35</f>
        <v>50</v>
      </c>
      <c r="DQ18" s="88">
        <f>CAPA3_EXPANSION!DQ35</f>
        <v>50</v>
      </c>
      <c r="DR18" s="88">
        <f>CAPA3_EXPANSION!DR35</f>
        <v>50</v>
      </c>
      <c r="DS18" s="88">
        <f>CAPA3_EXPANSION!DS35</f>
        <v>50</v>
      </c>
    </row>
    <row r="19" spans="1:123" ht="15" customHeight="1" x14ac:dyDescent="0.2">
      <c r="B19" s="37" t="s">
        <v>1121</v>
      </c>
      <c r="D19" s="77">
        <f>SUP_OVERHEAD!D36</f>
        <v>0</v>
      </c>
      <c r="E19" s="77">
        <f>SUP_OVERHEAD!E36</f>
        <v>15714.999999999998</v>
      </c>
      <c r="F19" s="77">
        <f>SUP_OVERHEAD!F36</f>
        <v>15714.999999999998</v>
      </c>
      <c r="G19" s="77">
        <f>SUP_OVERHEAD!G36</f>
        <v>15714.999999999998</v>
      </c>
      <c r="H19" s="77">
        <f>SUP_OVERHEAD!H36</f>
        <v>15714.999999999998</v>
      </c>
      <c r="I19" s="77">
        <f>SUP_OVERHEAD!I36</f>
        <v>17828.182747177907</v>
      </c>
      <c r="J19" s="77">
        <f>SUP_OVERHEAD!J36</f>
        <v>25553.728604288335</v>
      </c>
      <c r="K19" s="77">
        <f>SUP_OVERHEAD!K36</f>
        <v>34170.683598757656</v>
      </c>
      <c r="L19" s="77">
        <f>SUP_OVERHEAD!L36</f>
        <v>36740.039347615646</v>
      </c>
      <c r="M19" s="77">
        <f>SUP_OVERHEAD!M36</f>
        <v>38103.370969458665</v>
      </c>
      <c r="N19" s="77">
        <f>SUP_OVERHEAD!N36</f>
        <v>38103.370969458665</v>
      </c>
      <c r="O19" s="77">
        <f>SUP_OVERHEAD!O36</f>
        <v>38103.370969458665</v>
      </c>
      <c r="P19" s="77">
        <f>SUP_OVERHEAD!P36</f>
        <v>33340.449598276333</v>
      </c>
      <c r="Q19" s="77">
        <f>SUP_OVERHEAD!Q36</f>
        <v>33340.449598276333</v>
      </c>
      <c r="R19" s="77">
        <f>SUP_OVERHEAD!R36</f>
        <v>33340.449598276333</v>
      </c>
      <c r="S19" s="77">
        <f>SUP_OVERHEAD!S36</f>
        <v>33340.449598276333</v>
      </c>
      <c r="T19" s="77">
        <f>SUP_OVERHEAD!T36</f>
        <v>35328.6415467974</v>
      </c>
      <c r="U19" s="77">
        <f>SUP_OVERHEAD!U36</f>
        <v>35787.455073379184</v>
      </c>
      <c r="V19" s="77">
        <f>SUP_OVERHEAD!V36</f>
        <v>38081.522706288102</v>
      </c>
      <c r="W19" s="77">
        <f>SUP_OVERHEAD!W36</f>
        <v>40834.403865778819</v>
      </c>
      <c r="X19" s="77">
        <f>SUP_OVERHEAD!X36</f>
        <v>41599.093076748453</v>
      </c>
      <c r="Y19" s="77">
        <f>SUP_OVERHEAD!Y36</f>
        <v>42210.844445524162</v>
      </c>
      <c r="Z19" s="77">
        <f>SUP_OVERHEAD!Z36</f>
        <v>42516.720129912021</v>
      </c>
      <c r="AA19" s="77">
        <f>SUP_OVERHEAD!AA36</f>
        <v>42516.720129912021</v>
      </c>
      <c r="AB19" s="77">
        <f>SUP_OVERHEAD!AB36</f>
        <v>36442.902968496019</v>
      </c>
      <c r="AC19" s="77">
        <f>SUP_OVERHEAD!AC36</f>
        <v>36442.902968496019</v>
      </c>
      <c r="AD19" s="77">
        <f>SUP_OVERHEAD!AD36</f>
        <v>36206.941726253957</v>
      </c>
      <c r="AE19" s="77">
        <f>SUP_OVERHEAD!AE36</f>
        <v>36206.941726253957</v>
      </c>
      <c r="AF19" s="77">
        <f>SUP_OVERHEAD!AF36</f>
        <v>38355.893195184013</v>
      </c>
      <c r="AG19" s="77">
        <f>SUP_OVERHEAD!AG36</f>
        <v>40504.844664114062</v>
      </c>
      <c r="AH19" s="77">
        <f>SUP_OVERHEAD!AH36</f>
        <v>41216.923257368995</v>
      </c>
      <c r="AI19" s="77">
        <f>SUP_OVERHEAD!AI36</f>
        <v>43454.884550455907</v>
      </c>
      <c r="AJ19" s="77">
        <f>SUP_OVERHEAD!AJ36</f>
        <v>45743.7086002039</v>
      </c>
      <c r="AK19" s="77">
        <f>SUP_OVERHEAD!AK36</f>
        <v>46379.493058467226</v>
      </c>
      <c r="AL19" s="77">
        <f>SUP_OVERHEAD!AL36</f>
        <v>46416.198140593769</v>
      </c>
      <c r="AM19" s="77">
        <f>SUP_OVERHEAD!AM36</f>
        <v>48757.523566740616</v>
      </c>
      <c r="AN19" s="77">
        <f>SUP_OVERHEAD!AN36</f>
        <v>46613.49888115553</v>
      </c>
      <c r="AO19" s="77">
        <f>SUP_OVERHEAD!AO36</f>
        <v>48725.646950774768</v>
      </c>
      <c r="AP19" s="77">
        <f>SUP_OVERHEAD!AP36</f>
        <v>51064.907716052003</v>
      </c>
      <c r="AQ19" s="77">
        <f>SUP_OVERHEAD!AQ36</f>
        <v>51859.802150854935</v>
      </c>
      <c r="AR19" s="77">
        <f>SUP_OVERHEAD!AR36</f>
        <v>54233.129820480863</v>
      </c>
      <c r="AS19" s="77">
        <f>SUP_OVERHEAD!AS36</f>
        <v>54903.112272671919</v>
      </c>
      <c r="AT19" s="77">
        <f>SUP_OVERHEAD!AT36</f>
        <v>56674.591298804189</v>
      </c>
      <c r="AU19" s="77">
        <f>SUP_OVERHEAD!AU36</f>
        <v>58786.739368423427</v>
      </c>
      <c r="AV19" s="77">
        <f>SUP_OVERHEAD!AV36</f>
        <v>59354.521107568376</v>
      </c>
      <c r="AW19" s="77">
        <f>SUP_OVERHEAD!AW36</f>
        <v>59808.746498884349</v>
      </c>
      <c r="AX19" s="77">
        <f>SUP_OVERHEAD!AX36</f>
        <v>60035.859194542332</v>
      </c>
      <c r="AY19" s="77">
        <f>SUP_OVERHEAD!AY36</f>
        <v>60035.859194542332</v>
      </c>
      <c r="AZ19" s="77">
        <f>SUP_OVERHEAD!AZ36</f>
        <v>54578.053813220307</v>
      </c>
      <c r="BA19" s="77">
        <f>SUP_OVERHEAD!BA36</f>
        <v>53764.206010116905</v>
      </c>
      <c r="BB19" s="77">
        <f>SUP_OVERHEAD!BB36</f>
        <v>53764.206010116905</v>
      </c>
      <c r="BC19" s="77">
        <f>SUP_OVERHEAD!BC36</f>
        <v>53764.206010116905</v>
      </c>
      <c r="BD19" s="77">
        <f>SUP_OVERHEAD!BD36</f>
        <v>56377.258285316027</v>
      </c>
      <c r="BE19" s="77">
        <f>SUP_OVERHEAD!BE36</f>
        <v>58286.796486423074</v>
      </c>
      <c r="BF19" s="77">
        <f>SUP_OVERHEAD!BF36</f>
        <v>59887.181763666675</v>
      </c>
      <c r="BG19" s="77">
        <f>SUP_OVERHEAD!BG36</f>
        <v>62138.645283392994</v>
      </c>
      <c r="BH19" s="77">
        <f>SUP_OVERHEAD!BH36</f>
        <v>64163.979279304018</v>
      </c>
      <c r="BI19" s="77">
        <f>SUP_OVERHEAD!BI36</f>
        <v>66189.313275215027</v>
      </c>
      <c r="BJ19" s="77">
        <f>SUP_OVERHEAD!BJ36</f>
        <v>68539.09397920889</v>
      </c>
      <c r="BK19" s="77">
        <f>SUP_OVERHEAD!BK36</f>
        <v>69554.382768744865</v>
      </c>
      <c r="BL19" s="77">
        <f>SUP_OVERHEAD!BL36</f>
        <v>64381.238408272067</v>
      </c>
      <c r="BM19" s="77">
        <f>SUP_OVERHEAD!BM36</f>
        <v>66163.532324673768</v>
      </c>
      <c r="BN19" s="77">
        <f>SUP_OVERHEAD!BN36</f>
        <v>68231.339344188367</v>
      </c>
      <c r="BO19" s="77">
        <f>SUP_OVERHEAD!BO36</f>
        <v>70039.5889972367</v>
      </c>
      <c r="BP19" s="77">
        <f>SUP_OVERHEAD!BP36</f>
        <v>70962.983991877307</v>
      </c>
      <c r="BQ19" s="77">
        <f>SUP_OVERHEAD!BQ36</f>
        <v>72714.897898340336</v>
      </c>
      <c r="BR19" s="77">
        <f>SUP_OVERHEAD!BR36</f>
        <v>74747.458207295014</v>
      </c>
      <c r="BS19" s="77">
        <f>SUP_OVERHEAD!BS36</f>
        <v>77630.462160163792</v>
      </c>
      <c r="BT19" s="77">
        <f>SUP_OVERHEAD!BT36</f>
        <v>79637.509159801048</v>
      </c>
      <c r="BU19" s="77">
        <f>SUP_OVERHEAD!BU36</f>
        <v>80516.858055889767</v>
      </c>
      <c r="BV19" s="77">
        <f>SUP_OVERHEAD!BV36</f>
        <v>82355.38940169249</v>
      </c>
      <c r="BW19" s="77">
        <f>SUP_OVERHEAD!BW36</f>
        <v>84352.703000087262</v>
      </c>
      <c r="BX19" s="77">
        <f>SUP_OVERHEAD!BX36</f>
        <v>76532.718025422088</v>
      </c>
      <c r="BY19" s="77">
        <f>SUP_OVERHEAD!BY36</f>
        <v>78062.970377888181</v>
      </c>
      <c r="BZ19" s="77">
        <f>SUP_OVERHEAD!BZ36</f>
        <v>79835.301486284108</v>
      </c>
      <c r="CA19" s="77">
        <f>SUP_OVERHEAD!CA36</f>
        <v>81810.034904692104</v>
      </c>
      <c r="CB19" s="77">
        <f>SUP_OVERHEAD!CB36</f>
        <v>83491.127666087763</v>
      </c>
      <c r="CC19" s="77">
        <f>SUP_OVERHEAD!CC36</f>
        <v>84195.865242917367</v>
      </c>
      <c r="CD19" s="77">
        <f>SUP_OVERHEAD!CD36</f>
        <v>84533.551998481562</v>
      </c>
      <c r="CE19" s="77">
        <f>SUP_OVERHEAD!CE36</f>
        <v>84680.372326987737</v>
      </c>
      <c r="CF19" s="77">
        <f>SUP_OVERHEAD!CF36</f>
        <v>84680.372326987737</v>
      </c>
      <c r="CG19" s="77">
        <f>SUP_OVERHEAD!CG36</f>
        <v>84680.372326987737</v>
      </c>
      <c r="CH19" s="77">
        <f>SUP_OVERHEAD!CH36</f>
        <v>84680.372326987737</v>
      </c>
      <c r="CI19" s="77">
        <f>SUP_OVERHEAD!CI36</f>
        <v>84680.372326987737</v>
      </c>
      <c r="CJ19" s="77">
        <f>SUP_OVERHEAD!CJ36</f>
        <v>84680.372326987737</v>
      </c>
      <c r="CK19" s="77">
        <f>SUP_OVERHEAD!CK36</f>
        <v>84680.372326987737</v>
      </c>
      <c r="CL19" s="77">
        <f>SUP_OVERHEAD!CL36</f>
        <v>84680.372326987737</v>
      </c>
      <c r="CM19" s="77">
        <f>SUP_OVERHEAD!CM36</f>
        <v>84680.372326987737</v>
      </c>
      <c r="CN19" s="77">
        <f>SUP_OVERHEAD!CN36</f>
        <v>84680.372326987737</v>
      </c>
      <c r="CO19" s="77">
        <f>SUP_OVERHEAD!CO36</f>
        <v>84680.372326987737</v>
      </c>
      <c r="CP19" s="77">
        <f>SUP_OVERHEAD!CP36</f>
        <v>84680.372326987737</v>
      </c>
      <c r="CQ19" s="77">
        <f>SUP_OVERHEAD!CQ36</f>
        <v>84680.372326987737</v>
      </c>
      <c r="CR19" s="77">
        <f>SUP_OVERHEAD!CR36</f>
        <v>84680.372326987737</v>
      </c>
      <c r="CS19" s="77">
        <f>SUP_OVERHEAD!CS36</f>
        <v>84680.372326987737</v>
      </c>
      <c r="CT19" s="77">
        <f>SUP_OVERHEAD!CT36</f>
        <v>84680.372326987737</v>
      </c>
      <c r="CU19" s="77">
        <f>SUP_OVERHEAD!CU36</f>
        <v>84680.372326987737</v>
      </c>
      <c r="CV19" s="77">
        <f>SUP_OVERHEAD!CV36</f>
        <v>84680.372326987737</v>
      </c>
      <c r="CW19" s="77">
        <f>SUP_OVERHEAD!CW36</f>
        <v>84680.372326987737</v>
      </c>
      <c r="CX19" s="77">
        <f>SUP_OVERHEAD!CX36</f>
        <v>84680.372326987737</v>
      </c>
      <c r="CY19" s="77">
        <f>SUP_OVERHEAD!CY36</f>
        <v>84680.372326987737</v>
      </c>
      <c r="CZ19" s="77">
        <f>SUP_OVERHEAD!CZ36</f>
        <v>84680.372326987737</v>
      </c>
      <c r="DA19" s="77">
        <f>SUP_OVERHEAD!DA36</f>
        <v>84680.372326987737</v>
      </c>
      <c r="DB19" s="77">
        <f>SUP_OVERHEAD!DB36</f>
        <v>84680.372326987737</v>
      </c>
      <c r="DC19" s="77">
        <f>SUP_OVERHEAD!DC36</f>
        <v>84680.372326987737</v>
      </c>
      <c r="DD19" s="77">
        <f>SUP_OVERHEAD!DD36</f>
        <v>84680.372326987737</v>
      </c>
      <c r="DE19" s="77">
        <f>SUP_OVERHEAD!DE36</f>
        <v>84680.372326987737</v>
      </c>
      <c r="DF19" s="77">
        <f>SUP_OVERHEAD!DF36</f>
        <v>84680.372326987737</v>
      </c>
      <c r="DG19" s="77">
        <f>SUP_OVERHEAD!DG36</f>
        <v>84680.372326987737</v>
      </c>
      <c r="DH19" s="77">
        <f>SUP_OVERHEAD!DH36</f>
        <v>84680.372326987737</v>
      </c>
      <c r="DI19" s="77">
        <f>SUP_OVERHEAD!DI36</f>
        <v>84680.372326987737</v>
      </c>
      <c r="DJ19" s="77">
        <f>SUP_OVERHEAD!DJ36</f>
        <v>84680.372326987737</v>
      </c>
      <c r="DK19" s="77">
        <f>SUP_OVERHEAD!DK36</f>
        <v>84680.372326987737</v>
      </c>
      <c r="DL19" s="77">
        <f>SUP_OVERHEAD!DL36</f>
        <v>84680.372326987737</v>
      </c>
      <c r="DM19" s="77">
        <f>SUP_OVERHEAD!DM36</f>
        <v>84680.372326987737</v>
      </c>
      <c r="DN19" s="77">
        <f>SUP_OVERHEAD!DN36</f>
        <v>84680.372326987737</v>
      </c>
      <c r="DO19" s="77">
        <f>SUP_OVERHEAD!DO36</f>
        <v>84680.372326987737</v>
      </c>
      <c r="DP19" s="77">
        <f>SUP_OVERHEAD!DP36</f>
        <v>84680.372326987737</v>
      </c>
      <c r="DQ19" s="77">
        <f>SUP_OVERHEAD!DQ36</f>
        <v>84680.372326987737</v>
      </c>
      <c r="DR19" s="77">
        <f>SUP_OVERHEAD!DR36</f>
        <v>84680.372326987737</v>
      </c>
      <c r="DS19" s="77">
        <f>SUP_OVERHEAD!DS36</f>
        <v>84680.372326987737</v>
      </c>
    </row>
    <row r="20" spans="1:123" ht="15" customHeight="1" x14ac:dyDescent="0.2">
      <c r="A20" s="25" t="s">
        <v>1122</v>
      </c>
      <c r="B20" s="26"/>
      <c r="C20" s="26"/>
    </row>
    <row r="21" spans="1:123" ht="15" customHeight="1" x14ac:dyDescent="0.2">
      <c r="B21" s="20" t="s">
        <v>1123</v>
      </c>
      <c r="C21" s="83">
        <f>SUP_CONTROL!$C$31</f>
        <v>0.25</v>
      </c>
    </row>
    <row r="22" spans="1:123" ht="15" customHeight="1" x14ac:dyDescent="0.2">
      <c r="B22" s="20" t="s">
        <v>1124</v>
      </c>
      <c r="C22" s="72">
        <f>SUM(D16:DS16)</f>
        <v>8935738.8824999984</v>
      </c>
    </row>
    <row r="23" spans="1:123" ht="15" customHeight="1" x14ac:dyDescent="0.2">
      <c r="B23" s="20" t="s">
        <v>1125</v>
      </c>
      <c r="C23" s="72">
        <f>SUP_CONTROL!$C$11*(SUM(CAPA1_PILOTO!D25:DS27)+SUM(CAPA1_PILOTO!D37:DS37))+SUP_CONTROL!$C$12*(SUP_CAPEX_FLAGSHIP!$H$55+SUP_CONTROL!$C$19*SUP_OPEX!$F$23+SUM(CAPA2_FLAGSHIP!D19:DS19))+SUP_CONTROL!$C$14*SUP_C4_RETAIL!$C$12+SUP_CONTROL!$C$13*SUP_CONTROL!$C$24</f>
        <v>1959622.4677499998</v>
      </c>
    </row>
    <row r="24" spans="1:123" ht="15" customHeight="1" x14ac:dyDescent="0.2">
      <c r="B24" s="20" t="s">
        <v>1126</v>
      </c>
      <c r="C24" s="72">
        <f>SUP_CONTROL!$C$13*(SUM(CAPA3_EXPANSION!D22:DS22)+SUM(CAPA3_EXPANSION!D29:DS29)+SUM(CAPA3_EXPANSION!D30:DS30)+SUM(CAPA3_EXPANSION!D59:DS59))-SUP_CONTROL!$C$13*SUP_CONTROL!$C$24</f>
        <v>6976116.4147499986</v>
      </c>
    </row>
    <row r="25" spans="1:123" ht="15" customHeight="1" x14ac:dyDescent="0.2">
      <c r="B25" s="20" t="s">
        <v>1127</v>
      </c>
      <c r="C25" s="75">
        <f>NPV(SUP_CONTROL!$C$32,D10:DS10)</f>
        <v>1227003.2854261987</v>
      </c>
    </row>
    <row r="26" spans="1:123" ht="15" customHeight="1" x14ac:dyDescent="0.2">
      <c r="B26" s="20" t="s">
        <v>1128</v>
      </c>
      <c r="C26" s="106">
        <f>IFERROR((1+IRR(D10:DS10,0.01))^12-1,"n/a")</f>
        <v>0.36264870678155892</v>
      </c>
    </row>
    <row r="27" spans="1:123" ht="15" customHeight="1" x14ac:dyDescent="0.2">
      <c r="B27" s="20" t="s">
        <v>1129</v>
      </c>
      <c r="C27" s="76">
        <f>IFERROR(IRR(D10:DS10,0.01),"n/a")</f>
        <v>2.612119684200187E-2</v>
      </c>
    </row>
    <row r="28" spans="1:123" ht="15" customHeight="1" x14ac:dyDescent="0.2">
      <c r="B28" s="20" t="s">
        <v>1130</v>
      </c>
      <c r="C28" s="93">
        <f>IF(COUNTIF(D11:DS11,"&lt;0")&gt;=120,"no recupera",COUNTIF(D11:DS11,"&lt;0")+1)</f>
        <v>71</v>
      </c>
    </row>
    <row r="29" spans="1:123" ht="15" customHeight="1" x14ac:dyDescent="0.2">
      <c r="B29" s="20" t="s">
        <v>954</v>
      </c>
      <c r="C29" s="93">
        <f>IF(COUNTIF(D13:DS13,"&lt;0")&gt;=120,"no recupera",COUNTIF(D13:DS13,"&lt;0")+1)</f>
        <v>90</v>
      </c>
    </row>
    <row r="30" spans="1:123" ht="15" customHeight="1" x14ac:dyDescent="0.2">
      <c r="B30" s="20" t="s">
        <v>1131</v>
      </c>
      <c r="C30" s="83">
        <f>IFERROR(C25/C23,"n/a")</f>
        <v>0.62614269106386589</v>
      </c>
    </row>
    <row r="31" spans="1:123" ht="15" customHeight="1" x14ac:dyDescent="0.2">
      <c r="B31" s="20" t="s">
        <v>1132</v>
      </c>
      <c r="C31" s="72">
        <f>NPV(SUP_CONTROL!$C$32,D10:AM10)</f>
        <v>-1445970.028331215</v>
      </c>
    </row>
    <row r="32" spans="1:123" ht="15" customHeight="1" x14ac:dyDescent="0.2">
      <c r="B32" s="20" t="s">
        <v>921</v>
      </c>
      <c r="C32" s="76">
        <f>IFERROR((1+IRR(D10:AM10,0.01))^12-1,"n/a")</f>
        <v>-0.62742816377786825</v>
      </c>
    </row>
    <row r="33" spans="1:14" ht="15" customHeight="1" x14ac:dyDescent="0.2">
      <c r="B33" s="20" t="s">
        <v>1133</v>
      </c>
      <c r="C33" s="83">
        <f>DS18</f>
        <v>50</v>
      </c>
    </row>
    <row r="34" spans="1:14" ht="15" customHeight="1" x14ac:dyDescent="0.2">
      <c r="B34" s="20" t="s">
        <v>1134</v>
      </c>
      <c r="C34" s="83">
        <f>AVERAGE(DH17:DS17)</f>
        <v>326.24883199999988</v>
      </c>
    </row>
    <row r="35" spans="1:14" ht="15" customHeight="1" x14ac:dyDescent="0.2">
      <c r="B35" s="20" t="s">
        <v>1135</v>
      </c>
      <c r="C35" s="76">
        <f>C34/200</f>
        <v>1.6312441599999994</v>
      </c>
    </row>
    <row r="36" spans="1:14" ht="15" customHeight="1" x14ac:dyDescent="0.2">
      <c r="B36" s="20" t="s">
        <v>1136</v>
      </c>
      <c r="C36" s="72">
        <f>SUM(DH15:DS15)</f>
        <v>4765603.7050963081</v>
      </c>
    </row>
    <row r="37" spans="1:14" ht="15" customHeight="1" x14ac:dyDescent="0.2">
      <c r="B37" t="s">
        <v>1137</v>
      </c>
      <c r="C37">
        <f>C22-C23-C24</f>
        <v>0</v>
      </c>
    </row>
    <row r="38" spans="1:14" ht="15" customHeight="1" x14ac:dyDescent="0.2">
      <c r="A38" s="25" t="s">
        <v>1138</v>
      </c>
      <c r="B38" s="26" t="s">
        <v>1139</v>
      </c>
      <c r="C38" s="26" t="str">
        <f>IF(ABS(C37)&lt;1,"OK","REVISAR")</f>
        <v>OK</v>
      </c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</row>
    <row r="39" spans="1:14" ht="15" customHeight="1" x14ac:dyDescent="0.2">
      <c r="B39" s="20" t="s">
        <v>1140</v>
      </c>
      <c r="D39" s="83">
        <v>1</v>
      </c>
      <c r="E39" s="83">
        <v>2</v>
      </c>
      <c r="F39" s="83">
        <v>3</v>
      </c>
      <c r="G39" s="83">
        <v>4</v>
      </c>
      <c r="H39" s="83">
        <v>5</v>
      </c>
      <c r="I39" s="83">
        <v>6</v>
      </c>
      <c r="J39" s="83">
        <v>7</v>
      </c>
      <c r="K39" s="83">
        <v>8</v>
      </c>
      <c r="L39" s="83">
        <v>9</v>
      </c>
      <c r="M39" s="83">
        <v>10</v>
      </c>
    </row>
    <row r="40" spans="1:14" ht="15" customHeight="1" x14ac:dyDescent="0.2">
      <c r="B40" s="20" t="s">
        <v>1141</v>
      </c>
      <c r="D40" s="77">
        <f>SUM(D14:O14)</f>
        <v>3054168.7086127447</v>
      </c>
      <c r="E40" s="77">
        <f>SUM(P14:AA14)</f>
        <v>6460531.4195349347</v>
      </c>
      <c r="F40" s="77">
        <f>SUM(AB14:AM14)</f>
        <v>8268819.3070438085</v>
      </c>
      <c r="G40" s="77">
        <f>SUM(AN14:AY14)</f>
        <v>12038116.62645009</v>
      </c>
      <c r="H40" s="77">
        <f>SUM(AZ14:BK14)</f>
        <v>14420146.459296852</v>
      </c>
      <c r="I40" s="77">
        <f>SUM(BL14:BW14)</f>
        <v>19816310.243322622</v>
      </c>
      <c r="J40" s="77">
        <f>SUM(BX14:CI14)</f>
        <v>24796585.783417795</v>
      </c>
      <c r="K40" s="77">
        <f>SUM(CJ14:CU14)</f>
        <v>25404111.698096316</v>
      </c>
      <c r="L40" s="77">
        <f>SUM(CV14:DG14)</f>
        <v>25404111.698096316</v>
      </c>
      <c r="M40" s="77">
        <f>SUM(DH14:DS14)</f>
        <v>25404111.698096316</v>
      </c>
    </row>
    <row r="41" spans="1:14" ht="15" customHeight="1" x14ac:dyDescent="0.2">
      <c r="B41" s="20" t="s">
        <v>1142</v>
      </c>
      <c r="D41" s="77">
        <f>SUM(D15:O15)</f>
        <v>394476.1871012685</v>
      </c>
      <c r="E41" s="77">
        <f>SUM(P15:AA15)</f>
        <v>1103745.81914057</v>
      </c>
      <c r="F41" s="77">
        <f>SUM(AB15:AM15)</f>
        <v>1442578.7574944182</v>
      </c>
      <c r="G41" s="77">
        <f>SUM(AN15:AY15)</f>
        <v>2234201.6044426654</v>
      </c>
      <c r="H41" s="77">
        <f>SUM(AZ15:BK15)</f>
        <v>2566007.84343349</v>
      </c>
      <c r="I41" s="77">
        <f>SUM(BL15:BW15)</f>
        <v>3644497.8912969558</v>
      </c>
      <c r="J41" s="77">
        <f>SUM(BX15:CI15)</f>
        <v>4666811.6113013169</v>
      </c>
      <c r="K41" s="77">
        <f>SUM(CJ15:CU15)</f>
        <v>4765603.7050963081</v>
      </c>
      <c r="L41" s="77">
        <f>SUM(CV15:DG15)</f>
        <v>4765603.7050963081</v>
      </c>
      <c r="M41" s="77">
        <f>SUM(DH15:DS15)</f>
        <v>4765603.7050963081</v>
      </c>
    </row>
    <row r="42" spans="1:14" ht="15" customHeight="1" x14ac:dyDescent="0.2">
      <c r="B42" s="20" t="s">
        <v>1143</v>
      </c>
      <c r="D42" s="77">
        <f>SUM(D10:O10)</f>
        <v>-1678646.065770485</v>
      </c>
      <c r="E42" s="77">
        <f>SUM(P10:AA10)</f>
        <v>142857.58624160971</v>
      </c>
      <c r="F42" s="77">
        <f>SUM(AB10:AM10)</f>
        <v>132143.53554127435</v>
      </c>
      <c r="G42" s="77">
        <f>SUM(AN10:AY10)</f>
        <v>600126.37146761722</v>
      </c>
      <c r="H42" s="77">
        <f>SUM(AZ10:BK10)</f>
        <v>163285.65686543661</v>
      </c>
      <c r="I42" s="77">
        <f>SUM(BL10:BW10)</f>
        <v>856963.23338269908</v>
      </c>
      <c r="J42" s="77">
        <f>SUM(BX10:CI10)</f>
        <v>2407031.3484280361</v>
      </c>
      <c r="K42" s="77">
        <f>SUM(CJ10:CU10)</f>
        <v>3422466.7473685634</v>
      </c>
      <c r="L42" s="77">
        <f>SUM(CV10:DG10)</f>
        <v>3422466.7473685634</v>
      </c>
      <c r="M42" s="77">
        <f>SUM(DH10:DS10)</f>
        <v>3422466.7473685634</v>
      </c>
    </row>
    <row r="43" spans="1:14" ht="15" customHeight="1" x14ac:dyDescent="0.2">
      <c r="B43" s="20" t="s">
        <v>1144</v>
      </c>
      <c r="D43" s="77">
        <f>SUM(D16:O16)</f>
        <v>1959622.4677500001</v>
      </c>
      <c r="E43" s="77">
        <f>SUM(P16:AA16)</f>
        <v>650857.21899999992</v>
      </c>
      <c r="F43" s="77">
        <f>SUM(AB16:AM16)</f>
        <v>913063.66649999982</v>
      </c>
      <c r="G43" s="77">
        <f>SUM(AN16:AY16)</f>
        <v>995943.79224999994</v>
      </c>
      <c r="H43" s="77">
        <f>SUM(AZ16:BK16)</f>
        <v>1701465.0464999995</v>
      </c>
      <c r="I43" s="77">
        <f>SUM(BL16:BW16)</f>
        <v>1771842.8982499994</v>
      </c>
      <c r="J43" s="77">
        <f>SUM(BX16:CI16)</f>
        <v>942943.79224999994</v>
      </c>
      <c r="K43" s="77">
        <f>SUM(CJ16:CU16)</f>
        <v>0</v>
      </c>
      <c r="L43" s="77">
        <f>SUM(CV16:DG16)</f>
        <v>0</v>
      </c>
      <c r="M43" s="77">
        <f>SUM(DH16:DS16)</f>
        <v>0</v>
      </c>
    </row>
    <row r="44" spans="1:14" ht="15" customHeight="1" x14ac:dyDescent="0.2">
      <c r="B44" s="20" t="s">
        <v>1145</v>
      </c>
      <c r="D44" s="99">
        <f>AVERAGE(D17:O17)</f>
        <v>39.222744166666665</v>
      </c>
      <c r="E44" s="99">
        <f>AVERAGE(P17:AA17)</f>
        <v>82.968491666666679</v>
      </c>
      <c r="F44" s="99">
        <f>AVERAGE(AB17:AM17)</f>
        <v>106.19118168750002</v>
      </c>
      <c r="G44" s="99">
        <f>AVERAGE(AN17:AY17)</f>
        <v>154.59786728750001</v>
      </c>
      <c r="H44" s="99">
        <f>AVERAGE(AZ17:BK17)</f>
        <v>185.18875981666667</v>
      </c>
      <c r="I44" s="99">
        <f>AVERAGE(BL17:BW17)</f>
        <v>254.48825561250001</v>
      </c>
      <c r="J44" s="99">
        <f>AVERAGE(BX17:CI17)</f>
        <v>318.4467634833332</v>
      </c>
      <c r="K44" s="99">
        <f>AVERAGE(CJ17:CU17)</f>
        <v>326.24883199999988</v>
      </c>
      <c r="L44" s="99">
        <f>AVERAGE(CV17:DG17)</f>
        <v>326.24883199999988</v>
      </c>
      <c r="M44" s="99">
        <f>AVERAGE(DH17:DS17)</f>
        <v>326.24883199999988</v>
      </c>
    </row>
    <row r="45" spans="1:14" ht="15" customHeight="1" x14ac:dyDescent="0.2">
      <c r="B45" s="20" t="s">
        <v>1146</v>
      </c>
      <c r="D45" s="88">
        <f>O18</f>
        <v>10</v>
      </c>
      <c r="E45" s="88">
        <f>AA18</f>
        <v>13</v>
      </c>
      <c r="F45" s="88">
        <f>AM18</f>
        <v>21</v>
      </c>
      <c r="G45" s="88">
        <f>AY18</f>
        <v>24</v>
      </c>
      <c r="H45" s="88">
        <f>BK18</f>
        <v>35</v>
      </c>
      <c r="I45" s="88">
        <f>BW18</f>
        <v>47</v>
      </c>
      <c r="J45" s="88">
        <f>CI18</f>
        <v>50</v>
      </c>
      <c r="K45" s="88">
        <f>CU18</f>
        <v>50</v>
      </c>
      <c r="L45" s="88">
        <f>DG18</f>
        <v>50</v>
      </c>
      <c r="M45" s="88">
        <f>DS18</f>
        <v>50</v>
      </c>
    </row>
    <row r="47" spans="1:14" ht="15" customHeight="1" x14ac:dyDescent="0.2">
      <c r="A47" s="25" t="s">
        <v>1147</v>
      </c>
      <c r="B47" s="26"/>
      <c r="C47" s="26"/>
      <c r="D47" s="26"/>
      <c r="E47" s="26"/>
      <c r="F47" s="26"/>
      <c r="G47" s="26"/>
      <c r="H47" s="26"/>
    </row>
    <row r="48" spans="1:14" ht="15" customHeight="1" x14ac:dyDescent="0.2">
      <c r="B48" s="20" t="s">
        <v>1148</v>
      </c>
      <c r="C48" s="20" t="s">
        <v>1149</v>
      </c>
      <c r="D48" s="20" t="s">
        <v>1150</v>
      </c>
      <c r="E48" s="20" t="s">
        <v>953</v>
      </c>
      <c r="F48" s="20" t="s">
        <v>1151</v>
      </c>
    </row>
    <row r="49" spans="2:8" ht="15" customHeight="1" x14ac:dyDescent="0.2">
      <c r="B49" s="37" t="s">
        <v>1152</v>
      </c>
      <c r="C49" s="85">
        <f>CAPA1_PILOTO!$C$43</f>
        <v>758234.88730744575</v>
      </c>
      <c r="D49" s="36">
        <f>CAPA1_PILOTO!$C$44</f>
        <v>0.37840267751853851</v>
      </c>
      <c r="E49" s="73">
        <f>CAPA1_PILOTO!$C$45</f>
        <v>40</v>
      </c>
      <c r="F49" s="73">
        <f>CAPA1_PILOTO!$C$46</f>
        <v>64</v>
      </c>
    </row>
    <row r="50" spans="2:8" ht="15" customHeight="1" x14ac:dyDescent="0.2">
      <c r="B50" s="37" t="s">
        <v>1153</v>
      </c>
      <c r="C50" s="85">
        <f>CAPA2_FLAGSHIP!$C$38</f>
        <v>-154312.24827616272</v>
      </c>
      <c r="D50" s="36">
        <f>CAPA2_FLAGSHIP!$C$39</f>
        <v>0.13019015347147977</v>
      </c>
      <c r="E50" s="73">
        <f>CAPA2_FLAGSHIP!$C$36</f>
        <v>71</v>
      </c>
      <c r="F50" s="73">
        <f>CAPA2_FLAGSHIP!$C$37</f>
        <v>118</v>
      </c>
    </row>
    <row r="51" spans="2:8" ht="15" customHeight="1" x14ac:dyDescent="0.2">
      <c r="B51" s="37" t="s">
        <v>1154</v>
      </c>
      <c r="C51" s="85">
        <f>CAPA3_EXPANSION!$C$61</f>
        <v>468768.39811875299</v>
      </c>
      <c r="D51" s="104" t="str">
        <f>"autofinanciada"</f>
        <v>autofinanciada</v>
      </c>
      <c r="E51" s="104" t="str">
        <f>"n/a"</f>
        <v>n/a</v>
      </c>
      <c r="F51" s="104" t="str">
        <f>"n/a"</f>
        <v>n/a</v>
      </c>
    </row>
    <row r="52" spans="2:8" ht="15" customHeight="1" x14ac:dyDescent="0.2">
      <c r="B52" s="37" t="s">
        <v>1155</v>
      </c>
      <c r="C52" s="85">
        <f>CAPA4_RETAIL!$C$27</f>
        <v>161797.40501175966</v>
      </c>
      <c r="D52" s="36">
        <f>CAPA4_RETAIL!$C$28</f>
        <v>0.52172991748129216</v>
      </c>
      <c r="E52" s="73">
        <f>CAPA4_RETAIL!$C$29</f>
        <v>36</v>
      </c>
      <c r="F52" s="73">
        <f>CAPA4_RETAIL!$C$30</f>
        <v>48</v>
      </c>
    </row>
    <row r="54" spans="2:8" ht="15" customHeight="1" x14ac:dyDescent="0.2">
      <c r="B54" s="23" t="s">
        <v>1156</v>
      </c>
    </row>
    <row r="56" spans="2:8" ht="15" customHeight="1" x14ac:dyDescent="0.2">
      <c r="B56" s="107" t="s">
        <v>1157</v>
      </c>
      <c r="C56" s="108"/>
      <c r="D56" s="108"/>
      <c r="E56" s="108"/>
      <c r="F56" s="108"/>
    </row>
    <row r="57" spans="2:8" ht="15" customHeight="1" x14ac:dyDescent="0.2">
      <c r="B57" s="3" t="s">
        <v>1158</v>
      </c>
      <c r="C57" s="3"/>
      <c r="D57" s="3"/>
      <c r="E57" s="3"/>
      <c r="F57" s="3"/>
      <c r="G57" s="3"/>
      <c r="H57" s="3"/>
    </row>
    <row r="59" spans="2:8" ht="15" customHeight="1" x14ac:dyDescent="0.2">
      <c r="B59" s="109" t="s">
        <v>1159</v>
      </c>
      <c r="C59" s="110">
        <v>0.03</v>
      </c>
    </row>
    <row r="60" spans="2:8" ht="15" customHeight="1" x14ac:dyDescent="0.2">
      <c r="B60" s="111" t="s">
        <v>1160</v>
      </c>
      <c r="C60" s="112">
        <f>SUM(DH10:DS10)</f>
        <v>3422466.7473685634</v>
      </c>
    </row>
    <row r="61" spans="2:8" ht="15" customHeight="1" x14ac:dyDescent="0.2">
      <c r="B61" s="111" t="s">
        <v>1161</v>
      </c>
      <c r="C61" s="113">
        <f>SUP_CONTROL!$C$31</f>
        <v>0.25</v>
      </c>
    </row>
    <row r="62" spans="2:8" ht="15" customHeight="1" x14ac:dyDescent="0.2">
      <c r="B62" s="111" t="s">
        <v>1162</v>
      </c>
      <c r="C62" s="114">
        <f>C60*(1+C59)/(C61-C59)</f>
        <v>16023367.044498274</v>
      </c>
    </row>
    <row r="63" spans="2:8" ht="15" customHeight="1" x14ac:dyDescent="0.2">
      <c r="B63" s="111" t="s">
        <v>1163</v>
      </c>
      <c r="C63" s="114">
        <f>C62/(1+C61)^10</f>
        <v>1720495.9356981067</v>
      </c>
    </row>
    <row r="65" spans="2:3" ht="15" customHeight="1" x14ac:dyDescent="0.2">
      <c r="B65" s="115" t="s">
        <v>1164</v>
      </c>
      <c r="C65" s="116">
        <f>C25+C63</f>
        <v>2947499.2211243054</v>
      </c>
    </row>
    <row r="67" spans="2:3" ht="15" customHeight="1" x14ac:dyDescent="0.2">
      <c r="B67" s="109" t="s">
        <v>1165</v>
      </c>
    </row>
    <row r="68" spans="2:3" ht="15" customHeight="1" x14ac:dyDescent="0.2">
      <c r="B68" s="109" t="s">
        <v>1166</v>
      </c>
      <c r="C68" s="109" t="s">
        <v>1167</v>
      </c>
    </row>
    <row r="69" spans="2:3" ht="15" customHeight="1" x14ac:dyDescent="0.2">
      <c r="B69" s="117">
        <v>0</v>
      </c>
      <c r="C69" s="114">
        <f>C60*(1+B69)/(C61-B69)/(1+C61)^10+$C$25</f>
        <v>2696941.5605857461</v>
      </c>
    </row>
    <row r="70" spans="2:3" ht="15" customHeight="1" x14ac:dyDescent="0.2">
      <c r="B70" s="117">
        <v>0.02</v>
      </c>
      <c r="C70" s="114">
        <f>C60*(1+B70)/(C61-B70)/(1+C61)^10+$C$25</f>
        <v>2856717.4600596102</v>
      </c>
    </row>
    <row r="71" spans="2:3" ht="15" customHeight="1" x14ac:dyDescent="0.2">
      <c r="B71" s="117">
        <v>0.03</v>
      </c>
      <c r="C71" s="114">
        <f>C60*(1+B71)/(C61-B71)/(1+C61)^10+$C$25</f>
        <v>2947499.2211243054</v>
      </c>
    </row>
    <row r="72" spans="2:3" ht="15" customHeight="1" x14ac:dyDescent="0.2">
      <c r="B72" s="117">
        <v>0.04</v>
      </c>
      <c r="C72" s="114">
        <f>C60*(1+B72)/(C61-B72)/(1+C61)^10+$C$25</f>
        <v>3046926.8641951624</v>
      </c>
    </row>
    <row r="73" spans="2:3" ht="15" customHeight="1" x14ac:dyDescent="0.2">
      <c r="B73" s="117">
        <v>0.05</v>
      </c>
      <c r="C73" s="114">
        <f>C60*(1+B73)/(C61-B73)/(1+C61)^10+$C$25</f>
        <v>3156297.2715731049</v>
      </c>
    </row>
  </sheetData>
  <mergeCells count="1">
    <mergeCell ref="B57:H57"/>
  </mergeCells>
  <pageMargins left="0.75" right="0.75" top="1" bottom="1" header="0.511811023622047" footer="0.511811023622047"/>
  <pageSetup paperSize="9" orientation="portrait" horizontalDpi="300" verticalDpi="300"/>
  <legacy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ED8B2B"/>
  </sheetPr>
  <dimension ref="B1:Z179"/>
  <sheetViews>
    <sheetView showGridLines="0" zoomScale="140" zoomScaleNormal="140" workbookViewId="0">
      <pane xSplit="2" ySplit="12" topLeftCell="C101" activePane="bottomRight" state="frozen"/>
      <selection pane="topRight" activeCell="C1" sqref="C1"/>
      <selection pane="bottomLeft" activeCell="A13" sqref="A13"/>
      <selection pane="bottomRight" activeCell="J117" sqref="J117"/>
    </sheetView>
  </sheetViews>
  <sheetFormatPr baseColWidth="10" defaultColWidth="8.6640625" defaultRowHeight="15" outlineLevelRow="3" x14ac:dyDescent="0.2"/>
  <cols>
    <col min="1" max="1" width="2" customWidth="1"/>
    <col min="2" max="2" width="46" customWidth="1"/>
    <col min="3" max="23" width="11.5" customWidth="1"/>
  </cols>
  <sheetData>
    <row r="1" spans="2:26" ht="21.75" customHeight="1" x14ac:dyDescent="0.2">
      <c r="B1" s="2" t="s">
        <v>1168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2:26" ht="25.5" customHeight="1" x14ac:dyDescent="0.2">
      <c r="B2" s="1" t="s">
        <v>1169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2:26" ht="15" customHeight="1" x14ac:dyDescent="0.2">
      <c r="B3" s="109" t="s">
        <v>1170</v>
      </c>
      <c r="C3" s="118" t="str">
        <f>SUP_CONTROL!$C$7</f>
        <v>MEDIO</v>
      </c>
    </row>
    <row r="4" spans="2:26" ht="15" customHeight="1" x14ac:dyDescent="0.2">
      <c r="B4" s="109" t="s">
        <v>1171</v>
      </c>
      <c r="C4" s="119">
        <f>SUP_CONTROL!$C$11</f>
        <v>1</v>
      </c>
      <c r="D4" s="119">
        <f>SUP_CONTROL!$C$12</f>
        <v>0</v>
      </c>
      <c r="E4" s="119">
        <f>SUP_CONTROL!$C$13</f>
        <v>1</v>
      </c>
      <c r="F4" s="119">
        <f>SUP_CONTROL!$C$14</f>
        <v>0</v>
      </c>
    </row>
    <row r="6" spans="2:26" ht="18" customHeight="1" x14ac:dyDescent="0.2">
      <c r="B6" s="120" t="s">
        <v>1172</v>
      </c>
      <c r="C6" s="121" t="s">
        <v>1173</v>
      </c>
      <c r="D6" s="121" t="s">
        <v>1174</v>
      </c>
      <c r="E6" s="121" t="s">
        <v>1175</v>
      </c>
      <c r="F6" s="121" t="s">
        <v>1176</v>
      </c>
      <c r="G6" s="121" t="s">
        <v>1177</v>
      </c>
      <c r="H6" s="121" t="s">
        <v>1178</v>
      </c>
      <c r="I6" s="121" t="s">
        <v>1179</v>
      </c>
      <c r="J6" s="121" t="s">
        <v>1180</v>
      </c>
      <c r="K6" s="121" t="s">
        <v>1181</v>
      </c>
      <c r="L6" s="121" t="s">
        <v>1182</v>
      </c>
      <c r="M6" s="121" t="s">
        <v>1183</v>
      </c>
      <c r="N6" s="121" t="s">
        <v>1184</v>
      </c>
      <c r="O6" s="121" t="s">
        <v>1053</v>
      </c>
      <c r="P6" s="121" t="s">
        <v>1054</v>
      </c>
      <c r="Q6" s="121" t="s">
        <v>1055</v>
      </c>
      <c r="R6" s="121" t="s">
        <v>1056</v>
      </c>
      <c r="S6" s="121" t="s">
        <v>1057</v>
      </c>
      <c r="T6" s="121" t="s">
        <v>1058</v>
      </c>
      <c r="U6" s="121" t="s">
        <v>1059</v>
      </c>
      <c r="V6" s="121" t="s">
        <v>1060</v>
      </c>
      <c r="W6" s="121" t="s">
        <v>1061</v>
      </c>
    </row>
    <row r="8" spans="2:26" ht="15" customHeight="1" x14ac:dyDescent="0.2">
      <c r="B8" s="122" t="s">
        <v>1185</v>
      </c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</row>
    <row r="9" spans="2:26" ht="15" customHeight="1" outlineLevel="1" x14ac:dyDescent="0.2">
      <c r="B9" s="124" t="s">
        <v>1186</v>
      </c>
    </row>
    <row r="10" spans="2:26" ht="15" customHeight="1" outlineLevel="1" x14ac:dyDescent="0.2">
      <c r="B10" s="125" t="s">
        <v>161</v>
      </c>
      <c r="C10" s="125" t="s">
        <v>1187</v>
      </c>
      <c r="D10" s="125" t="s">
        <v>1188</v>
      </c>
      <c r="E10" s="125" t="s">
        <v>1189</v>
      </c>
      <c r="F10" s="125" t="s">
        <v>1190</v>
      </c>
      <c r="G10" s="125" t="s">
        <v>1191</v>
      </c>
    </row>
    <row r="11" spans="2:26" ht="15" customHeight="1" outlineLevel="2" x14ac:dyDescent="0.2">
      <c r="B11" s="126" t="s">
        <v>166</v>
      </c>
      <c r="C11" s="127" t="str">
        <f>INDEX(SUP_MENU!$B$7:$B$23,MATCH(B11,SUP_MENU!$A$7:$A$23,0))</f>
        <v>Asado</v>
      </c>
      <c r="D11" s="128">
        <f>INDEX(SUP_PRECIOS!$L$8:$L$24,MATCH(B11,SUP_PRECIOS!$A$8:$A$24,0))</f>
        <v>0.12845131060919118</v>
      </c>
      <c r="E11" s="128">
        <f>INDEX(SUP_PRECIOS!$M$8:$M$24,MATCH(B11,SUP_PRECIOS!$A$8:$A$24,0))</f>
        <v>0.12052055298196999</v>
      </c>
      <c r="F11" s="129">
        <f>INDEX(SUP_PRECIOS!$J$8:$J$24,MATCH(B11,SUP_PRECIOS!$A$8:$A$24,0))</f>
        <v>5612.8760775862074</v>
      </c>
      <c r="G11" s="129">
        <f>INDEX(SUP_PRECIOS!$K$8:$K$24,MATCH(B11,SUP_PRECIOS!$A$8:$A$24,0))</f>
        <v>2461.4756936362082</v>
      </c>
    </row>
    <row r="12" spans="2:26" ht="15" customHeight="1" outlineLevel="2" x14ac:dyDescent="0.2">
      <c r="B12" s="126" t="s">
        <v>171</v>
      </c>
      <c r="C12" s="127" t="str">
        <f>INDEX(SUP_MENU!$B$7:$B$23,MATCH(B12,SUP_MENU!$A$7:$A$23,0))</f>
        <v>Asado</v>
      </c>
      <c r="D12" s="128">
        <f>INDEX(SUP_PRECIOS!$L$8:$L$24,MATCH(B12,SUP_PRECIOS!$A$8:$A$24,0))</f>
        <v>8.0790643324332903E-2</v>
      </c>
      <c r="E12" s="128">
        <f>INDEX(SUP_PRECIOS!$M$8:$M$24,MATCH(B12,SUP_PRECIOS!$A$8:$A$24,0))</f>
        <v>7.1590886084404864E-2</v>
      </c>
      <c r="F12" s="129">
        <f>INDEX(SUP_PRECIOS!$J$8:$J$24,MATCH(B12,SUP_PRECIOS!$A$8:$A$24,0))</f>
        <v>3530.2704741379307</v>
      </c>
      <c r="G12" s="129">
        <f>INDEX(SUP_PRECIOS!$K$8:$K$24,MATCH(B12,SUP_PRECIOS!$A$8:$A$24,0))</f>
        <v>1462.1508250879317</v>
      </c>
    </row>
    <row r="13" spans="2:26" ht="15" customHeight="1" outlineLevel="2" x14ac:dyDescent="0.2">
      <c r="B13" s="126" t="s">
        <v>175</v>
      </c>
      <c r="C13" s="127" t="str">
        <f>INDEX(SUP_MENU!$B$7:$B$23,MATCH(B13,SUP_MENU!$A$7:$A$23,0))</f>
        <v>Asado</v>
      </c>
      <c r="D13" s="128">
        <f>INDEX(SUP_PRECIOS!$L$8:$L$24,MATCH(B13,SUP_PRECIOS!$A$8:$A$24,0))</f>
        <v>9.8227472818793252E-2</v>
      </c>
      <c r="E13" s="128">
        <f>INDEX(SUP_PRECIOS!$M$8:$M$24,MATCH(B13,SUP_PRECIOS!$A$8:$A$24,0))</f>
        <v>9.7736370260802799E-2</v>
      </c>
      <c r="F13" s="129">
        <f>INDEX(SUP_PRECIOS!$J$8:$J$24,MATCH(B13,SUP_PRECIOS!$A$8:$A$24,0))</f>
        <v>4292.1993534482763</v>
      </c>
      <c r="G13" s="129">
        <f>INDEX(SUP_PRECIOS!$K$8:$K$24,MATCH(B13,SUP_PRECIOS!$A$8:$A$24,0))</f>
        <v>1996.1383666832762</v>
      </c>
    </row>
    <row r="14" spans="2:26" ht="15" customHeight="1" outlineLevel="2" x14ac:dyDescent="0.2">
      <c r="B14" s="126" t="s">
        <v>179</v>
      </c>
      <c r="C14" s="127" t="str">
        <f>INDEX(SUP_MENU!$B$7:$B$23,MATCH(B14,SUP_MENU!$A$7:$A$23,0))</f>
        <v>Asado</v>
      </c>
      <c r="D14" s="128">
        <f>INDEX(SUP_PRECIOS!$L$8:$L$24,MATCH(B14,SUP_PRECIOS!$A$8:$A$24,0))</f>
        <v>6.9166090328026009E-2</v>
      </c>
      <c r="E14" s="128">
        <f>INDEX(SUP_PRECIOS!$M$8:$M$24,MATCH(B14,SUP_PRECIOS!$A$8:$A$24,0))</f>
        <v>6.2000561487575545E-2</v>
      </c>
      <c r="F14" s="129">
        <f>INDEX(SUP_PRECIOS!$J$8:$J$24,MATCH(B14,SUP_PRECIOS!$A$8:$A$24,0))</f>
        <v>3022.3178879310344</v>
      </c>
      <c r="G14" s="129">
        <f>INDEX(SUP_PRECIOS!$K$8:$K$24,MATCH(B14,SUP_PRECIOS!$A$8:$A$24,0))</f>
        <v>1266.2809065960346</v>
      </c>
    </row>
    <row r="15" spans="2:26" ht="15" customHeight="1" outlineLevel="2" x14ac:dyDescent="0.2">
      <c r="B15" s="126" t="s">
        <v>183</v>
      </c>
      <c r="C15" s="127" t="str">
        <f>INDEX(SUP_MENU!$B$7:$B$23,MATCH(B15,SUP_MENU!$A$7:$A$23,0))</f>
        <v>Asado</v>
      </c>
      <c r="D15" s="128">
        <f>INDEX(SUP_PRECIOS!$L$8:$L$24,MATCH(B15,SUP_PRECIOS!$A$8:$A$24,0))</f>
        <v>5.7790634895925695E-2</v>
      </c>
      <c r="E15" s="128">
        <f>INDEX(SUP_PRECIOS!$M$8:$M$24,MATCH(B15,SUP_PRECIOS!$A$8:$A$24,0))</f>
        <v>6.2004154499699128E-2</v>
      </c>
      <c r="F15" s="129">
        <f>INDEX(SUP_PRECIOS!$J$8:$J$24,MATCH(B15,SUP_PRECIOS!$A$8:$A$24,0))</f>
        <v>2525.25</v>
      </c>
      <c r="G15" s="129">
        <f>INDEX(SUP_PRECIOS!$K$8:$K$24,MATCH(B15,SUP_PRECIOS!$A$8:$A$24,0))</f>
        <v>1266.3542891999998</v>
      </c>
    </row>
    <row r="16" spans="2:26" ht="15" customHeight="1" outlineLevel="2" x14ac:dyDescent="0.2">
      <c r="B16" s="126" t="s">
        <v>187</v>
      </c>
      <c r="C16" s="127" t="str">
        <f>INDEX(SUP_MENU!$B$7:$B$23,MATCH(B16,SUP_MENU!$A$7:$A$23,0))</f>
        <v>Broaster</v>
      </c>
      <c r="D16" s="128">
        <f>INDEX(SUP_PRECIOS!$L$8:$L$24,MATCH(B16,SUP_PRECIOS!$A$8:$A$24,0))</f>
        <v>8.1968667221726507E-2</v>
      </c>
      <c r="E16" s="128">
        <f>INDEX(SUP_PRECIOS!$M$8:$M$24,MATCH(B16,SUP_PRECIOS!$A$8:$A$24,0))</f>
        <v>8.786276444863049E-2</v>
      </c>
      <c r="F16" s="129">
        <f>INDEX(SUP_PRECIOS!$J$8:$J$24,MATCH(B16,SUP_PRECIOS!$A$8:$A$24,0))</f>
        <v>3581.7460264008619</v>
      </c>
      <c r="G16" s="129">
        <f>INDEX(SUP_PRECIOS!$K$8:$K$24,MATCH(B16,SUP_PRECIOS!$A$8:$A$24,0))</f>
        <v>1794.4827974556508</v>
      </c>
    </row>
    <row r="17" spans="2:7" ht="15" customHeight="1" outlineLevel="2" x14ac:dyDescent="0.2">
      <c r="B17" s="126" t="s">
        <v>192</v>
      </c>
      <c r="C17" s="127" t="str">
        <f>INDEX(SUP_MENU!$B$7:$B$23,MATCH(B17,SUP_MENU!$A$7:$A$23,0))</f>
        <v>Broaster</v>
      </c>
      <c r="D17" s="128">
        <f>INDEX(SUP_PRECIOS!$L$8:$L$24,MATCH(B17,SUP_PRECIOS!$A$8:$A$24,0))</f>
        <v>5.1198890603109157E-2</v>
      </c>
      <c r="E17" s="128">
        <f>INDEX(SUP_PRECIOS!$M$8:$M$24,MATCH(B17,SUP_PRECIOS!$A$8:$A$24,0))</f>
        <v>5.1378055572013324E-2</v>
      </c>
      <c r="F17" s="129">
        <f>INDEX(SUP_PRECIOS!$J$8:$J$24,MATCH(B17,SUP_PRECIOS!$A$8:$A$24,0))</f>
        <v>2237.2136718749994</v>
      </c>
      <c r="G17" s="129">
        <f>INDEX(SUP_PRECIOS!$K$8:$K$24,MATCH(B17,SUP_PRECIOS!$A$8:$A$24,0))</f>
        <v>1049.3300258564245</v>
      </c>
    </row>
    <row r="18" spans="2:7" ht="15" customHeight="1" outlineLevel="2" x14ac:dyDescent="0.2">
      <c r="B18" s="126" t="s">
        <v>196</v>
      </c>
      <c r="C18" s="127" t="str">
        <f>INDEX(SUP_MENU!$B$7:$B$23,MATCH(B18,SUP_MENU!$A$7:$A$23,0))</f>
        <v>Broaster</v>
      </c>
      <c r="D18" s="128">
        <f>INDEX(SUP_PRECIOS!$L$8:$L$24,MATCH(B18,SUP_PRECIOS!$A$8:$A$24,0))</f>
        <v>0.10200545254259298</v>
      </c>
      <c r="E18" s="128">
        <f>INDEX(SUP_PRECIOS!$M$8:$M$24,MATCH(B18,SUP_PRECIOS!$A$8:$A$24,0))</f>
        <v>0.11066615993844553</v>
      </c>
      <c r="F18" s="129">
        <f>INDEX(SUP_PRECIOS!$J$8:$J$24,MATCH(B18,SUP_PRECIOS!$A$8:$A$24,0))</f>
        <v>4457.2839439655172</v>
      </c>
      <c r="G18" s="129">
        <f>INDEX(SUP_PRECIOS!$K$8:$K$24,MATCH(B18,SUP_PRECIOS!$A$8:$A$24,0))</f>
        <v>2260.2125202436832</v>
      </c>
    </row>
    <row r="19" spans="2:7" ht="15" customHeight="1" outlineLevel="2" x14ac:dyDescent="0.2">
      <c r="B19" s="126" t="s">
        <v>200</v>
      </c>
      <c r="C19" s="127" t="str">
        <f>INDEX(SUP_MENU!$B$7:$B$23,MATCH(B19,SUP_MENU!$A$7:$A$23,0))</f>
        <v>Broaster</v>
      </c>
      <c r="D19" s="128">
        <f>INDEX(SUP_PRECIOS!$L$8:$L$24,MATCH(B19,SUP_PRECIOS!$A$8:$A$24,0))</f>
        <v>5.2011571406333126E-2</v>
      </c>
      <c r="E19" s="128">
        <f>INDEX(SUP_PRECIOS!$M$8:$M$24,MATCH(B19,SUP_PRECIOS!$A$8:$A$24,0))</f>
        <v>5.7211696155531011E-2</v>
      </c>
      <c r="F19" s="129">
        <f>INDEX(SUP_PRECIOS!$J$8:$J$24,MATCH(B19,SUP_PRECIOS!$A$8:$A$24,0))</f>
        <v>2272.7249999999999</v>
      </c>
      <c r="G19" s="129">
        <f>INDEX(SUP_PRECIOS!$K$8:$K$24,MATCH(B19,SUP_PRECIOS!$A$8:$A$24,0))</f>
        <v>1168.4745547060948</v>
      </c>
    </row>
    <row r="20" spans="2:7" ht="15" customHeight="1" outlineLevel="2" x14ac:dyDescent="0.2">
      <c r="B20" s="126" t="s">
        <v>204</v>
      </c>
      <c r="C20" s="127" t="str">
        <f>INDEX(SUP_MENU!$B$7:$B$23,MATCH(B20,SUP_MENU!$A$7:$A$23,0))</f>
        <v>Value meal</v>
      </c>
      <c r="D20" s="128">
        <f>INDEX(SUP_PRECIOS!$L$8:$L$24,MATCH(B20,SUP_PRECIOS!$A$8:$A$24,0))</f>
        <v>3.8261385862130119E-2</v>
      </c>
      <c r="E20" s="128">
        <f>INDEX(SUP_PRECIOS!$M$8:$M$24,MATCH(B20,SUP_PRECIOS!$A$8:$A$24,0))</f>
        <v>2.3590533642548574E-2</v>
      </c>
      <c r="F20" s="129">
        <f>INDEX(SUP_PRECIOS!$J$8:$J$24,MATCH(B20,SUP_PRECIOS!$A$8:$A$24,0))</f>
        <v>1671.8896551724138</v>
      </c>
      <c r="G20" s="129">
        <f>INDEX(SUP_PRECIOS!$K$8:$K$24,MATCH(B20,SUP_PRECIOS!$A$8:$A$24,0))</f>
        <v>481.80599677241378</v>
      </c>
    </row>
    <row r="21" spans="2:7" ht="15" customHeight="1" outlineLevel="2" x14ac:dyDescent="0.2">
      <c r="B21" s="126" t="s">
        <v>209</v>
      </c>
      <c r="C21" s="127" t="str">
        <f>INDEX(SUP_MENU!$B$7:$B$23,MATCH(B21,SUP_MENU!$A$7:$A$23,0))</f>
        <v>Crudo marinado</v>
      </c>
      <c r="D21" s="128">
        <f>INDEX(SUP_PRECIOS!$L$8:$L$24,MATCH(B21,SUP_PRECIOS!$A$8:$A$24,0))</f>
        <v>4.8116591311466672E-2</v>
      </c>
      <c r="E21" s="128">
        <f>INDEX(SUP_PRECIOS!$M$8:$M$24,MATCH(B21,SUP_PRECIOS!$A$8:$A$24,0))</f>
        <v>5.3112729451984864E-2</v>
      </c>
      <c r="F21" s="129">
        <f>INDEX(SUP_PRECIOS!$J$8:$J$24,MATCH(B21,SUP_PRECIOS!$A$8:$A$24,0))</f>
        <v>2102.5278996865209</v>
      </c>
      <c r="G21" s="129">
        <f>INDEX(SUP_PRECIOS!$K$8:$K$24,MATCH(B21,SUP_PRECIOS!$A$8:$A$24,0))</f>
        <v>1084.758485868339</v>
      </c>
    </row>
    <row r="22" spans="2:7" ht="15" customHeight="1" outlineLevel="2" x14ac:dyDescent="0.2">
      <c r="B22" s="126" t="s">
        <v>214</v>
      </c>
      <c r="C22" s="127" t="str">
        <f>INDEX(SUP_MENU!$B$7:$B$23,MATCH(B22,SUP_MENU!$A$7:$A$23,0))</f>
        <v>Familiar</v>
      </c>
      <c r="D22" s="128">
        <f>INDEX(SUP_PRECIOS!$L$8:$L$24,MATCH(B22,SUP_PRECIOS!$A$8:$A$24,0))</f>
        <v>4.8319066336917994E-2</v>
      </c>
      <c r="E22" s="128">
        <f>INDEX(SUP_PRECIOS!$M$8:$M$24,MATCH(B22,SUP_PRECIOS!$A$8:$A$24,0))</f>
        <v>4.8425647892748482E-2</v>
      </c>
      <c r="F22" s="129">
        <f>INDEX(SUP_PRECIOS!$J$8:$J$24,MATCH(B22,SUP_PRECIOS!$A$8:$A$24,0))</f>
        <v>2111.3753549695739</v>
      </c>
      <c r="G22" s="129">
        <f>INDEX(SUP_PRECIOS!$K$8:$K$24,MATCH(B22,SUP_PRECIOS!$A$8:$A$24,0))</f>
        <v>989.03093528303089</v>
      </c>
    </row>
    <row r="23" spans="2:7" ht="15" customHeight="1" outlineLevel="2" x14ac:dyDescent="0.2">
      <c r="B23" s="126" t="s">
        <v>219</v>
      </c>
      <c r="C23" s="127" t="str">
        <f>INDEX(SUP_MENU!$B$7:$B$23,MATCH(B23,SUP_MENU!$A$7:$A$23,0))</f>
        <v>Porkbelly</v>
      </c>
      <c r="D23" s="128">
        <f>INDEX(SUP_PRECIOS!$L$8:$L$24,MATCH(B23,SUP_PRECIOS!$A$8:$A$24,0))</f>
        <v>3.5452198624232663E-2</v>
      </c>
      <c r="E23" s="128">
        <f>INDEX(SUP_PRECIOS!$M$8:$M$24,MATCH(B23,SUP_PRECIOS!$A$8:$A$24,0))</f>
        <v>3.7808649132481505E-2</v>
      </c>
      <c r="F23" s="129">
        <f>INDEX(SUP_PRECIOS!$J$8:$J$24,MATCH(B23,SUP_PRECIOS!$A$8:$A$24,0))</f>
        <v>1549.137931034483</v>
      </c>
      <c r="G23" s="129">
        <f>INDEX(SUP_PRECIOS!$K$8:$K$24,MATCH(B23,SUP_PRECIOS!$A$8:$A$24,0))</f>
        <v>772.19253103448307</v>
      </c>
    </row>
    <row r="24" spans="2:7" ht="15" customHeight="1" outlineLevel="2" x14ac:dyDescent="0.2">
      <c r="B24" s="126" t="s">
        <v>224</v>
      </c>
      <c r="C24" s="127" t="str">
        <f>INDEX(SUP_MENU!$B$7:$B$23,MATCH(B24,SUP_MENU!$A$7:$A$23,0))</f>
        <v>Porkbelly</v>
      </c>
      <c r="D24" s="128">
        <f>INDEX(SUP_PRECIOS!$L$8:$L$24,MATCH(B24,SUP_PRECIOS!$A$8:$A$24,0))</f>
        <v>2.6018007537917661E-2</v>
      </c>
      <c r="E24" s="128">
        <f>INDEX(SUP_PRECIOS!$M$8:$M$24,MATCH(B24,SUP_PRECIOS!$A$8:$A$24,0))</f>
        <v>2.6157856573222341E-2</v>
      </c>
      <c r="F24" s="129">
        <f>INDEX(SUP_PRECIOS!$J$8:$J$24,MATCH(B24,SUP_PRECIOS!$A$8:$A$24,0))</f>
        <v>1136.8965517241381</v>
      </c>
      <c r="G24" s="129">
        <f>INDEX(SUP_PRECIOS!$K$8:$K$24,MATCH(B24,SUP_PRECIOS!$A$8:$A$24,0))</f>
        <v>534.24023172413808</v>
      </c>
    </row>
    <row r="25" spans="2:7" ht="15" customHeight="1" outlineLevel="2" x14ac:dyDescent="0.2">
      <c r="B25" s="126" t="s">
        <v>228</v>
      </c>
      <c r="C25" s="127" t="str">
        <f>INDEX(SUP_MENU!$B$7:$B$23,MATCH(B25,SUP_MENU!$A$7:$A$23,0))</f>
        <v>Adicional</v>
      </c>
      <c r="D25" s="128">
        <f>INDEX(SUP_PRECIOS!$L$8:$L$24,MATCH(B25,SUP_PRECIOS!$A$8:$A$24,0))</f>
        <v>4.9531335287532341E-2</v>
      </c>
      <c r="E25" s="128">
        <f>INDEX(SUP_PRECIOS!$M$8:$M$24,MATCH(B25,SUP_PRECIOS!$A$8:$A$24,0))</f>
        <v>4.4016670127249059E-2</v>
      </c>
      <c r="F25" s="129">
        <f>INDEX(SUP_PRECIOS!$J$8:$J$24,MATCH(B25,SUP_PRECIOS!$A$8:$A$24,0))</f>
        <v>2164.3472971026185</v>
      </c>
      <c r="G25" s="129">
        <f>INDEX(SUP_PRECIOS!$K$8:$K$24,MATCH(B25,SUP_PRECIOS!$A$8:$A$24,0))</f>
        <v>898.98329332454375</v>
      </c>
    </row>
    <row r="26" spans="2:7" ht="15" customHeight="1" outlineLevel="2" x14ac:dyDescent="0.2">
      <c r="B26" s="126" t="s">
        <v>233</v>
      </c>
      <c r="C26" s="127" t="str">
        <f>INDEX(SUP_MENU!$B$7:$B$23,MATCH(B26,SUP_MENU!$A$7:$A$23,0))</f>
        <v>Adicional</v>
      </c>
      <c r="D26" s="128">
        <f>INDEX(SUP_PRECIOS!$L$8:$L$24,MATCH(B26,SUP_PRECIOS!$A$8:$A$24,0))</f>
        <v>3.2690681289771352E-2</v>
      </c>
      <c r="E26" s="128">
        <f>INDEX(SUP_PRECIOS!$M$8:$M$24,MATCH(B26,SUP_PRECIOS!$A$8:$A$24,0))</f>
        <v>4.5916711750692646E-2</v>
      </c>
      <c r="F26" s="129">
        <f>INDEX(SUP_PRECIOS!$J$8:$J$24,MATCH(B26,SUP_PRECIOS!$A$8:$A$24,0))</f>
        <v>1428.4692160877285</v>
      </c>
      <c r="G26" s="129">
        <f>INDEX(SUP_PRECIOS!$K$8:$K$24,MATCH(B26,SUP_PRECIOS!$A$8:$A$24,0))</f>
        <v>937.78917462267498</v>
      </c>
    </row>
    <row r="27" spans="2:7" ht="15" customHeight="1" outlineLevel="2" x14ac:dyDescent="0.2">
      <c r="B27" s="126" t="s">
        <v>237</v>
      </c>
      <c r="C27" s="127" t="str">
        <f>INDEX(SUP_MENU!$B$7:$B$23,MATCH(B27,SUP_MENU!$A$7:$A$23,0))</f>
        <v>Adicional</v>
      </c>
      <c r="D27" s="128">
        <f>INDEX(SUP_PRECIOS!$L$8:$L$24,MATCH(B27,SUP_PRECIOS!$A$8:$A$24,0))</f>
        <v>0</v>
      </c>
      <c r="E27" s="128">
        <f>INDEX(SUP_PRECIOS!$M$8:$M$24,MATCH(B27,SUP_PRECIOS!$A$8:$A$24,0))</f>
        <v>0</v>
      </c>
      <c r="F27" s="129">
        <f>INDEX(SUP_PRECIOS!$J$8:$J$24,MATCH(B27,SUP_PRECIOS!$A$8:$A$24,0))</f>
        <v>0</v>
      </c>
      <c r="G27" s="129">
        <f>INDEX(SUP_PRECIOS!$K$8:$K$24,MATCH(B27,SUP_PRECIOS!$A$8:$A$24,0))</f>
        <v>0</v>
      </c>
    </row>
    <row r="29" spans="2:7" ht="15" customHeight="1" outlineLevel="1" x14ac:dyDescent="0.2">
      <c r="B29" s="125" t="s">
        <v>1187</v>
      </c>
      <c r="C29" s="125" t="s">
        <v>1192</v>
      </c>
      <c r="D29" s="125" t="s">
        <v>1193</v>
      </c>
    </row>
    <row r="30" spans="2:7" ht="15" customHeight="1" outlineLevel="2" x14ac:dyDescent="0.2">
      <c r="B30" s="126" t="s">
        <v>167</v>
      </c>
      <c r="C30" s="130">
        <f t="shared" ref="C30:C36" si="0">SUMIF($C$11:$C$27,$B30,$D$11:$D$27)</f>
        <v>0.43442615197626899</v>
      </c>
      <c r="D30" s="130">
        <f t="shared" ref="D30:D36" si="1">SUMIF($C$11:$C$27,$B30,$G$11:$G$27)/SUMIF($C$11:$C$27,$B30,$F$11:$F$27)</f>
        <v>0.44526357614678908</v>
      </c>
    </row>
    <row r="31" spans="2:7" ht="15" customHeight="1" outlineLevel="2" x14ac:dyDescent="0.2">
      <c r="B31" s="126" t="s">
        <v>188</v>
      </c>
      <c r="C31" s="130">
        <f t="shared" si="0"/>
        <v>0.28718458177376177</v>
      </c>
      <c r="D31" s="130">
        <f t="shared" si="1"/>
        <v>0.4998418656612022</v>
      </c>
    </row>
    <row r="32" spans="2:7" ht="15" customHeight="1" outlineLevel="2" x14ac:dyDescent="0.2">
      <c r="B32" s="126" t="s">
        <v>205</v>
      </c>
      <c r="C32" s="130">
        <f t="shared" si="0"/>
        <v>3.8261385862130119E-2</v>
      </c>
      <c r="D32" s="130">
        <f t="shared" si="1"/>
        <v>0.28818050000000001</v>
      </c>
    </row>
    <row r="33" spans="2:26" ht="15" customHeight="1" outlineLevel="2" x14ac:dyDescent="0.2">
      <c r="B33" s="126" t="s">
        <v>210</v>
      </c>
      <c r="C33" s="130">
        <f t="shared" si="0"/>
        <v>4.8116591311466672E-2</v>
      </c>
      <c r="D33" s="130">
        <f t="shared" si="1"/>
        <v>0.51593060240963862</v>
      </c>
    </row>
    <row r="34" spans="2:26" ht="15" customHeight="1" outlineLevel="2" x14ac:dyDescent="0.2">
      <c r="B34" s="126" t="s">
        <v>215</v>
      </c>
      <c r="C34" s="130">
        <f t="shared" si="0"/>
        <v>4.8319066336917994E-2</v>
      </c>
      <c r="D34" s="130">
        <f t="shared" si="1"/>
        <v>0.46842970528908318</v>
      </c>
    </row>
    <row r="35" spans="2:26" ht="15" customHeight="1" outlineLevel="2" x14ac:dyDescent="0.2">
      <c r="B35" s="126" t="s">
        <v>220</v>
      </c>
      <c r="C35" s="130">
        <f t="shared" si="0"/>
        <v>6.147020616215032E-2</v>
      </c>
      <c r="D35" s="130">
        <f t="shared" si="1"/>
        <v>0.48637974350086666</v>
      </c>
    </row>
    <row r="36" spans="2:26" ht="15" customHeight="1" outlineLevel="2" x14ac:dyDescent="0.2">
      <c r="B36" s="126" t="s">
        <v>229</v>
      </c>
      <c r="C36" s="130">
        <f t="shared" si="0"/>
        <v>8.2222016577303686E-2</v>
      </c>
      <c r="D36" s="130">
        <f t="shared" si="1"/>
        <v>0.5112346987951808</v>
      </c>
    </row>
    <row r="39" spans="2:26" ht="15" customHeight="1" x14ac:dyDescent="0.2">
      <c r="B39" s="107" t="s">
        <v>1194</v>
      </c>
      <c r="C39" s="108"/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08"/>
      <c r="Q39" s="108"/>
      <c r="R39" s="108"/>
      <c r="S39" s="108"/>
      <c r="T39" s="108"/>
      <c r="U39" s="108"/>
      <c r="V39" s="108"/>
      <c r="W39" s="108"/>
      <c r="X39" s="108"/>
      <c r="Y39" s="108"/>
      <c r="Z39" s="108"/>
    </row>
    <row r="40" spans="2:26" ht="15" customHeight="1" outlineLevel="1" x14ac:dyDescent="0.2">
      <c r="B40" s="109" t="s">
        <v>1195</v>
      </c>
    </row>
    <row r="41" spans="2:26" ht="15" customHeight="1" outlineLevel="2" x14ac:dyDescent="0.2">
      <c r="B41" s="131" t="s">
        <v>1196</v>
      </c>
    </row>
    <row r="42" spans="2:26" ht="15" customHeight="1" outlineLevel="3" x14ac:dyDescent="0.2">
      <c r="B42" s="132" t="s">
        <v>167</v>
      </c>
      <c r="C42" s="112">
        <f>CAPA1_PILOTO!D11*INDEX(SUP_VOLUMEN!$C$30:$E$30,SUP_CONTROL!$C$6)*SUP_CONTROL!$C$26*$C$30*SUP_CONTROL!$C$11</f>
        <v>0</v>
      </c>
      <c r="D42" s="112">
        <f>CAPA1_PILOTO!E11*INDEX(SUP_VOLUMEN!$C$30:$E$30,SUP_CONTROL!$C$6)*SUP_CONTROL!$C$26*$C$30*SUP_CONTROL!$C$11</f>
        <v>0</v>
      </c>
      <c r="E42" s="112">
        <f>CAPA1_PILOTO!F11*INDEX(SUP_VOLUMEN!$C$30:$E$30,SUP_CONTROL!$C$6)*SUP_CONTROL!$C$26*$C$30*SUP_CONTROL!$C$11</f>
        <v>0</v>
      </c>
      <c r="F42" s="112">
        <f>CAPA1_PILOTO!G11*INDEX(SUP_VOLUMEN!$C$30:$E$30,SUP_CONTROL!$C$6)*SUP_CONTROL!$C$26*$C$30*SUP_CONTROL!$C$11</f>
        <v>26576.07931034482</v>
      </c>
      <c r="G42" s="112">
        <f>CAPA1_PILOTO!H11*INDEX(SUP_VOLUMEN!$C$30:$E$30,SUP_CONTROL!$C$6)*SUP_CONTROL!$C$26*$C$30*SUP_CONTROL!$C$11</f>
        <v>58847.032758620684</v>
      </c>
      <c r="H42" s="112">
        <f>CAPA1_PILOTO!I11*INDEX(SUP_VOLUMEN!$C$30:$E$30,SUP_CONTROL!$C$6)*SUP_CONTROL!$C$26*$C$30*SUP_CONTROL!$C$11</f>
        <v>96812.860344827583</v>
      </c>
      <c r="I42" s="112">
        <f>CAPA1_PILOTO!J11*INDEX(SUP_VOLUMEN!$C$30:$E$30,SUP_CONTROL!$C$6)*SUP_CONTROL!$C$26*$C$30*SUP_CONTROL!$C$11</f>
        <v>121490.64827586207</v>
      </c>
      <c r="J42" s="112">
        <f>CAPA1_PILOTO!K11*INDEX(SUP_VOLUMEN!$C$30:$E$30,SUP_CONTROL!$C$6)*SUP_CONTROL!$C$26*$C$30*SUP_CONTROL!$C$11</f>
        <v>130032.9594827586</v>
      </c>
      <c r="K42" s="112">
        <f>CAPA1_PILOTO!L11*INDEX(SUP_VOLUMEN!$C$30:$E$30,SUP_CONTROL!$C$6)*SUP_CONTROL!$C$26*$C$30*SUP_CONTROL!$C$11</f>
        <v>132880.39655172412</v>
      </c>
      <c r="L42" s="112">
        <f>CAPA1_PILOTO!M11*INDEX(SUP_VOLUMEN!$C$30:$E$30,SUP_CONTROL!$C$6)*SUP_CONTROL!$C$26*$C$30*SUP_CONTROL!$C$11</f>
        <v>132880.39655172412</v>
      </c>
      <c r="M42" s="112">
        <f>CAPA1_PILOTO!N11*INDEX(SUP_VOLUMEN!$C$30:$E$30,SUP_CONTROL!$C$6)*SUP_CONTROL!$C$26*$C$30*SUP_CONTROL!$C$11</f>
        <v>132880.39655172412</v>
      </c>
      <c r="N42" s="112">
        <f>CAPA1_PILOTO!O11*INDEX(SUP_VOLUMEN!$C$30:$E$30,SUP_CONTROL!$C$6)*SUP_CONTROL!$C$26*$C$30*SUP_CONTROL!$C$11</f>
        <v>132880.39655172412</v>
      </c>
      <c r="O42" s="112">
        <f>SUM(CAPA1_PILOTO!P11:AA11)*INDEX(SUP_VOLUMEN!$C$30:$E$30,SUP_CONTROL!$C$6)*SUP_CONTROL!$C$26*$C$30*SUP_CONTROL!$C$11</f>
        <v>1594564.7586206894</v>
      </c>
      <c r="P42" s="112">
        <f>SUM(CAPA1_PILOTO!AB11:AM11)*INDEX(SUP_VOLUMEN!$C$30:$E$30,SUP_CONTROL!$C$6)*SUP_CONTROL!$C$26*$C$30*SUP_CONTROL!$C$11</f>
        <v>1594564.7586206894</v>
      </c>
      <c r="Q42" s="112">
        <f>SUM(CAPA1_PILOTO!AN11:AY11)*INDEX(SUP_VOLUMEN!$C$30:$E$30,SUP_CONTROL!$C$6)*SUP_CONTROL!$C$26*$C$30*SUP_CONTROL!$C$11</f>
        <v>1594564.7586206894</v>
      </c>
      <c r="R42" s="112">
        <f>SUM(CAPA1_PILOTO!AZ11:BK11)*INDEX(SUP_VOLUMEN!$C$30:$E$30,SUP_CONTROL!$C$6)*SUP_CONTROL!$C$26*$C$30*SUP_CONTROL!$C$11</f>
        <v>1594564.7586206894</v>
      </c>
      <c r="S42" s="112">
        <f>SUM(CAPA1_PILOTO!BL11:BW11)*INDEX(SUP_VOLUMEN!$C$30:$E$30,SUP_CONTROL!$C$6)*SUP_CONTROL!$C$26*$C$30*SUP_CONTROL!$C$11</f>
        <v>1594564.7586206894</v>
      </c>
      <c r="T42" s="112">
        <f>SUM(CAPA1_PILOTO!BX11:CI11)*INDEX(SUP_VOLUMEN!$C$30:$E$30,SUP_CONTROL!$C$6)*SUP_CONTROL!$C$26*$C$30*SUP_CONTROL!$C$11</f>
        <v>1594564.7586206894</v>
      </c>
      <c r="U42" s="112">
        <f>SUM(CAPA1_PILOTO!CJ11:CU11)*INDEX(SUP_VOLUMEN!$C$30:$E$30,SUP_CONTROL!$C$6)*SUP_CONTROL!$C$26*$C$30*SUP_CONTROL!$C$11</f>
        <v>1594564.7586206894</v>
      </c>
      <c r="V42" s="112">
        <f>SUM(CAPA1_PILOTO!CV11:DG11)*INDEX(SUP_VOLUMEN!$C$30:$E$30,SUP_CONTROL!$C$6)*SUP_CONTROL!$C$26*$C$30*SUP_CONTROL!$C$11</f>
        <v>1594564.7586206894</v>
      </c>
      <c r="W42" s="112">
        <f>SUM(CAPA1_PILOTO!DH11:DS11)*INDEX(SUP_VOLUMEN!$C$30:$E$30,SUP_CONTROL!$C$6)*SUP_CONTROL!$C$26*$C$30*SUP_CONTROL!$C$11</f>
        <v>1594564.7586206894</v>
      </c>
    </row>
    <row r="43" spans="2:26" ht="15" customHeight="1" outlineLevel="3" x14ac:dyDescent="0.2">
      <c r="B43" s="132" t="s">
        <v>188</v>
      </c>
      <c r="C43" s="112">
        <f>CAPA1_PILOTO!D11*INDEX(SUP_VOLUMEN!$C$30:$E$30,SUP_CONTROL!$C$6)*SUP_CONTROL!$C$26*$C$31*SUP_CONTROL!$C$11</f>
        <v>0</v>
      </c>
      <c r="D43" s="112">
        <f>CAPA1_PILOTO!E11*INDEX(SUP_VOLUMEN!$C$30:$E$30,SUP_CONTROL!$C$6)*SUP_CONTROL!$C$26*$C$31*SUP_CONTROL!$C$11</f>
        <v>0</v>
      </c>
      <c r="E43" s="112">
        <f>CAPA1_PILOTO!F11*INDEX(SUP_VOLUMEN!$C$30:$E$30,SUP_CONTROL!$C$6)*SUP_CONTROL!$C$26*$C$31*SUP_CONTROL!$C$11</f>
        <v>0</v>
      </c>
      <c r="F43" s="112">
        <f>CAPA1_PILOTO!G11*INDEX(SUP_VOLUMEN!$C$30:$E$30,SUP_CONTROL!$C$6)*SUP_CONTROL!$C$26*$C$31*SUP_CONTROL!$C$11</f>
        <v>17568.556099137928</v>
      </c>
      <c r="G43" s="112">
        <f>CAPA1_PILOTO!H11*INDEX(SUP_VOLUMEN!$C$30:$E$30,SUP_CONTROL!$C$6)*SUP_CONTROL!$C$26*$C$31*SUP_CONTROL!$C$11</f>
        <v>38901.80279094827</v>
      </c>
      <c r="H43" s="112">
        <f>CAPA1_PILOTO!I11*INDEX(SUP_VOLUMEN!$C$30:$E$30,SUP_CONTROL!$C$6)*SUP_CONTROL!$C$26*$C$31*SUP_CONTROL!$C$11</f>
        <v>63999.740075431029</v>
      </c>
      <c r="I43" s="112">
        <f>CAPA1_PILOTO!J11*INDEX(SUP_VOLUMEN!$C$30:$E$30,SUP_CONTROL!$C$6)*SUP_CONTROL!$C$26*$C$31*SUP_CONTROL!$C$11</f>
        <v>80313.39931034483</v>
      </c>
      <c r="J43" s="112">
        <f>CAPA1_PILOTO!K11*INDEX(SUP_VOLUMEN!$C$30:$E$30,SUP_CONTROL!$C$6)*SUP_CONTROL!$C$26*$C$31*SUP_CONTROL!$C$11</f>
        <v>85960.435199353436</v>
      </c>
      <c r="K43" s="112">
        <f>CAPA1_PILOTO!L11*INDEX(SUP_VOLUMEN!$C$30:$E$30,SUP_CONTROL!$C$6)*SUP_CONTROL!$C$26*$C$31*SUP_CONTROL!$C$11</f>
        <v>87842.780495689643</v>
      </c>
      <c r="L43" s="112">
        <f>CAPA1_PILOTO!M11*INDEX(SUP_VOLUMEN!$C$30:$E$30,SUP_CONTROL!$C$6)*SUP_CONTROL!$C$26*$C$31*SUP_CONTROL!$C$11</f>
        <v>87842.780495689643</v>
      </c>
      <c r="M43" s="112">
        <f>CAPA1_PILOTO!N11*INDEX(SUP_VOLUMEN!$C$30:$E$30,SUP_CONTROL!$C$6)*SUP_CONTROL!$C$26*$C$31*SUP_CONTROL!$C$11</f>
        <v>87842.780495689643</v>
      </c>
      <c r="N43" s="112">
        <f>CAPA1_PILOTO!O11*INDEX(SUP_VOLUMEN!$C$30:$E$30,SUP_CONTROL!$C$6)*SUP_CONTROL!$C$26*$C$31*SUP_CONTROL!$C$11</f>
        <v>87842.780495689643</v>
      </c>
      <c r="O43" s="112">
        <f>SUM(CAPA1_PILOTO!P11:AA11)*INDEX(SUP_VOLUMEN!$C$30:$E$30,SUP_CONTROL!$C$6)*SUP_CONTROL!$C$26*$C$31*SUP_CONTROL!$C$11</f>
        <v>1054113.3659482757</v>
      </c>
      <c r="P43" s="112">
        <f>SUM(CAPA1_PILOTO!AB11:AM11)*INDEX(SUP_VOLUMEN!$C$30:$E$30,SUP_CONTROL!$C$6)*SUP_CONTROL!$C$26*$C$31*SUP_CONTROL!$C$11</f>
        <v>1054113.3659482757</v>
      </c>
      <c r="Q43" s="112">
        <f>SUM(CAPA1_PILOTO!AN11:AY11)*INDEX(SUP_VOLUMEN!$C$30:$E$30,SUP_CONTROL!$C$6)*SUP_CONTROL!$C$26*$C$31*SUP_CONTROL!$C$11</f>
        <v>1054113.3659482757</v>
      </c>
      <c r="R43" s="112">
        <f>SUM(CAPA1_PILOTO!AZ11:BK11)*INDEX(SUP_VOLUMEN!$C$30:$E$30,SUP_CONTROL!$C$6)*SUP_CONTROL!$C$26*$C$31*SUP_CONTROL!$C$11</f>
        <v>1054113.3659482757</v>
      </c>
      <c r="S43" s="112">
        <f>SUM(CAPA1_PILOTO!BL11:BW11)*INDEX(SUP_VOLUMEN!$C$30:$E$30,SUP_CONTROL!$C$6)*SUP_CONTROL!$C$26*$C$31*SUP_CONTROL!$C$11</f>
        <v>1054113.3659482757</v>
      </c>
      <c r="T43" s="112">
        <f>SUM(CAPA1_PILOTO!BX11:CI11)*INDEX(SUP_VOLUMEN!$C$30:$E$30,SUP_CONTROL!$C$6)*SUP_CONTROL!$C$26*$C$31*SUP_CONTROL!$C$11</f>
        <v>1054113.3659482757</v>
      </c>
      <c r="U43" s="112">
        <f>SUM(CAPA1_PILOTO!CJ11:CU11)*INDEX(SUP_VOLUMEN!$C$30:$E$30,SUP_CONTROL!$C$6)*SUP_CONTROL!$C$26*$C$31*SUP_CONTROL!$C$11</f>
        <v>1054113.3659482757</v>
      </c>
      <c r="V43" s="112">
        <f>SUM(CAPA1_PILOTO!CV11:DG11)*INDEX(SUP_VOLUMEN!$C$30:$E$30,SUP_CONTROL!$C$6)*SUP_CONTROL!$C$26*$C$31*SUP_CONTROL!$C$11</f>
        <v>1054113.3659482757</v>
      </c>
      <c r="W43" s="112">
        <f>SUM(CAPA1_PILOTO!DH11:DS11)*INDEX(SUP_VOLUMEN!$C$30:$E$30,SUP_CONTROL!$C$6)*SUP_CONTROL!$C$26*$C$31*SUP_CONTROL!$C$11</f>
        <v>1054113.3659482757</v>
      </c>
    </row>
    <row r="44" spans="2:26" ht="15" customHeight="1" outlineLevel="3" x14ac:dyDescent="0.2">
      <c r="B44" s="132" t="s">
        <v>205</v>
      </c>
      <c r="C44" s="112">
        <f>CAPA1_PILOTO!D11*INDEX(SUP_VOLUMEN!$C$30:$E$30,SUP_CONTROL!$C$6)*SUP_CONTROL!$C$26*$C$32*SUP_CONTROL!$C$11</f>
        <v>0</v>
      </c>
      <c r="D44" s="112">
        <f>CAPA1_PILOTO!E11*INDEX(SUP_VOLUMEN!$C$30:$E$30,SUP_CONTROL!$C$6)*SUP_CONTROL!$C$26*$C$32*SUP_CONTROL!$C$11</f>
        <v>0</v>
      </c>
      <c r="E44" s="112">
        <f>CAPA1_PILOTO!F11*INDEX(SUP_VOLUMEN!$C$30:$E$30,SUP_CONTROL!$C$6)*SUP_CONTROL!$C$26*$C$32*SUP_CONTROL!$C$11</f>
        <v>0</v>
      </c>
      <c r="F44" s="112">
        <f>CAPA1_PILOTO!G11*INDEX(SUP_VOLUMEN!$C$30:$E$30,SUP_CONTROL!$C$6)*SUP_CONTROL!$C$26*$C$32*SUP_CONTROL!$C$11</f>
        <v>2340.6455172413789</v>
      </c>
      <c r="G44" s="112">
        <f>CAPA1_PILOTO!H11*INDEX(SUP_VOLUMEN!$C$30:$E$30,SUP_CONTROL!$C$6)*SUP_CONTROL!$C$26*$C$32*SUP_CONTROL!$C$11</f>
        <v>5182.857931034483</v>
      </c>
      <c r="H44" s="112">
        <f>CAPA1_PILOTO!I11*INDEX(SUP_VOLUMEN!$C$30:$E$30,SUP_CONTROL!$C$6)*SUP_CONTROL!$C$26*$C$32*SUP_CONTROL!$C$11</f>
        <v>8526.6372413793106</v>
      </c>
      <c r="I44" s="112">
        <f>CAPA1_PILOTO!J11*INDEX(SUP_VOLUMEN!$C$30:$E$30,SUP_CONTROL!$C$6)*SUP_CONTROL!$C$26*$C$32*SUP_CONTROL!$C$11</f>
        <v>10700.09379310345</v>
      </c>
      <c r="J44" s="112">
        <f>CAPA1_PILOTO!K11*INDEX(SUP_VOLUMEN!$C$30:$E$30,SUP_CONTROL!$C$6)*SUP_CONTROL!$C$26*$C$32*SUP_CONTROL!$C$11</f>
        <v>11452.444137931034</v>
      </c>
      <c r="K44" s="112">
        <f>CAPA1_PILOTO!L11*INDEX(SUP_VOLUMEN!$C$30:$E$30,SUP_CONTROL!$C$6)*SUP_CONTROL!$C$26*$C$32*SUP_CONTROL!$C$11</f>
        <v>11703.227586206896</v>
      </c>
      <c r="L44" s="112">
        <f>CAPA1_PILOTO!M11*INDEX(SUP_VOLUMEN!$C$30:$E$30,SUP_CONTROL!$C$6)*SUP_CONTROL!$C$26*$C$32*SUP_CONTROL!$C$11</f>
        <v>11703.227586206896</v>
      </c>
      <c r="M44" s="112">
        <f>CAPA1_PILOTO!N11*INDEX(SUP_VOLUMEN!$C$30:$E$30,SUP_CONTROL!$C$6)*SUP_CONTROL!$C$26*$C$32*SUP_CONTROL!$C$11</f>
        <v>11703.227586206896</v>
      </c>
      <c r="N44" s="112">
        <f>CAPA1_PILOTO!O11*INDEX(SUP_VOLUMEN!$C$30:$E$30,SUP_CONTROL!$C$6)*SUP_CONTROL!$C$26*$C$32*SUP_CONTROL!$C$11</f>
        <v>11703.227586206896</v>
      </c>
      <c r="O44" s="112">
        <f>SUM(CAPA1_PILOTO!P11:AA11)*INDEX(SUP_VOLUMEN!$C$30:$E$30,SUP_CONTROL!$C$6)*SUP_CONTROL!$C$26*$C$32*SUP_CONTROL!$C$11</f>
        <v>140438.73103448277</v>
      </c>
      <c r="P44" s="112">
        <f>SUM(CAPA1_PILOTO!AB11:AM11)*INDEX(SUP_VOLUMEN!$C$30:$E$30,SUP_CONTROL!$C$6)*SUP_CONTROL!$C$26*$C$32*SUP_CONTROL!$C$11</f>
        <v>140438.73103448277</v>
      </c>
      <c r="Q44" s="112">
        <f>SUM(CAPA1_PILOTO!AN11:AY11)*INDEX(SUP_VOLUMEN!$C$30:$E$30,SUP_CONTROL!$C$6)*SUP_CONTROL!$C$26*$C$32*SUP_CONTROL!$C$11</f>
        <v>140438.73103448277</v>
      </c>
      <c r="R44" s="112">
        <f>SUM(CAPA1_PILOTO!AZ11:BK11)*INDEX(SUP_VOLUMEN!$C$30:$E$30,SUP_CONTROL!$C$6)*SUP_CONTROL!$C$26*$C$32*SUP_CONTROL!$C$11</f>
        <v>140438.73103448277</v>
      </c>
      <c r="S44" s="112">
        <f>SUM(CAPA1_PILOTO!BL11:BW11)*INDEX(SUP_VOLUMEN!$C$30:$E$30,SUP_CONTROL!$C$6)*SUP_CONTROL!$C$26*$C$32*SUP_CONTROL!$C$11</f>
        <v>140438.73103448277</v>
      </c>
      <c r="T44" s="112">
        <f>SUM(CAPA1_PILOTO!BX11:CI11)*INDEX(SUP_VOLUMEN!$C$30:$E$30,SUP_CONTROL!$C$6)*SUP_CONTROL!$C$26*$C$32*SUP_CONTROL!$C$11</f>
        <v>140438.73103448277</v>
      </c>
      <c r="U44" s="112">
        <f>SUM(CAPA1_PILOTO!CJ11:CU11)*INDEX(SUP_VOLUMEN!$C$30:$E$30,SUP_CONTROL!$C$6)*SUP_CONTROL!$C$26*$C$32*SUP_CONTROL!$C$11</f>
        <v>140438.73103448277</v>
      </c>
      <c r="V44" s="112">
        <f>SUM(CAPA1_PILOTO!CV11:DG11)*INDEX(SUP_VOLUMEN!$C$30:$E$30,SUP_CONTROL!$C$6)*SUP_CONTROL!$C$26*$C$32*SUP_CONTROL!$C$11</f>
        <v>140438.73103448277</v>
      </c>
      <c r="W44" s="112">
        <f>SUM(CAPA1_PILOTO!DH11:DS11)*INDEX(SUP_VOLUMEN!$C$30:$E$30,SUP_CONTROL!$C$6)*SUP_CONTROL!$C$26*$C$32*SUP_CONTROL!$C$11</f>
        <v>140438.73103448277</v>
      </c>
    </row>
    <row r="45" spans="2:26" ht="15" customHeight="1" outlineLevel="3" x14ac:dyDescent="0.2">
      <c r="B45" s="132" t="s">
        <v>210</v>
      </c>
      <c r="C45" s="112">
        <f>CAPA1_PILOTO!D11*INDEX(SUP_VOLUMEN!$C$30:$E$30,SUP_CONTROL!$C$6)*SUP_CONTROL!$C$26*$C$33*SUP_CONTROL!$C$11</f>
        <v>0</v>
      </c>
      <c r="D45" s="112">
        <f>CAPA1_PILOTO!E11*INDEX(SUP_VOLUMEN!$C$30:$E$30,SUP_CONTROL!$C$6)*SUP_CONTROL!$C$26*$C$33*SUP_CONTROL!$C$11</f>
        <v>0</v>
      </c>
      <c r="E45" s="112">
        <f>CAPA1_PILOTO!F11*INDEX(SUP_VOLUMEN!$C$30:$E$30,SUP_CONTROL!$C$6)*SUP_CONTROL!$C$26*$C$33*SUP_CONTROL!$C$11</f>
        <v>0</v>
      </c>
      <c r="F45" s="112">
        <f>CAPA1_PILOTO!G11*INDEX(SUP_VOLUMEN!$C$30:$E$30,SUP_CONTROL!$C$6)*SUP_CONTROL!$C$26*$C$33*SUP_CONTROL!$C$11</f>
        <v>2943.5390595611289</v>
      </c>
      <c r="G45" s="112">
        <f>CAPA1_PILOTO!H11*INDEX(SUP_VOLUMEN!$C$30:$E$30,SUP_CONTROL!$C$6)*SUP_CONTROL!$C$26*$C$33*SUP_CONTROL!$C$11</f>
        <v>6517.8364890282146</v>
      </c>
      <c r="H45" s="112">
        <f>CAPA1_PILOTO!I11*INDEX(SUP_VOLUMEN!$C$30:$E$30,SUP_CONTROL!$C$6)*SUP_CONTROL!$C$26*$C$33*SUP_CONTROL!$C$11</f>
        <v>10722.892288401257</v>
      </c>
      <c r="I45" s="112">
        <f>CAPA1_PILOTO!J11*INDEX(SUP_VOLUMEN!$C$30:$E$30,SUP_CONTROL!$C$6)*SUP_CONTROL!$C$26*$C$33*SUP_CONTROL!$C$11</f>
        <v>13456.178557993735</v>
      </c>
      <c r="J45" s="112">
        <f>CAPA1_PILOTO!K11*INDEX(SUP_VOLUMEN!$C$30:$E$30,SUP_CONTROL!$C$6)*SUP_CONTROL!$C$26*$C$33*SUP_CONTROL!$C$11</f>
        <v>14402.316112852666</v>
      </c>
      <c r="K45" s="112">
        <f>CAPA1_PILOTO!L11*INDEX(SUP_VOLUMEN!$C$30:$E$30,SUP_CONTROL!$C$6)*SUP_CONTROL!$C$26*$C$33*SUP_CONTROL!$C$11</f>
        <v>14717.695297805645</v>
      </c>
      <c r="L45" s="112">
        <f>CAPA1_PILOTO!M11*INDEX(SUP_VOLUMEN!$C$30:$E$30,SUP_CONTROL!$C$6)*SUP_CONTROL!$C$26*$C$33*SUP_CONTROL!$C$11</f>
        <v>14717.695297805645</v>
      </c>
      <c r="M45" s="112">
        <f>CAPA1_PILOTO!N11*INDEX(SUP_VOLUMEN!$C$30:$E$30,SUP_CONTROL!$C$6)*SUP_CONTROL!$C$26*$C$33*SUP_CONTROL!$C$11</f>
        <v>14717.695297805645</v>
      </c>
      <c r="N45" s="112">
        <f>CAPA1_PILOTO!O11*INDEX(SUP_VOLUMEN!$C$30:$E$30,SUP_CONTROL!$C$6)*SUP_CONTROL!$C$26*$C$33*SUP_CONTROL!$C$11</f>
        <v>14717.695297805645</v>
      </c>
      <c r="O45" s="112">
        <f>SUM(CAPA1_PILOTO!P11:AA11)*INDEX(SUP_VOLUMEN!$C$30:$E$30,SUP_CONTROL!$C$6)*SUP_CONTROL!$C$26*$C$33*SUP_CONTROL!$C$11</f>
        <v>176612.34357366775</v>
      </c>
      <c r="P45" s="112">
        <f>SUM(CAPA1_PILOTO!AB11:AM11)*INDEX(SUP_VOLUMEN!$C$30:$E$30,SUP_CONTROL!$C$6)*SUP_CONTROL!$C$26*$C$33*SUP_CONTROL!$C$11</f>
        <v>176612.34357366775</v>
      </c>
      <c r="Q45" s="112">
        <f>SUM(CAPA1_PILOTO!AN11:AY11)*INDEX(SUP_VOLUMEN!$C$30:$E$30,SUP_CONTROL!$C$6)*SUP_CONTROL!$C$26*$C$33*SUP_CONTROL!$C$11</f>
        <v>176612.34357366775</v>
      </c>
      <c r="R45" s="112">
        <f>SUM(CAPA1_PILOTO!AZ11:BK11)*INDEX(SUP_VOLUMEN!$C$30:$E$30,SUP_CONTROL!$C$6)*SUP_CONTROL!$C$26*$C$33*SUP_CONTROL!$C$11</f>
        <v>176612.34357366775</v>
      </c>
      <c r="S45" s="112">
        <f>SUM(CAPA1_PILOTO!BL11:BW11)*INDEX(SUP_VOLUMEN!$C$30:$E$30,SUP_CONTROL!$C$6)*SUP_CONTROL!$C$26*$C$33*SUP_CONTROL!$C$11</f>
        <v>176612.34357366775</v>
      </c>
      <c r="T45" s="112">
        <f>SUM(CAPA1_PILOTO!BX11:CI11)*INDEX(SUP_VOLUMEN!$C$30:$E$30,SUP_CONTROL!$C$6)*SUP_CONTROL!$C$26*$C$33*SUP_CONTROL!$C$11</f>
        <v>176612.34357366775</v>
      </c>
      <c r="U45" s="112">
        <f>SUM(CAPA1_PILOTO!CJ11:CU11)*INDEX(SUP_VOLUMEN!$C$30:$E$30,SUP_CONTROL!$C$6)*SUP_CONTROL!$C$26*$C$33*SUP_CONTROL!$C$11</f>
        <v>176612.34357366775</v>
      </c>
      <c r="V45" s="112">
        <f>SUM(CAPA1_PILOTO!CV11:DG11)*INDEX(SUP_VOLUMEN!$C$30:$E$30,SUP_CONTROL!$C$6)*SUP_CONTROL!$C$26*$C$33*SUP_CONTROL!$C$11</f>
        <v>176612.34357366775</v>
      </c>
      <c r="W45" s="112">
        <f>SUM(CAPA1_PILOTO!DH11:DS11)*INDEX(SUP_VOLUMEN!$C$30:$E$30,SUP_CONTROL!$C$6)*SUP_CONTROL!$C$26*$C$33*SUP_CONTROL!$C$11</f>
        <v>176612.34357366775</v>
      </c>
    </row>
    <row r="46" spans="2:26" ht="15" customHeight="1" outlineLevel="3" x14ac:dyDescent="0.2">
      <c r="B46" s="132" t="s">
        <v>215</v>
      </c>
      <c r="C46" s="112">
        <f>CAPA1_PILOTO!D11*INDEX(SUP_VOLUMEN!$C$30:$E$30,SUP_CONTROL!$C$6)*SUP_CONTROL!$C$26*$C$34*SUP_CONTROL!$C$11</f>
        <v>0</v>
      </c>
      <c r="D46" s="112">
        <f>CAPA1_PILOTO!E11*INDEX(SUP_VOLUMEN!$C$30:$E$30,SUP_CONTROL!$C$6)*SUP_CONTROL!$C$26*$C$34*SUP_CONTROL!$C$11</f>
        <v>0</v>
      </c>
      <c r="E46" s="112">
        <f>CAPA1_PILOTO!F11*INDEX(SUP_VOLUMEN!$C$30:$E$30,SUP_CONTROL!$C$6)*SUP_CONTROL!$C$26*$C$34*SUP_CONTROL!$C$11</f>
        <v>0</v>
      </c>
      <c r="F46" s="112">
        <f>CAPA1_PILOTO!G11*INDEX(SUP_VOLUMEN!$C$30:$E$30,SUP_CONTROL!$C$6)*SUP_CONTROL!$C$26*$C$34*SUP_CONTROL!$C$11</f>
        <v>2955.9254969574031</v>
      </c>
      <c r="G46" s="112">
        <f>CAPA1_PILOTO!H11*INDEX(SUP_VOLUMEN!$C$30:$E$30,SUP_CONTROL!$C$6)*SUP_CONTROL!$C$26*$C$34*SUP_CONTROL!$C$11</f>
        <v>6545.2636004056794</v>
      </c>
      <c r="H46" s="112">
        <f>CAPA1_PILOTO!I11*INDEX(SUP_VOLUMEN!$C$30:$E$30,SUP_CONTROL!$C$6)*SUP_CONTROL!$C$26*$C$34*SUP_CONTROL!$C$11</f>
        <v>10768.014310344828</v>
      </c>
      <c r="I46" s="112">
        <f>CAPA1_PILOTO!J11*INDEX(SUP_VOLUMEN!$C$30:$E$30,SUP_CONTROL!$C$6)*SUP_CONTROL!$C$26*$C$34*SUP_CONTROL!$C$11</f>
        <v>13512.802271805274</v>
      </c>
      <c r="J46" s="112">
        <f>CAPA1_PILOTO!K11*INDEX(SUP_VOLUMEN!$C$30:$E$30,SUP_CONTROL!$C$6)*SUP_CONTROL!$C$26*$C$34*SUP_CONTROL!$C$11</f>
        <v>14462.92118154158</v>
      </c>
      <c r="K46" s="112">
        <f>CAPA1_PILOTO!L11*INDEX(SUP_VOLUMEN!$C$30:$E$30,SUP_CONTROL!$C$6)*SUP_CONTROL!$C$26*$C$34*SUP_CONTROL!$C$11</f>
        <v>14779.627484787017</v>
      </c>
      <c r="L46" s="112">
        <f>CAPA1_PILOTO!M11*INDEX(SUP_VOLUMEN!$C$30:$E$30,SUP_CONTROL!$C$6)*SUP_CONTROL!$C$26*$C$34*SUP_CONTROL!$C$11</f>
        <v>14779.627484787017</v>
      </c>
      <c r="M46" s="112">
        <f>CAPA1_PILOTO!N11*INDEX(SUP_VOLUMEN!$C$30:$E$30,SUP_CONTROL!$C$6)*SUP_CONTROL!$C$26*$C$34*SUP_CONTROL!$C$11</f>
        <v>14779.627484787017</v>
      </c>
      <c r="N46" s="112">
        <f>CAPA1_PILOTO!O11*INDEX(SUP_VOLUMEN!$C$30:$E$30,SUP_CONTROL!$C$6)*SUP_CONTROL!$C$26*$C$34*SUP_CONTROL!$C$11</f>
        <v>14779.627484787017</v>
      </c>
      <c r="O46" s="112">
        <f>SUM(CAPA1_PILOTO!P11:AA11)*INDEX(SUP_VOLUMEN!$C$30:$E$30,SUP_CONTROL!$C$6)*SUP_CONTROL!$C$26*$C$34*SUP_CONTROL!$C$11</f>
        <v>177355.52981744421</v>
      </c>
      <c r="P46" s="112">
        <f>SUM(CAPA1_PILOTO!AB11:AM11)*INDEX(SUP_VOLUMEN!$C$30:$E$30,SUP_CONTROL!$C$6)*SUP_CONTROL!$C$26*$C$34*SUP_CONTROL!$C$11</f>
        <v>177355.52981744421</v>
      </c>
      <c r="Q46" s="112">
        <f>SUM(CAPA1_PILOTO!AN11:AY11)*INDEX(SUP_VOLUMEN!$C$30:$E$30,SUP_CONTROL!$C$6)*SUP_CONTROL!$C$26*$C$34*SUP_CONTROL!$C$11</f>
        <v>177355.52981744421</v>
      </c>
      <c r="R46" s="112">
        <f>SUM(CAPA1_PILOTO!AZ11:BK11)*INDEX(SUP_VOLUMEN!$C$30:$E$30,SUP_CONTROL!$C$6)*SUP_CONTROL!$C$26*$C$34*SUP_CONTROL!$C$11</f>
        <v>177355.52981744421</v>
      </c>
      <c r="S46" s="112">
        <f>SUM(CAPA1_PILOTO!BL11:BW11)*INDEX(SUP_VOLUMEN!$C$30:$E$30,SUP_CONTROL!$C$6)*SUP_CONTROL!$C$26*$C$34*SUP_CONTROL!$C$11</f>
        <v>177355.52981744421</v>
      </c>
      <c r="T46" s="112">
        <f>SUM(CAPA1_PILOTO!BX11:CI11)*INDEX(SUP_VOLUMEN!$C$30:$E$30,SUP_CONTROL!$C$6)*SUP_CONTROL!$C$26*$C$34*SUP_CONTROL!$C$11</f>
        <v>177355.52981744421</v>
      </c>
      <c r="U46" s="112">
        <f>SUM(CAPA1_PILOTO!CJ11:CU11)*INDEX(SUP_VOLUMEN!$C$30:$E$30,SUP_CONTROL!$C$6)*SUP_CONTROL!$C$26*$C$34*SUP_CONTROL!$C$11</f>
        <v>177355.52981744421</v>
      </c>
      <c r="V46" s="112">
        <f>SUM(CAPA1_PILOTO!CV11:DG11)*INDEX(SUP_VOLUMEN!$C$30:$E$30,SUP_CONTROL!$C$6)*SUP_CONTROL!$C$26*$C$34*SUP_CONTROL!$C$11</f>
        <v>177355.52981744421</v>
      </c>
      <c r="W46" s="112">
        <f>SUM(CAPA1_PILOTO!DH11:DS11)*INDEX(SUP_VOLUMEN!$C$30:$E$30,SUP_CONTROL!$C$6)*SUP_CONTROL!$C$26*$C$34*SUP_CONTROL!$C$11</f>
        <v>177355.52981744421</v>
      </c>
    </row>
    <row r="47" spans="2:26" ht="15" customHeight="1" outlineLevel="3" x14ac:dyDescent="0.2">
      <c r="B47" s="132" t="s">
        <v>220</v>
      </c>
      <c r="C47" s="112">
        <f>CAPA1_PILOTO!D11*INDEX(SUP_VOLUMEN!$C$30:$E$30,SUP_CONTROL!$C$6)*SUP_CONTROL!$C$26*$C$35*SUP_CONTROL!$C$11</f>
        <v>0</v>
      </c>
      <c r="D47" s="112">
        <f>CAPA1_PILOTO!E11*INDEX(SUP_VOLUMEN!$C$30:$E$30,SUP_CONTROL!$C$6)*SUP_CONTROL!$C$26*$C$35*SUP_CONTROL!$C$11</f>
        <v>0</v>
      </c>
      <c r="E47" s="112">
        <f>CAPA1_PILOTO!F11*INDEX(SUP_VOLUMEN!$C$30:$E$30,SUP_CONTROL!$C$6)*SUP_CONTROL!$C$26*$C$35*SUP_CONTROL!$C$11</f>
        <v>0</v>
      </c>
      <c r="F47" s="112">
        <f>CAPA1_PILOTO!G11*INDEX(SUP_VOLUMEN!$C$30:$E$30,SUP_CONTROL!$C$6)*SUP_CONTROL!$C$26*$C$35*SUP_CONTROL!$C$11</f>
        <v>3760.4482758620688</v>
      </c>
      <c r="G47" s="112">
        <f>CAPA1_PILOTO!H11*INDEX(SUP_VOLUMEN!$C$30:$E$30,SUP_CONTROL!$C$6)*SUP_CONTROL!$C$26*$C$35*SUP_CONTROL!$C$11</f>
        <v>8326.7068965517246</v>
      </c>
      <c r="H47" s="112">
        <f>CAPA1_PILOTO!I11*INDEX(SUP_VOLUMEN!$C$30:$E$30,SUP_CONTROL!$C$6)*SUP_CONTROL!$C$26*$C$35*SUP_CONTROL!$C$11</f>
        <v>13698.775862068967</v>
      </c>
      <c r="I47" s="112">
        <f>CAPA1_PILOTO!J11*INDEX(SUP_VOLUMEN!$C$30:$E$30,SUP_CONTROL!$C$6)*SUP_CONTROL!$C$26*$C$35*SUP_CONTROL!$C$11</f>
        <v>17190.620689655178</v>
      </c>
      <c r="J47" s="112">
        <f>CAPA1_PILOTO!K11*INDEX(SUP_VOLUMEN!$C$30:$E$30,SUP_CONTROL!$C$6)*SUP_CONTROL!$C$26*$C$35*SUP_CONTROL!$C$11</f>
        <v>18399.336206896551</v>
      </c>
      <c r="K47" s="112">
        <f>CAPA1_PILOTO!L11*INDEX(SUP_VOLUMEN!$C$30:$E$30,SUP_CONTROL!$C$6)*SUP_CONTROL!$C$26*$C$35*SUP_CONTROL!$C$11</f>
        <v>18802.241379310348</v>
      </c>
      <c r="L47" s="112">
        <f>CAPA1_PILOTO!M11*INDEX(SUP_VOLUMEN!$C$30:$E$30,SUP_CONTROL!$C$6)*SUP_CONTROL!$C$26*$C$35*SUP_CONTROL!$C$11</f>
        <v>18802.241379310348</v>
      </c>
      <c r="M47" s="112">
        <f>CAPA1_PILOTO!N11*INDEX(SUP_VOLUMEN!$C$30:$E$30,SUP_CONTROL!$C$6)*SUP_CONTROL!$C$26*$C$35*SUP_CONTROL!$C$11</f>
        <v>18802.241379310348</v>
      </c>
      <c r="N47" s="112">
        <f>CAPA1_PILOTO!O11*INDEX(SUP_VOLUMEN!$C$30:$E$30,SUP_CONTROL!$C$6)*SUP_CONTROL!$C$26*$C$35*SUP_CONTROL!$C$11</f>
        <v>18802.241379310348</v>
      </c>
      <c r="O47" s="112">
        <f>SUM(CAPA1_PILOTO!P11:AA11)*INDEX(SUP_VOLUMEN!$C$30:$E$30,SUP_CONTROL!$C$6)*SUP_CONTROL!$C$26*$C$35*SUP_CONTROL!$C$11</f>
        <v>225626.89655172417</v>
      </c>
      <c r="P47" s="112">
        <f>SUM(CAPA1_PILOTO!AB11:AM11)*INDEX(SUP_VOLUMEN!$C$30:$E$30,SUP_CONTROL!$C$6)*SUP_CONTROL!$C$26*$C$35*SUP_CONTROL!$C$11</f>
        <v>225626.89655172417</v>
      </c>
      <c r="Q47" s="112">
        <f>SUM(CAPA1_PILOTO!AN11:AY11)*INDEX(SUP_VOLUMEN!$C$30:$E$30,SUP_CONTROL!$C$6)*SUP_CONTROL!$C$26*$C$35*SUP_CONTROL!$C$11</f>
        <v>225626.89655172417</v>
      </c>
      <c r="R47" s="112">
        <f>SUM(CAPA1_PILOTO!AZ11:BK11)*INDEX(SUP_VOLUMEN!$C$30:$E$30,SUP_CONTROL!$C$6)*SUP_CONTROL!$C$26*$C$35*SUP_CONTROL!$C$11</f>
        <v>225626.89655172417</v>
      </c>
      <c r="S47" s="112">
        <f>SUM(CAPA1_PILOTO!BL11:BW11)*INDEX(SUP_VOLUMEN!$C$30:$E$30,SUP_CONTROL!$C$6)*SUP_CONTROL!$C$26*$C$35*SUP_CONTROL!$C$11</f>
        <v>225626.89655172417</v>
      </c>
      <c r="T47" s="112">
        <f>SUM(CAPA1_PILOTO!BX11:CI11)*INDEX(SUP_VOLUMEN!$C$30:$E$30,SUP_CONTROL!$C$6)*SUP_CONTROL!$C$26*$C$35*SUP_CONTROL!$C$11</f>
        <v>225626.89655172417</v>
      </c>
      <c r="U47" s="112">
        <f>SUM(CAPA1_PILOTO!CJ11:CU11)*INDEX(SUP_VOLUMEN!$C$30:$E$30,SUP_CONTROL!$C$6)*SUP_CONTROL!$C$26*$C$35*SUP_CONTROL!$C$11</f>
        <v>225626.89655172417</v>
      </c>
      <c r="V47" s="112">
        <f>SUM(CAPA1_PILOTO!CV11:DG11)*INDEX(SUP_VOLUMEN!$C$30:$E$30,SUP_CONTROL!$C$6)*SUP_CONTROL!$C$26*$C$35*SUP_CONTROL!$C$11</f>
        <v>225626.89655172417</v>
      </c>
      <c r="W47" s="112">
        <f>SUM(CAPA1_PILOTO!DH11:DS11)*INDEX(SUP_VOLUMEN!$C$30:$E$30,SUP_CONTROL!$C$6)*SUP_CONTROL!$C$26*$C$35*SUP_CONTROL!$C$11</f>
        <v>225626.89655172417</v>
      </c>
    </row>
    <row r="48" spans="2:26" ht="15" customHeight="1" outlineLevel="3" x14ac:dyDescent="0.2">
      <c r="B48" s="132" t="s">
        <v>229</v>
      </c>
      <c r="C48" s="112">
        <f>CAPA1_PILOTO!D11*INDEX(SUP_VOLUMEN!$C$30:$E$30,SUP_CONTROL!$C$6)*SUP_CONTROL!$C$26*$C$36*SUP_CONTROL!$C$11</f>
        <v>0</v>
      </c>
      <c r="D48" s="112">
        <f>CAPA1_PILOTO!E11*INDEX(SUP_VOLUMEN!$C$30:$E$30,SUP_CONTROL!$C$6)*SUP_CONTROL!$C$26*$C$36*SUP_CONTROL!$C$11</f>
        <v>0</v>
      </c>
      <c r="E48" s="112">
        <f>CAPA1_PILOTO!F11*INDEX(SUP_VOLUMEN!$C$30:$E$30,SUP_CONTROL!$C$6)*SUP_CONTROL!$C$26*$C$36*SUP_CONTROL!$C$11</f>
        <v>0</v>
      </c>
      <c r="F48" s="112">
        <f>CAPA1_PILOTO!G11*INDEX(SUP_VOLUMEN!$C$30:$E$30,SUP_CONTROL!$C$6)*SUP_CONTROL!$C$26*$C$36*SUP_CONTROL!$C$11</f>
        <v>5029.9431184664845</v>
      </c>
      <c r="G48" s="112">
        <f>CAPA1_PILOTO!H11*INDEX(SUP_VOLUMEN!$C$30:$E$30,SUP_CONTROL!$C$6)*SUP_CONTROL!$C$26*$C$36*SUP_CONTROL!$C$11</f>
        <v>11137.731190890074</v>
      </c>
      <c r="H48" s="112">
        <f>CAPA1_PILOTO!I11*INDEX(SUP_VOLUMEN!$C$30:$E$30,SUP_CONTROL!$C$6)*SUP_CONTROL!$C$26*$C$36*SUP_CONTROL!$C$11</f>
        <v>18323.36421727077</v>
      </c>
      <c r="I48" s="112">
        <f>CAPA1_PILOTO!J11*INDEX(SUP_VOLUMEN!$C$30:$E$30,SUP_CONTROL!$C$6)*SUP_CONTROL!$C$26*$C$36*SUP_CONTROL!$C$11</f>
        <v>22994.025684418222</v>
      </c>
      <c r="J48" s="112">
        <f>CAPA1_PILOTO!K11*INDEX(SUP_VOLUMEN!$C$30:$E$30,SUP_CONTROL!$C$6)*SUP_CONTROL!$C$26*$C$36*SUP_CONTROL!$C$11</f>
        <v>24610.79311535387</v>
      </c>
      <c r="K48" s="112">
        <f>CAPA1_PILOTO!L11*INDEX(SUP_VOLUMEN!$C$30:$E$30,SUP_CONTROL!$C$6)*SUP_CONTROL!$C$26*$C$36*SUP_CONTROL!$C$11</f>
        <v>25149.715592332424</v>
      </c>
      <c r="L48" s="112">
        <f>CAPA1_PILOTO!M11*INDEX(SUP_VOLUMEN!$C$30:$E$30,SUP_CONTROL!$C$6)*SUP_CONTROL!$C$26*$C$36*SUP_CONTROL!$C$11</f>
        <v>25149.715592332424</v>
      </c>
      <c r="M48" s="112">
        <f>CAPA1_PILOTO!N11*INDEX(SUP_VOLUMEN!$C$30:$E$30,SUP_CONTROL!$C$6)*SUP_CONTROL!$C$26*$C$36*SUP_CONTROL!$C$11</f>
        <v>25149.715592332424</v>
      </c>
      <c r="N48" s="112">
        <f>CAPA1_PILOTO!O11*INDEX(SUP_VOLUMEN!$C$30:$E$30,SUP_CONTROL!$C$6)*SUP_CONTROL!$C$26*$C$36*SUP_CONTROL!$C$11</f>
        <v>25149.715592332424</v>
      </c>
      <c r="O48" s="112">
        <f>SUM(CAPA1_PILOTO!P11:AA11)*INDEX(SUP_VOLUMEN!$C$30:$E$30,SUP_CONTROL!$C$6)*SUP_CONTROL!$C$26*$C$36*SUP_CONTROL!$C$11</f>
        <v>301796.58710798912</v>
      </c>
      <c r="P48" s="112">
        <f>SUM(CAPA1_PILOTO!AB11:AM11)*INDEX(SUP_VOLUMEN!$C$30:$E$30,SUP_CONTROL!$C$6)*SUP_CONTROL!$C$26*$C$36*SUP_CONTROL!$C$11</f>
        <v>301796.58710798912</v>
      </c>
      <c r="Q48" s="112">
        <f>SUM(CAPA1_PILOTO!AN11:AY11)*INDEX(SUP_VOLUMEN!$C$30:$E$30,SUP_CONTROL!$C$6)*SUP_CONTROL!$C$26*$C$36*SUP_CONTROL!$C$11</f>
        <v>301796.58710798912</v>
      </c>
      <c r="R48" s="112">
        <f>SUM(CAPA1_PILOTO!AZ11:BK11)*INDEX(SUP_VOLUMEN!$C$30:$E$30,SUP_CONTROL!$C$6)*SUP_CONTROL!$C$26*$C$36*SUP_CONTROL!$C$11</f>
        <v>301796.58710798912</v>
      </c>
      <c r="S48" s="112">
        <f>SUM(CAPA1_PILOTO!BL11:BW11)*INDEX(SUP_VOLUMEN!$C$30:$E$30,SUP_CONTROL!$C$6)*SUP_CONTROL!$C$26*$C$36*SUP_CONTROL!$C$11</f>
        <v>301796.58710798912</v>
      </c>
      <c r="T48" s="112">
        <f>SUM(CAPA1_PILOTO!BX11:CI11)*INDEX(SUP_VOLUMEN!$C$30:$E$30,SUP_CONTROL!$C$6)*SUP_CONTROL!$C$26*$C$36*SUP_CONTROL!$C$11</f>
        <v>301796.58710798912</v>
      </c>
      <c r="U48" s="112">
        <f>SUM(CAPA1_PILOTO!CJ11:CU11)*INDEX(SUP_VOLUMEN!$C$30:$E$30,SUP_CONTROL!$C$6)*SUP_CONTROL!$C$26*$C$36*SUP_CONTROL!$C$11</f>
        <v>301796.58710798912</v>
      </c>
      <c r="V48" s="112">
        <f>SUM(CAPA1_PILOTO!CV11:DG11)*INDEX(SUP_VOLUMEN!$C$30:$E$30,SUP_CONTROL!$C$6)*SUP_CONTROL!$C$26*$C$36*SUP_CONTROL!$C$11</f>
        <v>301796.58710798912</v>
      </c>
      <c r="W48" s="112">
        <f>SUM(CAPA1_PILOTO!DH11:DS11)*INDEX(SUP_VOLUMEN!$C$30:$E$30,SUP_CONTROL!$C$6)*SUP_CONTROL!$C$26*$C$36*SUP_CONTROL!$C$11</f>
        <v>301796.58710798912</v>
      </c>
    </row>
    <row r="49" spans="2:26" ht="15" customHeight="1" outlineLevel="2" x14ac:dyDescent="0.2">
      <c r="B49" s="133" t="s">
        <v>1197</v>
      </c>
      <c r="C49" s="134">
        <f t="shared" ref="C49:W49" si="2">C42+C43+C44+C45+C46+C47+C48</f>
        <v>0</v>
      </c>
      <c r="D49" s="134">
        <f t="shared" si="2"/>
        <v>0</v>
      </c>
      <c r="E49" s="134">
        <f t="shared" si="2"/>
        <v>0</v>
      </c>
      <c r="F49" s="134">
        <f t="shared" si="2"/>
        <v>61175.136877571218</v>
      </c>
      <c r="G49" s="134">
        <f t="shared" si="2"/>
        <v>135459.23165747913</v>
      </c>
      <c r="H49" s="134">
        <f t="shared" si="2"/>
        <v>222852.28433972373</v>
      </c>
      <c r="I49" s="134">
        <f t="shared" si="2"/>
        <v>279657.76858318277</v>
      </c>
      <c r="J49" s="134">
        <f t="shared" si="2"/>
        <v>299321.20543668774</v>
      </c>
      <c r="K49" s="134">
        <f t="shared" si="2"/>
        <v>305875.6843878561</v>
      </c>
      <c r="L49" s="134">
        <f t="shared" si="2"/>
        <v>305875.6843878561</v>
      </c>
      <c r="M49" s="134">
        <f t="shared" si="2"/>
        <v>305875.6843878561</v>
      </c>
      <c r="N49" s="134">
        <f t="shared" si="2"/>
        <v>305875.6843878561</v>
      </c>
      <c r="O49" s="134">
        <f t="shared" si="2"/>
        <v>3670508.212654273</v>
      </c>
      <c r="P49" s="134">
        <f t="shared" si="2"/>
        <v>3670508.212654273</v>
      </c>
      <c r="Q49" s="134">
        <f t="shared" si="2"/>
        <v>3670508.212654273</v>
      </c>
      <c r="R49" s="134">
        <f t="shared" si="2"/>
        <v>3670508.212654273</v>
      </c>
      <c r="S49" s="134">
        <f t="shared" si="2"/>
        <v>3670508.212654273</v>
      </c>
      <c r="T49" s="134">
        <f t="shared" si="2"/>
        <v>3670508.212654273</v>
      </c>
      <c r="U49" s="134">
        <f t="shared" si="2"/>
        <v>3670508.212654273</v>
      </c>
      <c r="V49" s="134">
        <f t="shared" si="2"/>
        <v>3670508.212654273</v>
      </c>
      <c r="W49" s="134">
        <f t="shared" si="2"/>
        <v>3670508.212654273</v>
      </c>
      <c r="X49" s="41"/>
      <c r="Y49" s="41"/>
      <c r="Z49" s="41"/>
    </row>
    <row r="50" spans="2:26" ht="15" customHeight="1" outlineLevel="2" x14ac:dyDescent="0.2">
      <c r="B50" s="131" t="s">
        <v>1198</v>
      </c>
    </row>
    <row r="51" spans="2:26" ht="15" customHeight="1" outlineLevel="3" x14ac:dyDescent="0.2">
      <c r="B51" s="132" t="s">
        <v>167</v>
      </c>
      <c r="C51" s="112">
        <f>CAPA1_PILOTO!D12*INDEX(SUP_VOLUMEN!$C$31:$E$31,SUP_CONTROL!$C$6)*SUP_CONTROL!$C$26*$C$30*SUP_CONTROL!$C$11</f>
        <v>0</v>
      </c>
      <c r="D51" s="112">
        <f>CAPA1_PILOTO!E12*INDEX(SUP_VOLUMEN!$C$31:$E$31,SUP_CONTROL!$C$6)*SUP_CONTROL!$C$26*$C$30*SUP_CONTROL!$C$11</f>
        <v>0</v>
      </c>
      <c r="E51" s="112">
        <f>CAPA1_PILOTO!F12*INDEX(SUP_VOLUMEN!$C$31:$E$31,SUP_CONTROL!$C$6)*SUP_CONTROL!$C$26*$C$30*SUP_CONTROL!$C$11</f>
        <v>0</v>
      </c>
      <c r="F51" s="112">
        <f>CAPA1_PILOTO!G12*INDEX(SUP_VOLUMEN!$C$31:$E$31,SUP_CONTROL!$C$6)*SUP_CONTROL!$C$26*$C$30*SUP_CONTROL!$C$11</f>
        <v>0</v>
      </c>
      <c r="G51" s="112">
        <f>CAPA1_PILOTO!H12*INDEX(SUP_VOLUMEN!$C$31:$E$31,SUP_CONTROL!$C$6)*SUP_CONTROL!$C$26*$C$30*SUP_CONTROL!$C$11</f>
        <v>0</v>
      </c>
      <c r="H51" s="112">
        <f>CAPA1_PILOTO!I12*INDEX(SUP_VOLUMEN!$C$31:$E$31,SUP_CONTROL!$C$6)*SUP_CONTROL!$C$26*$C$30*SUP_CONTROL!$C$11</f>
        <v>0</v>
      </c>
      <c r="I51" s="112">
        <f>CAPA1_PILOTO!J12*INDEX(SUP_VOLUMEN!$C$31:$E$31,SUP_CONTROL!$C$6)*SUP_CONTROL!$C$26*$C$30*SUP_CONTROL!$C$11</f>
        <v>17274.451551724138</v>
      </c>
      <c r="J51" s="112">
        <f>CAPA1_PILOTO!K12*INDEX(SUP_VOLUMEN!$C$31:$E$31,SUP_CONTROL!$C$6)*SUP_CONTROL!$C$26*$C$30*SUP_CONTROL!$C$11</f>
        <v>55525.022844827581</v>
      </c>
      <c r="K51" s="112">
        <f>CAPA1_PILOTO!L12*INDEX(SUP_VOLUMEN!$C$31:$E$31,SUP_CONTROL!$C$6)*SUP_CONTROL!$C$26*$C$30*SUP_CONTROL!$C$11</f>
        <v>66630.027413793112</v>
      </c>
      <c r="L51" s="112">
        <f>CAPA1_PILOTO!M12*INDEX(SUP_VOLUMEN!$C$31:$E$31,SUP_CONTROL!$C$6)*SUP_CONTROL!$C$26*$C$30*SUP_CONTROL!$C$11</f>
        <v>74033.363793103446</v>
      </c>
      <c r="M51" s="112">
        <f>CAPA1_PILOTO!N12*INDEX(SUP_VOLUMEN!$C$31:$E$31,SUP_CONTROL!$C$6)*SUP_CONTROL!$C$26*$C$30*SUP_CONTROL!$C$11</f>
        <v>74033.363793103446</v>
      </c>
      <c r="N51" s="112">
        <f>CAPA1_PILOTO!O12*INDEX(SUP_VOLUMEN!$C$31:$E$31,SUP_CONTROL!$C$6)*SUP_CONTROL!$C$26*$C$30*SUP_CONTROL!$C$11</f>
        <v>74033.363793103446</v>
      </c>
      <c r="O51" s="112">
        <f>SUM(CAPA1_PILOTO!P12:AA12)*INDEX(SUP_VOLUMEN!$C$31:$E$31,SUP_CONTROL!$C$6)*SUP_CONTROL!$C$26*$C$30*SUP_CONTROL!$C$11</f>
        <v>888400.3655172413</v>
      </c>
      <c r="P51" s="112">
        <f>SUM(CAPA1_PILOTO!AB12:AM12)*INDEX(SUP_VOLUMEN!$C$31:$E$31,SUP_CONTROL!$C$6)*SUP_CONTROL!$C$26*$C$30*SUP_CONTROL!$C$11</f>
        <v>888400.3655172413</v>
      </c>
      <c r="Q51" s="112">
        <f>SUM(CAPA1_PILOTO!AN12:AY12)*INDEX(SUP_VOLUMEN!$C$31:$E$31,SUP_CONTROL!$C$6)*SUP_CONTROL!$C$26*$C$30*SUP_CONTROL!$C$11</f>
        <v>888400.3655172413</v>
      </c>
      <c r="R51" s="112">
        <f>SUM(CAPA1_PILOTO!AZ12:BK12)*INDEX(SUP_VOLUMEN!$C$31:$E$31,SUP_CONTROL!$C$6)*SUP_CONTROL!$C$26*$C$30*SUP_CONTROL!$C$11</f>
        <v>888400.3655172413</v>
      </c>
      <c r="S51" s="112">
        <f>SUM(CAPA1_PILOTO!BL12:BW12)*INDEX(SUP_VOLUMEN!$C$31:$E$31,SUP_CONTROL!$C$6)*SUP_CONTROL!$C$26*$C$30*SUP_CONTROL!$C$11</f>
        <v>888400.3655172413</v>
      </c>
      <c r="T51" s="112">
        <f>SUM(CAPA1_PILOTO!BX12:CI12)*INDEX(SUP_VOLUMEN!$C$31:$E$31,SUP_CONTROL!$C$6)*SUP_CONTROL!$C$26*$C$30*SUP_CONTROL!$C$11</f>
        <v>888400.3655172413</v>
      </c>
      <c r="U51" s="112">
        <f>SUM(CAPA1_PILOTO!CJ12:CU12)*INDEX(SUP_VOLUMEN!$C$31:$E$31,SUP_CONTROL!$C$6)*SUP_CONTROL!$C$26*$C$30*SUP_CONTROL!$C$11</f>
        <v>888400.3655172413</v>
      </c>
      <c r="V51" s="112">
        <f>SUM(CAPA1_PILOTO!CV12:DG12)*INDEX(SUP_VOLUMEN!$C$31:$E$31,SUP_CONTROL!$C$6)*SUP_CONTROL!$C$26*$C$30*SUP_CONTROL!$C$11</f>
        <v>888400.3655172413</v>
      </c>
      <c r="W51" s="112">
        <f>SUM(CAPA1_PILOTO!DH12:DS12)*INDEX(SUP_VOLUMEN!$C$31:$E$31,SUP_CONTROL!$C$6)*SUP_CONTROL!$C$26*$C$30*SUP_CONTROL!$C$11</f>
        <v>888400.3655172413</v>
      </c>
    </row>
    <row r="52" spans="2:26" ht="15" customHeight="1" outlineLevel="3" x14ac:dyDescent="0.2">
      <c r="B52" s="132" t="s">
        <v>188</v>
      </c>
      <c r="C52" s="112">
        <f>CAPA1_PILOTO!D12*INDEX(SUP_VOLUMEN!$C$31:$E$31,SUP_CONTROL!$C$6)*SUP_CONTROL!$C$26*$C$31*SUP_CONTROL!$C$11</f>
        <v>0</v>
      </c>
      <c r="D52" s="112">
        <f>CAPA1_PILOTO!E12*INDEX(SUP_VOLUMEN!$C$31:$E$31,SUP_CONTROL!$C$6)*SUP_CONTROL!$C$26*$C$31*SUP_CONTROL!$C$11</f>
        <v>0</v>
      </c>
      <c r="E52" s="112">
        <f>CAPA1_PILOTO!F12*INDEX(SUP_VOLUMEN!$C$31:$E$31,SUP_CONTROL!$C$6)*SUP_CONTROL!$C$26*$C$31*SUP_CONTROL!$C$11</f>
        <v>0</v>
      </c>
      <c r="F52" s="112">
        <f>CAPA1_PILOTO!G12*INDEX(SUP_VOLUMEN!$C$31:$E$31,SUP_CONTROL!$C$6)*SUP_CONTROL!$C$26*$C$31*SUP_CONTROL!$C$11</f>
        <v>0</v>
      </c>
      <c r="G52" s="112">
        <f>CAPA1_PILOTO!H12*INDEX(SUP_VOLUMEN!$C$31:$E$31,SUP_CONTROL!$C$6)*SUP_CONTROL!$C$26*$C$31*SUP_CONTROL!$C$11</f>
        <v>0</v>
      </c>
      <c r="H52" s="112">
        <f>CAPA1_PILOTO!I12*INDEX(SUP_VOLUMEN!$C$31:$E$31,SUP_CONTROL!$C$6)*SUP_CONTROL!$C$26*$C$31*SUP_CONTROL!$C$11</f>
        <v>0</v>
      </c>
      <c r="I52" s="112">
        <f>CAPA1_PILOTO!J12*INDEX(SUP_VOLUMEN!$C$31:$E$31,SUP_CONTROL!$C$6)*SUP_CONTROL!$C$26*$C$31*SUP_CONTROL!$C$11</f>
        <v>11419.561464439654</v>
      </c>
      <c r="J52" s="112">
        <f>CAPA1_PILOTO!K12*INDEX(SUP_VOLUMEN!$C$31:$E$31,SUP_CONTROL!$C$6)*SUP_CONTROL!$C$26*$C$31*SUP_CONTROL!$C$11</f>
        <v>36705.733278556028</v>
      </c>
      <c r="K52" s="112">
        <f>CAPA1_PILOTO!L12*INDEX(SUP_VOLUMEN!$C$31:$E$31,SUP_CONTROL!$C$6)*SUP_CONTROL!$C$26*$C$31*SUP_CONTROL!$C$11</f>
        <v>44046.879934267243</v>
      </c>
      <c r="L52" s="112">
        <f>CAPA1_PILOTO!M12*INDEX(SUP_VOLUMEN!$C$31:$E$31,SUP_CONTROL!$C$6)*SUP_CONTROL!$C$26*$C$31*SUP_CONTROL!$C$11</f>
        <v>48940.977704741381</v>
      </c>
      <c r="M52" s="112">
        <f>CAPA1_PILOTO!N12*INDEX(SUP_VOLUMEN!$C$31:$E$31,SUP_CONTROL!$C$6)*SUP_CONTROL!$C$26*$C$31*SUP_CONTROL!$C$11</f>
        <v>48940.977704741381</v>
      </c>
      <c r="N52" s="112">
        <f>CAPA1_PILOTO!O12*INDEX(SUP_VOLUMEN!$C$31:$E$31,SUP_CONTROL!$C$6)*SUP_CONTROL!$C$26*$C$31*SUP_CONTROL!$C$11</f>
        <v>48940.977704741381</v>
      </c>
      <c r="O52" s="112">
        <f>SUM(CAPA1_PILOTO!P12:AA12)*INDEX(SUP_VOLUMEN!$C$31:$E$31,SUP_CONTROL!$C$6)*SUP_CONTROL!$C$26*$C$31*SUP_CONTROL!$C$11</f>
        <v>587291.73245689645</v>
      </c>
      <c r="P52" s="112">
        <f>SUM(CAPA1_PILOTO!AB12:AM12)*INDEX(SUP_VOLUMEN!$C$31:$E$31,SUP_CONTROL!$C$6)*SUP_CONTROL!$C$26*$C$31*SUP_CONTROL!$C$11</f>
        <v>587291.73245689645</v>
      </c>
      <c r="Q52" s="112">
        <f>SUM(CAPA1_PILOTO!AN12:AY12)*INDEX(SUP_VOLUMEN!$C$31:$E$31,SUP_CONTROL!$C$6)*SUP_CONTROL!$C$26*$C$31*SUP_CONTROL!$C$11</f>
        <v>587291.73245689645</v>
      </c>
      <c r="R52" s="112">
        <f>SUM(CAPA1_PILOTO!AZ12:BK12)*INDEX(SUP_VOLUMEN!$C$31:$E$31,SUP_CONTROL!$C$6)*SUP_CONTROL!$C$26*$C$31*SUP_CONTROL!$C$11</f>
        <v>587291.73245689645</v>
      </c>
      <c r="S52" s="112">
        <f>SUM(CAPA1_PILOTO!BL12:BW12)*INDEX(SUP_VOLUMEN!$C$31:$E$31,SUP_CONTROL!$C$6)*SUP_CONTROL!$C$26*$C$31*SUP_CONTROL!$C$11</f>
        <v>587291.73245689645</v>
      </c>
      <c r="T52" s="112">
        <f>SUM(CAPA1_PILOTO!BX12:CI12)*INDEX(SUP_VOLUMEN!$C$31:$E$31,SUP_CONTROL!$C$6)*SUP_CONTROL!$C$26*$C$31*SUP_CONTROL!$C$11</f>
        <v>587291.73245689645</v>
      </c>
      <c r="U52" s="112">
        <f>SUM(CAPA1_PILOTO!CJ12:CU12)*INDEX(SUP_VOLUMEN!$C$31:$E$31,SUP_CONTROL!$C$6)*SUP_CONTROL!$C$26*$C$31*SUP_CONTROL!$C$11</f>
        <v>587291.73245689645</v>
      </c>
      <c r="V52" s="112">
        <f>SUM(CAPA1_PILOTO!CV12:DG12)*INDEX(SUP_VOLUMEN!$C$31:$E$31,SUP_CONTROL!$C$6)*SUP_CONTROL!$C$26*$C$31*SUP_CONTROL!$C$11</f>
        <v>587291.73245689645</v>
      </c>
      <c r="W52" s="112">
        <f>SUM(CAPA1_PILOTO!DH12:DS12)*INDEX(SUP_VOLUMEN!$C$31:$E$31,SUP_CONTROL!$C$6)*SUP_CONTROL!$C$26*$C$31*SUP_CONTROL!$C$11</f>
        <v>587291.73245689645</v>
      </c>
    </row>
    <row r="53" spans="2:26" ht="15" customHeight="1" outlineLevel="3" x14ac:dyDescent="0.2">
      <c r="B53" s="132" t="s">
        <v>205</v>
      </c>
      <c r="C53" s="112">
        <f>CAPA1_PILOTO!D12*INDEX(SUP_VOLUMEN!$C$31:$E$31,SUP_CONTROL!$C$6)*SUP_CONTROL!$C$26*$C$32*SUP_CONTROL!$C$11</f>
        <v>0</v>
      </c>
      <c r="D53" s="112">
        <f>CAPA1_PILOTO!E12*INDEX(SUP_VOLUMEN!$C$31:$E$31,SUP_CONTROL!$C$6)*SUP_CONTROL!$C$26*$C$32*SUP_CONTROL!$C$11</f>
        <v>0</v>
      </c>
      <c r="E53" s="112">
        <f>CAPA1_PILOTO!F12*INDEX(SUP_VOLUMEN!$C$31:$E$31,SUP_CONTROL!$C$6)*SUP_CONTROL!$C$26*$C$32*SUP_CONTROL!$C$11</f>
        <v>0</v>
      </c>
      <c r="F53" s="112">
        <f>CAPA1_PILOTO!G12*INDEX(SUP_VOLUMEN!$C$31:$E$31,SUP_CONTROL!$C$6)*SUP_CONTROL!$C$26*$C$32*SUP_CONTROL!$C$11</f>
        <v>0</v>
      </c>
      <c r="G53" s="112">
        <f>CAPA1_PILOTO!H12*INDEX(SUP_VOLUMEN!$C$31:$E$31,SUP_CONTROL!$C$6)*SUP_CONTROL!$C$26*$C$32*SUP_CONTROL!$C$11</f>
        <v>0</v>
      </c>
      <c r="H53" s="112">
        <f>CAPA1_PILOTO!I12*INDEX(SUP_VOLUMEN!$C$31:$E$31,SUP_CONTROL!$C$6)*SUP_CONTROL!$C$26*$C$32*SUP_CONTROL!$C$11</f>
        <v>0</v>
      </c>
      <c r="I53" s="112">
        <f>CAPA1_PILOTO!J12*INDEX(SUP_VOLUMEN!$C$31:$E$31,SUP_CONTROL!$C$6)*SUP_CONTROL!$C$26*$C$32*SUP_CONTROL!$C$11</f>
        <v>1521.4195862068966</v>
      </c>
      <c r="J53" s="112">
        <f>CAPA1_PILOTO!K12*INDEX(SUP_VOLUMEN!$C$31:$E$31,SUP_CONTROL!$C$6)*SUP_CONTROL!$C$26*$C$32*SUP_CONTROL!$C$11</f>
        <v>4890.2772413793109</v>
      </c>
      <c r="K53" s="112">
        <f>CAPA1_PILOTO!L12*INDEX(SUP_VOLUMEN!$C$31:$E$31,SUP_CONTROL!$C$6)*SUP_CONTROL!$C$26*$C$32*SUP_CONTROL!$C$11</f>
        <v>5868.3326896551735</v>
      </c>
      <c r="L53" s="112">
        <f>CAPA1_PILOTO!M12*INDEX(SUP_VOLUMEN!$C$31:$E$31,SUP_CONTROL!$C$6)*SUP_CONTROL!$C$26*$C$32*SUP_CONTROL!$C$11</f>
        <v>6520.3696551724142</v>
      </c>
      <c r="M53" s="112">
        <f>CAPA1_PILOTO!N12*INDEX(SUP_VOLUMEN!$C$31:$E$31,SUP_CONTROL!$C$6)*SUP_CONTROL!$C$26*$C$32*SUP_CONTROL!$C$11</f>
        <v>6520.3696551724142</v>
      </c>
      <c r="N53" s="112">
        <f>CAPA1_PILOTO!O12*INDEX(SUP_VOLUMEN!$C$31:$E$31,SUP_CONTROL!$C$6)*SUP_CONTROL!$C$26*$C$32*SUP_CONTROL!$C$11</f>
        <v>6520.3696551724142</v>
      </c>
      <c r="O53" s="112">
        <f>SUM(CAPA1_PILOTO!P12:AA12)*INDEX(SUP_VOLUMEN!$C$31:$E$31,SUP_CONTROL!$C$6)*SUP_CONTROL!$C$26*$C$32*SUP_CONTROL!$C$11</f>
        <v>78244.435862068975</v>
      </c>
      <c r="P53" s="112">
        <f>SUM(CAPA1_PILOTO!AB12:AM12)*INDEX(SUP_VOLUMEN!$C$31:$E$31,SUP_CONTROL!$C$6)*SUP_CONTROL!$C$26*$C$32*SUP_CONTROL!$C$11</f>
        <v>78244.435862068975</v>
      </c>
      <c r="Q53" s="112">
        <f>SUM(CAPA1_PILOTO!AN12:AY12)*INDEX(SUP_VOLUMEN!$C$31:$E$31,SUP_CONTROL!$C$6)*SUP_CONTROL!$C$26*$C$32*SUP_CONTROL!$C$11</f>
        <v>78244.435862068975</v>
      </c>
      <c r="R53" s="112">
        <f>SUM(CAPA1_PILOTO!AZ12:BK12)*INDEX(SUP_VOLUMEN!$C$31:$E$31,SUP_CONTROL!$C$6)*SUP_CONTROL!$C$26*$C$32*SUP_CONTROL!$C$11</f>
        <v>78244.435862068975</v>
      </c>
      <c r="S53" s="112">
        <f>SUM(CAPA1_PILOTO!BL12:BW12)*INDEX(SUP_VOLUMEN!$C$31:$E$31,SUP_CONTROL!$C$6)*SUP_CONTROL!$C$26*$C$32*SUP_CONTROL!$C$11</f>
        <v>78244.435862068975</v>
      </c>
      <c r="T53" s="112">
        <f>SUM(CAPA1_PILOTO!BX12:CI12)*INDEX(SUP_VOLUMEN!$C$31:$E$31,SUP_CONTROL!$C$6)*SUP_CONTROL!$C$26*$C$32*SUP_CONTROL!$C$11</f>
        <v>78244.435862068975</v>
      </c>
      <c r="U53" s="112">
        <f>SUM(CAPA1_PILOTO!CJ12:CU12)*INDEX(SUP_VOLUMEN!$C$31:$E$31,SUP_CONTROL!$C$6)*SUP_CONTROL!$C$26*$C$32*SUP_CONTROL!$C$11</f>
        <v>78244.435862068975</v>
      </c>
      <c r="V53" s="112">
        <f>SUM(CAPA1_PILOTO!CV12:DG12)*INDEX(SUP_VOLUMEN!$C$31:$E$31,SUP_CONTROL!$C$6)*SUP_CONTROL!$C$26*$C$32*SUP_CONTROL!$C$11</f>
        <v>78244.435862068975</v>
      </c>
      <c r="W53" s="112">
        <f>SUM(CAPA1_PILOTO!DH12:DS12)*INDEX(SUP_VOLUMEN!$C$31:$E$31,SUP_CONTROL!$C$6)*SUP_CONTROL!$C$26*$C$32*SUP_CONTROL!$C$11</f>
        <v>78244.435862068975</v>
      </c>
    </row>
    <row r="54" spans="2:26" ht="15" customHeight="1" outlineLevel="3" x14ac:dyDescent="0.2">
      <c r="B54" s="132" t="s">
        <v>210</v>
      </c>
      <c r="C54" s="112">
        <f>CAPA1_PILOTO!D12*INDEX(SUP_VOLUMEN!$C$31:$E$31,SUP_CONTROL!$C$6)*SUP_CONTROL!$C$26*$C$33*SUP_CONTROL!$C$11</f>
        <v>0</v>
      </c>
      <c r="D54" s="112">
        <f>CAPA1_PILOTO!E12*INDEX(SUP_VOLUMEN!$C$31:$E$31,SUP_CONTROL!$C$6)*SUP_CONTROL!$C$26*$C$33*SUP_CONTROL!$C$11</f>
        <v>0</v>
      </c>
      <c r="E54" s="112">
        <f>CAPA1_PILOTO!F12*INDEX(SUP_VOLUMEN!$C$31:$E$31,SUP_CONTROL!$C$6)*SUP_CONTROL!$C$26*$C$33*SUP_CONTROL!$C$11</f>
        <v>0</v>
      </c>
      <c r="F54" s="112">
        <f>CAPA1_PILOTO!G12*INDEX(SUP_VOLUMEN!$C$31:$E$31,SUP_CONTROL!$C$6)*SUP_CONTROL!$C$26*$C$33*SUP_CONTROL!$C$11</f>
        <v>0</v>
      </c>
      <c r="G54" s="112">
        <f>CAPA1_PILOTO!H12*INDEX(SUP_VOLUMEN!$C$31:$E$31,SUP_CONTROL!$C$6)*SUP_CONTROL!$C$26*$C$33*SUP_CONTROL!$C$11</f>
        <v>0</v>
      </c>
      <c r="H54" s="112">
        <f>CAPA1_PILOTO!I12*INDEX(SUP_VOLUMEN!$C$31:$E$31,SUP_CONTROL!$C$6)*SUP_CONTROL!$C$26*$C$33*SUP_CONTROL!$C$11</f>
        <v>0</v>
      </c>
      <c r="I54" s="112">
        <f>CAPA1_PILOTO!J12*INDEX(SUP_VOLUMEN!$C$31:$E$31,SUP_CONTROL!$C$6)*SUP_CONTROL!$C$26*$C$33*SUP_CONTROL!$C$11</f>
        <v>1913.300388714734</v>
      </c>
      <c r="J54" s="112">
        <f>CAPA1_PILOTO!K12*INDEX(SUP_VOLUMEN!$C$31:$E$31,SUP_CONTROL!$C$6)*SUP_CONTROL!$C$26*$C$33*SUP_CONTROL!$C$11</f>
        <v>6149.8941065830732</v>
      </c>
      <c r="K54" s="112">
        <f>CAPA1_PILOTO!L12*INDEX(SUP_VOLUMEN!$C$31:$E$31,SUP_CONTROL!$C$6)*SUP_CONTROL!$C$26*$C$33*SUP_CONTROL!$C$11</f>
        <v>7379.8729278996889</v>
      </c>
      <c r="L54" s="112">
        <f>CAPA1_PILOTO!M12*INDEX(SUP_VOLUMEN!$C$31:$E$31,SUP_CONTROL!$C$6)*SUP_CONTROL!$C$26*$C$33*SUP_CONTROL!$C$11</f>
        <v>8199.8588087774315</v>
      </c>
      <c r="M54" s="112">
        <f>CAPA1_PILOTO!N12*INDEX(SUP_VOLUMEN!$C$31:$E$31,SUP_CONTROL!$C$6)*SUP_CONTROL!$C$26*$C$33*SUP_CONTROL!$C$11</f>
        <v>8199.8588087774315</v>
      </c>
      <c r="N54" s="112">
        <f>CAPA1_PILOTO!O12*INDEX(SUP_VOLUMEN!$C$31:$E$31,SUP_CONTROL!$C$6)*SUP_CONTROL!$C$26*$C$33*SUP_CONTROL!$C$11</f>
        <v>8199.8588087774315</v>
      </c>
      <c r="O54" s="112">
        <f>SUM(CAPA1_PILOTO!P12:AA12)*INDEX(SUP_VOLUMEN!$C$31:$E$31,SUP_CONTROL!$C$6)*SUP_CONTROL!$C$26*$C$33*SUP_CONTROL!$C$11</f>
        <v>98398.30570532917</v>
      </c>
      <c r="P54" s="112">
        <f>SUM(CAPA1_PILOTO!AB12:AM12)*INDEX(SUP_VOLUMEN!$C$31:$E$31,SUP_CONTROL!$C$6)*SUP_CONTROL!$C$26*$C$33*SUP_CONTROL!$C$11</f>
        <v>98398.30570532917</v>
      </c>
      <c r="Q54" s="112">
        <f>SUM(CAPA1_PILOTO!AN12:AY12)*INDEX(SUP_VOLUMEN!$C$31:$E$31,SUP_CONTROL!$C$6)*SUP_CONTROL!$C$26*$C$33*SUP_CONTROL!$C$11</f>
        <v>98398.30570532917</v>
      </c>
      <c r="R54" s="112">
        <f>SUM(CAPA1_PILOTO!AZ12:BK12)*INDEX(SUP_VOLUMEN!$C$31:$E$31,SUP_CONTROL!$C$6)*SUP_CONTROL!$C$26*$C$33*SUP_CONTROL!$C$11</f>
        <v>98398.30570532917</v>
      </c>
      <c r="S54" s="112">
        <f>SUM(CAPA1_PILOTO!BL12:BW12)*INDEX(SUP_VOLUMEN!$C$31:$E$31,SUP_CONTROL!$C$6)*SUP_CONTROL!$C$26*$C$33*SUP_CONTROL!$C$11</f>
        <v>98398.30570532917</v>
      </c>
      <c r="T54" s="112">
        <f>SUM(CAPA1_PILOTO!BX12:CI12)*INDEX(SUP_VOLUMEN!$C$31:$E$31,SUP_CONTROL!$C$6)*SUP_CONTROL!$C$26*$C$33*SUP_CONTROL!$C$11</f>
        <v>98398.30570532917</v>
      </c>
      <c r="U54" s="112">
        <f>SUM(CAPA1_PILOTO!CJ12:CU12)*INDEX(SUP_VOLUMEN!$C$31:$E$31,SUP_CONTROL!$C$6)*SUP_CONTROL!$C$26*$C$33*SUP_CONTROL!$C$11</f>
        <v>98398.30570532917</v>
      </c>
      <c r="V54" s="112">
        <f>SUM(CAPA1_PILOTO!CV12:DG12)*INDEX(SUP_VOLUMEN!$C$31:$E$31,SUP_CONTROL!$C$6)*SUP_CONTROL!$C$26*$C$33*SUP_CONTROL!$C$11</f>
        <v>98398.30570532917</v>
      </c>
      <c r="W54" s="112">
        <f>SUM(CAPA1_PILOTO!DH12:DS12)*INDEX(SUP_VOLUMEN!$C$31:$E$31,SUP_CONTROL!$C$6)*SUP_CONTROL!$C$26*$C$33*SUP_CONTROL!$C$11</f>
        <v>98398.30570532917</v>
      </c>
    </row>
    <row r="55" spans="2:26" ht="15" customHeight="1" outlineLevel="3" x14ac:dyDescent="0.2">
      <c r="B55" s="132" t="s">
        <v>215</v>
      </c>
      <c r="C55" s="112">
        <f>CAPA1_PILOTO!D12*INDEX(SUP_VOLUMEN!$C$31:$E$31,SUP_CONTROL!$C$6)*SUP_CONTROL!$C$26*$C$34*SUP_CONTROL!$C$11</f>
        <v>0</v>
      </c>
      <c r="D55" s="112">
        <f>CAPA1_PILOTO!E12*INDEX(SUP_VOLUMEN!$C$31:$E$31,SUP_CONTROL!$C$6)*SUP_CONTROL!$C$26*$C$34*SUP_CONTROL!$C$11</f>
        <v>0</v>
      </c>
      <c r="E55" s="112">
        <f>CAPA1_PILOTO!F12*INDEX(SUP_VOLUMEN!$C$31:$E$31,SUP_CONTROL!$C$6)*SUP_CONTROL!$C$26*$C$34*SUP_CONTROL!$C$11</f>
        <v>0</v>
      </c>
      <c r="F55" s="112">
        <f>CAPA1_PILOTO!G12*INDEX(SUP_VOLUMEN!$C$31:$E$31,SUP_CONTROL!$C$6)*SUP_CONTROL!$C$26*$C$34*SUP_CONTROL!$C$11</f>
        <v>0</v>
      </c>
      <c r="G55" s="112">
        <f>CAPA1_PILOTO!H12*INDEX(SUP_VOLUMEN!$C$31:$E$31,SUP_CONTROL!$C$6)*SUP_CONTROL!$C$26*$C$34*SUP_CONTROL!$C$11</f>
        <v>0</v>
      </c>
      <c r="H55" s="112">
        <f>CAPA1_PILOTO!I12*INDEX(SUP_VOLUMEN!$C$31:$E$31,SUP_CONTROL!$C$6)*SUP_CONTROL!$C$26*$C$34*SUP_CONTROL!$C$11</f>
        <v>0</v>
      </c>
      <c r="I55" s="112">
        <f>CAPA1_PILOTO!J12*INDEX(SUP_VOLUMEN!$C$31:$E$31,SUP_CONTROL!$C$6)*SUP_CONTROL!$C$26*$C$34*SUP_CONTROL!$C$11</f>
        <v>1921.3515730223123</v>
      </c>
      <c r="J55" s="112">
        <f>CAPA1_PILOTO!K12*INDEX(SUP_VOLUMEN!$C$31:$E$31,SUP_CONTROL!$C$6)*SUP_CONTROL!$C$26*$C$34*SUP_CONTROL!$C$11</f>
        <v>6175.772913286004</v>
      </c>
      <c r="K55" s="112">
        <f>CAPA1_PILOTO!L12*INDEX(SUP_VOLUMEN!$C$31:$E$31,SUP_CONTROL!$C$6)*SUP_CONTROL!$C$26*$C$34*SUP_CONTROL!$C$11</f>
        <v>7410.9274959432059</v>
      </c>
      <c r="L55" s="112">
        <f>CAPA1_PILOTO!M12*INDEX(SUP_VOLUMEN!$C$31:$E$31,SUP_CONTROL!$C$6)*SUP_CONTROL!$C$26*$C$34*SUP_CONTROL!$C$11</f>
        <v>8234.3638843813387</v>
      </c>
      <c r="M55" s="112">
        <f>CAPA1_PILOTO!N12*INDEX(SUP_VOLUMEN!$C$31:$E$31,SUP_CONTROL!$C$6)*SUP_CONTROL!$C$26*$C$34*SUP_CONTROL!$C$11</f>
        <v>8234.3638843813387</v>
      </c>
      <c r="N55" s="112">
        <f>CAPA1_PILOTO!O12*INDEX(SUP_VOLUMEN!$C$31:$E$31,SUP_CONTROL!$C$6)*SUP_CONTROL!$C$26*$C$34*SUP_CONTROL!$C$11</f>
        <v>8234.3638843813387</v>
      </c>
      <c r="O55" s="112">
        <f>SUM(CAPA1_PILOTO!P12:AA12)*INDEX(SUP_VOLUMEN!$C$31:$E$31,SUP_CONTROL!$C$6)*SUP_CONTROL!$C$26*$C$34*SUP_CONTROL!$C$11</f>
        <v>98812.366612576065</v>
      </c>
      <c r="P55" s="112">
        <f>SUM(CAPA1_PILOTO!AB12:AM12)*INDEX(SUP_VOLUMEN!$C$31:$E$31,SUP_CONTROL!$C$6)*SUP_CONTROL!$C$26*$C$34*SUP_CONTROL!$C$11</f>
        <v>98812.366612576065</v>
      </c>
      <c r="Q55" s="112">
        <f>SUM(CAPA1_PILOTO!AN12:AY12)*INDEX(SUP_VOLUMEN!$C$31:$E$31,SUP_CONTROL!$C$6)*SUP_CONTROL!$C$26*$C$34*SUP_CONTROL!$C$11</f>
        <v>98812.366612576065</v>
      </c>
      <c r="R55" s="112">
        <f>SUM(CAPA1_PILOTO!AZ12:BK12)*INDEX(SUP_VOLUMEN!$C$31:$E$31,SUP_CONTROL!$C$6)*SUP_CONTROL!$C$26*$C$34*SUP_CONTROL!$C$11</f>
        <v>98812.366612576065</v>
      </c>
      <c r="S55" s="112">
        <f>SUM(CAPA1_PILOTO!BL12:BW12)*INDEX(SUP_VOLUMEN!$C$31:$E$31,SUP_CONTROL!$C$6)*SUP_CONTROL!$C$26*$C$34*SUP_CONTROL!$C$11</f>
        <v>98812.366612576065</v>
      </c>
      <c r="T55" s="112">
        <f>SUM(CAPA1_PILOTO!BX12:CI12)*INDEX(SUP_VOLUMEN!$C$31:$E$31,SUP_CONTROL!$C$6)*SUP_CONTROL!$C$26*$C$34*SUP_CONTROL!$C$11</f>
        <v>98812.366612576065</v>
      </c>
      <c r="U55" s="112">
        <f>SUM(CAPA1_PILOTO!CJ12:CU12)*INDEX(SUP_VOLUMEN!$C$31:$E$31,SUP_CONTROL!$C$6)*SUP_CONTROL!$C$26*$C$34*SUP_CONTROL!$C$11</f>
        <v>98812.366612576065</v>
      </c>
      <c r="V55" s="112">
        <f>SUM(CAPA1_PILOTO!CV12:DG12)*INDEX(SUP_VOLUMEN!$C$31:$E$31,SUP_CONTROL!$C$6)*SUP_CONTROL!$C$26*$C$34*SUP_CONTROL!$C$11</f>
        <v>98812.366612576065</v>
      </c>
      <c r="W55" s="112">
        <f>SUM(CAPA1_PILOTO!DH12:DS12)*INDEX(SUP_VOLUMEN!$C$31:$E$31,SUP_CONTROL!$C$6)*SUP_CONTROL!$C$26*$C$34*SUP_CONTROL!$C$11</f>
        <v>98812.366612576065</v>
      </c>
    </row>
    <row r="56" spans="2:26" ht="15" customHeight="1" outlineLevel="3" x14ac:dyDescent="0.2">
      <c r="B56" s="132" t="s">
        <v>220</v>
      </c>
      <c r="C56" s="112">
        <f>CAPA1_PILOTO!D12*INDEX(SUP_VOLUMEN!$C$31:$E$31,SUP_CONTROL!$C$6)*SUP_CONTROL!$C$26*$C$35*SUP_CONTROL!$C$11</f>
        <v>0</v>
      </c>
      <c r="D56" s="112">
        <f>CAPA1_PILOTO!E12*INDEX(SUP_VOLUMEN!$C$31:$E$31,SUP_CONTROL!$C$6)*SUP_CONTROL!$C$26*$C$35*SUP_CONTROL!$C$11</f>
        <v>0</v>
      </c>
      <c r="E56" s="112">
        <f>CAPA1_PILOTO!F12*INDEX(SUP_VOLUMEN!$C$31:$E$31,SUP_CONTROL!$C$6)*SUP_CONTROL!$C$26*$C$35*SUP_CONTROL!$C$11</f>
        <v>0</v>
      </c>
      <c r="F56" s="112">
        <f>CAPA1_PILOTO!G12*INDEX(SUP_VOLUMEN!$C$31:$E$31,SUP_CONTROL!$C$6)*SUP_CONTROL!$C$26*$C$35*SUP_CONTROL!$C$11</f>
        <v>0</v>
      </c>
      <c r="G56" s="112">
        <f>CAPA1_PILOTO!H12*INDEX(SUP_VOLUMEN!$C$31:$E$31,SUP_CONTROL!$C$6)*SUP_CONTROL!$C$26*$C$35*SUP_CONTROL!$C$11</f>
        <v>0</v>
      </c>
      <c r="H56" s="112">
        <f>CAPA1_PILOTO!I12*INDEX(SUP_VOLUMEN!$C$31:$E$31,SUP_CONTROL!$C$6)*SUP_CONTROL!$C$26*$C$35*SUP_CONTROL!$C$11</f>
        <v>0</v>
      </c>
      <c r="I56" s="112">
        <f>CAPA1_PILOTO!J12*INDEX(SUP_VOLUMEN!$C$31:$E$31,SUP_CONTROL!$C$6)*SUP_CONTROL!$C$26*$C$35*SUP_CONTROL!$C$11</f>
        <v>2444.2913793103453</v>
      </c>
      <c r="J56" s="112">
        <f>CAPA1_PILOTO!K12*INDEX(SUP_VOLUMEN!$C$31:$E$31,SUP_CONTROL!$C$6)*SUP_CONTROL!$C$26*$C$35*SUP_CONTROL!$C$11</f>
        <v>7856.6508620689665</v>
      </c>
      <c r="K56" s="112">
        <f>CAPA1_PILOTO!L12*INDEX(SUP_VOLUMEN!$C$31:$E$31,SUP_CONTROL!$C$6)*SUP_CONTROL!$C$26*$C$35*SUP_CONTROL!$C$11</f>
        <v>9427.981034482762</v>
      </c>
      <c r="L56" s="112">
        <f>CAPA1_PILOTO!M12*INDEX(SUP_VOLUMEN!$C$31:$E$31,SUP_CONTROL!$C$6)*SUP_CONTROL!$C$26*$C$35*SUP_CONTROL!$C$11</f>
        <v>10475.534482758623</v>
      </c>
      <c r="M56" s="112">
        <f>CAPA1_PILOTO!N12*INDEX(SUP_VOLUMEN!$C$31:$E$31,SUP_CONTROL!$C$6)*SUP_CONTROL!$C$26*$C$35*SUP_CONTROL!$C$11</f>
        <v>10475.534482758623</v>
      </c>
      <c r="N56" s="112">
        <f>CAPA1_PILOTO!O12*INDEX(SUP_VOLUMEN!$C$31:$E$31,SUP_CONTROL!$C$6)*SUP_CONTROL!$C$26*$C$35*SUP_CONTROL!$C$11</f>
        <v>10475.534482758623</v>
      </c>
      <c r="O56" s="112">
        <f>SUM(CAPA1_PILOTO!P12:AA12)*INDEX(SUP_VOLUMEN!$C$31:$E$31,SUP_CONTROL!$C$6)*SUP_CONTROL!$C$26*$C$35*SUP_CONTROL!$C$11</f>
        <v>125706.41379310346</v>
      </c>
      <c r="P56" s="112">
        <f>SUM(CAPA1_PILOTO!AB12:AM12)*INDEX(SUP_VOLUMEN!$C$31:$E$31,SUP_CONTROL!$C$6)*SUP_CONTROL!$C$26*$C$35*SUP_CONTROL!$C$11</f>
        <v>125706.41379310346</v>
      </c>
      <c r="Q56" s="112">
        <f>SUM(CAPA1_PILOTO!AN12:AY12)*INDEX(SUP_VOLUMEN!$C$31:$E$31,SUP_CONTROL!$C$6)*SUP_CONTROL!$C$26*$C$35*SUP_CONTROL!$C$11</f>
        <v>125706.41379310346</v>
      </c>
      <c r="R56" s="112">
        <f>SUM(CAPA1_PILOTO!AZ12:BK12)*INDEX(SUP_VOLUMEN!$C$31:$E$31,SUP_CONTROL!$C$6)*SUP_CONTROL!$C$26*$C$35*SUP_CONTROL!$C$11</f>
        <v>125706.41379310346</v>
      </c>
      <c r="S56" s="112">
        <f>SUM(CAPA1_PILOTO!BL12:BW12)*INDEX(SUP_VOLUMEN!$C$31:$E$31,SUP_CONTROL!$C$6)*SUP_CONTROL!$C$26*$C$35*SUP_CONTROL!$C$11</f>
        <v>125706.41379310346</v>
      </c>
      <c r="T56" s="112">
        <f>SUM(CAPA1_PILOTO!BX12:CI12)*INDEX(SUP_VOLUMEN!$C$31:$E$31,SUP_CONTROL!$C$6)*SUP_CONTROL!$C$26*$C$35*SUP_CONTROL!$C$11</f>
        <v>125706.41379310346</v>
      </c>
      <c r="U56" s="112">
        <f>SUM(CAPA1_PILOTO!CJ12:CU12)*INDEX(SUP_VOLUMEN!$C$31:$E$31,SUP_CONTROL!$C$6)*SUP_CONTROL!$C$26*$C$35*SUP_CONTROL!$C$11</f>
        <v>125706.41379310346</v>
      </c>
      <c r="V56" s="112">
        <f>SUM(CAPA1_PILOTO!CV12:DG12)*INDEX(SUP_VOLUMEN!$C$31:$E$31,SUP_CONTROL!$C$6)*SUP_CONTROL!$C$26*$C$35*SUP_CONTROL!$C$11</f>
        <v>125706.41379310346</v>
      </c>
      <c r="W56" s="112">
        <f>SUM(CAPA1_PILOTO!DH12:DS12)*INDEX(SUP_VOLUMEN!$C$31:$E$31,SUP_CONTROL!$C$6)*SUP_CONTROL!$C$26*$C$35*SUP_CONTROL!$C$11</f>
        <v>125706.41379310346</v>
      </c>
    </row>
    <row r="57" spans="2:26" ht="15" customHeight="1" outlineLevel="3" x14ac:dyDescent="0.2">
      <c r="B57" s="132" t="s">
        <v>229</v>
      </c>
      <c r="C57" s="112">
        <f>CAPA1_PILOTO!D12*INDEX(SUP_VOLUMEN!$C$31:$E$31,SUP_CONTROL!$C$6)*SUP_CONTROL!$C$26*$C$36*SUP_CONTROL!$C$11</f>
        <v>0</v>
      </c>
      <c r="D57" s="112">
        <f>CAPA1_PILOTO!E12*INDEX(SUP_VOLUMEN!$C$31:$E$31,SUP_CONTROL!$C$6)*SUP_CONTROL!$C$26*$C$36*SUP_CONTROL!$C$11</f>
        <v>0</v>
      </c>
      <c r="E57" s="112">
        <f>CAPA1_PILOTO!F12*INDEX(SUP_VOLUMEN!$C$31:$E$31,SUP_CONTROL!$C$6)*SUP_CONTROL!$C$26*$C$36*SUP_CONTROL!$C$11</f>
        <v>0</v>
      </c>
      <c r="F57" s="112">
        <f>CAPA1_PILOTO!G12*INDEX(SUP_VOLUMEN!$C$31:$E$31,SUP_CONTROL!$C$6)*SUP_CONTROL!$C$26*$C$36*SUP_CONTROL!$C$11</f>
        <v>0</v>
      </c>
      <c r="G57" s="112">
        <f>CAPA1_PILOTO!H12*INDEX(SUP_VOLUMEN!$C$31:$E$31,SUP_CONTROL!$C$6)*SUP_CONTROL!$C$26*$C$36*SUP_CONTROL!$C$11</f>
        <v>0</v>
      </c>
      <c r="H57" s="112">
        <f>CAPA1_PILOTO!I12*INDEX(SUP_VOLUMEN!$C$31:$E$31,SUP_CONTROL!$C$6)*SUP_CONTROL!$C$26*$C$36*SUP_CONTROL!$C$11</f>
        <v>0</v>
      </c>
      <c r="I57" s="112">
        <f>CAPA1_PILOTO!J12*INDEX(SUP_VOLUMEN!$C$31:$E$31,SUP_CONTROL!$C$6)*SUP_CONTROL!$C$26*$C$36*SUP_CONTROL!$C$11</f>
        <v>3269.4630270032153</v>
      </c>
      <c r="J57" s="112">
        <f>CAPA1_PILOTO!K12*INDEX(SUP_VOLUMEN!$C$31:$E$31,SUP_CONTROL!$C$6)*SUP_CONTROL!$C$26*$C$36*SUP_CONTROL!$C$11</f>
        <v>10508.988301081763</v>
      </c>
      <c r="K57" s="112">
        <f>CAPA1_PILOTO!L12*INDEX(SUP_VOLUMEN!$C$31:$E$31,SUP_CONTROL!$C$6)*SUP_CONTROL!$C$26*$C$36*SUP_CONTROL!$C$11</f>
        <v>12610.785961298119</v>
      </c>
      <c r="L57" s="112">
        <f>CAPA1_PILOTO!M12*INDEX(SUP_VOLUMEN!$C$31:$E$31,SUP_CONTROL!$C$6)*SUP_CONTROL!$C$26*$C$36*SUP_CONTROL!$C$11</f>
        <v>14011.984401442352</v>
      </c>
      <c r="M57" s="112">
        <f>CAPA1_PILOTO!N12*INDEX(SUP_VOLUMEN!$C$31:$E$31,SUP_CONTROL!$C$6)*SUP_CONTROL!$C$26*$C$36*SUP_CONTROL!$C$11</f>
        <v>14011.984401442352</v>
      </c>
      <c r="N57" s="112">
        <f>CAPA1_PILOTO!O12*INDEX(SUP_VOLUMEN!$C$31:$E$31,SUP_CONTROL!$C$6)*SUP_CONTROL!$C$26*$C$36*SUP_CONTROL!$C$11</f>
        <v>14011.984401442352</v>
      </c>
      <c r="O57" s="112">
        <f>SUM(CAPA1_PILOTO!P12:AA12)*INDEX(SUP_VOLUMEN!$C$31:$E$31,SUP_CONTROL!$C$6)*SUP_CONTROL!$C$26*$C$36*SUP_CONTROL!$C$11</f>
        <v>168143.81281730821</v>
      </c>
      <c r="P57" s="112">
        <f>SUM(CAPA1_PILOTO!AB12:AM12)*INDEX(SUP_VOLUMEN!$C$31:$E$31,SUP_CONTROL!$C$6)*SUP_CONTROL!$C$26*$C$36*SUP_CONTROL!$C$11</f>
        <v>168143.81281730821</v>
      </c>
      <c r="Q57" s="112">
        <f>SUM(CAPA1_PILOTO!AN12:AY12)*INDEX(SUP_VOLUMEN!$C$31:$E$31,SUP_CONTROL!$C$6)*SUP_CONTROL!$C$26*$C$36*SUP_CONTROL!$C$11</f>
        <v>168143.81281730821</v>
      </c>
      <c r="R57" s="112">
        <f>SUM(CAPA1_PILOTO!AZ12:BK12)*INDEX(SUP_VOLUMEN!$C$31:$E$31,SUP_CONTROL!$C$6)*SUP_CONTROL!$C$26*$C$36*SUP_CONTROL!$C$11</f>
        <v>168143.81281730821</v>
      </c>
      <c r="S57" s="112">
        <f>SUM(CAPA1_PILOTO!BL12:BW12)*INDEX(SUP_VOLUMEN!$C$31:$E$31,SUP_CONTROL!$C$6)*SUP_CONTROL!$C$26*$C$36*SUP_CONTROL!$C$11</f>
        <v>168143.81281730821</v>
      </c>
      <c r="T57" s="112">
        <f>SUM(CAPA1_PILOTO!BX12:CI12)*INDEX(SUP_VOLUMEN!$C$31:$E$31,SUP_CONTROL!$C$6)*SUP_CONTROL!$C$26*$C$36*SUP_CONTROL!$C$11</f>
        <v>168143.81281730821</v>
      </c>
      <c r="U57" s="112">
        <f>SUM(CAPA1_PILOTO!CJ12:CU12)*INDEX(SUP_VOLUMEN!$C$31:$E$31,SUP_CONTROL!$C$6)*SUP_CONTROL!$C$26*$C$36*SUP_CONTROL!$C$11</f>
        <v>168143.81281730821</v>
      </c>
      <c r="V57" s="112">
        <f>SUM(CAPA1_PILOTO!CV12:DG12)*INDEX(SUP_VOLUMEN!$C$31:$E$31,SUP_CONTROL!$C$6)*SUP_CONTROL!$C$26*$C$36*SUP_CONTROL!$C$11</f>
        <v>168143.81281730821</v>
      </c>
      <c r="W57" s="112">
        <f>SUM(CAPA1_PILOTO!DH12:DS12)*INDEX(SUP_VOLUMEN!$C$31:$E$31,SUP_CONTROL!$C$6)*SUP_CONTROL!$C$26*$C$36*SUP_CONTROL!$C$11</f>
        <v>168143.81281730821</v>
      </c>
    </row>
    <row r="58" spans="2:26" ht="15" customHeight="1" outlineLevel="2" x14ac:dyDescent="0.2">
      <c r="B58" s="133" t="s">
        <v>1199</v>
      </c>
      <c r="C58" s="134">
        <f t="shared" ref="C58:W58" si="3">C51+C52+C53+C54+C55+C56+C57</f>
        <v>0</v>
      </c>
      <c r="D58" s="134">
        <f t="shared" si="3"/>
        <v>0</v>
      </c>
      <c r="E58" s="134">
        <f t="shared" si="3"/>
        <v>0</v>
      </c>
      <c r="F58" s="134">
        <f t="shared" si="3"/>
        <v>0</v>
      </c>
      <c r="G58" s="134">
        <f t="shared" si="3"/>
        <v>0</v>
      </c>
      <c r="H58" s="134">
        <f t="shared" si="3"/>
        <v>0</v>
      </c>
      <c r="I58" s="134">
        <f t="shared" si="3"/>
        <v>39763.838970421297</v>
      </c>
      <c r="J58" s="134">
        <f t="shared" si="3"/>
        <v>127812.33954778274</v>
      </c>
      <c r="K58" s="134">
        <f t="shared" si="3"/>
        <v>153374.80745733931</v>
      </c>
      <c r="L58" s="134">
        <f t="shared" si="3"/>
        <v>170416.45273037697</v>
      </c>
      <c r="M58" s="134">
        <f t="shared" si="3"/>
        <v>170416.45273037697</v>
      </c>
      <c r="N58" s="134">
        <f t="shared" si="3"/>
        <v>170416.45273037697</v>
      </c>
      <c r="O58" s="134">
        <f t="shared" si="3"/>
        <v>2044997.4327645239</v>
      </c>
      <c r="P58" s="134">
        <f t="shared" si="3"/>
        <v>2044997.4327645239</v>
      </c>
      <c r="Q58" s="134">
        <f t="shared" si="3"/>
        <v>2044997.4327645239</v>
      </c>
      <c r="R58" s="134">
        <f t="shared" si="3"/>
        <v>2044997.4327645239</v>
      </c>
      <c r="S58" s="134">
        <f t="shared" si="3"/>
        <v>2044997.4327645239</v>
      </c>
      <c r="T58" s="134">
        <f t="shared" si="3"/>
        <v>2044997.4327645239</v>
      </c>
      <c r="U58" s="134">
        <f t="shared" si="3"/>
        <v>2044997.4327645239</v>
      </c>
      <c r="V58" s="134">
        <f t="shared" si="3"/>
        <v>2044997.4327645239</v>
      </c>
      <c r="W58" s="134">
        <f t="shared" si="3"/>
        <v>2044997.4327645239</v>
      </c>
      <c r="X58" s="41"/>
      <c r="Y58" s="41"/>
      <c r="Z58" s="41"/>
    </row>
    <row r="59" spans="2:26" ht="15" customHeight="1" outlineLevel="1" x14ac:dyDescent="0.2">
      <c r="B59" s="135" t="s">
        <v>1200</v>
      </c>
      <c r="C59" s="134">
        <f t="shared" ref="C59:W59" si="4">C49+C58</f>
        <v>0</v>
      </c>
      <c r="D59" s="134">
        <f t="shared" si="4"/>
        <v>0</v>
      </c>
      <c r="E59" s="134">
        <f t="shared" si="4"/>
        <v>0</v>
      </c>
      <c r="F59" s="134">
        <f t="shared" si="4"/>
        <v>61175.136877571218</v>
      </c>
      <c r="G59" s="134">
        <f t="shared" si="4"/>
        <v>135459.23165747913</v>
      </c>
      <c r="H59" s="134">
        <f t="shared" si="4"/>
        <v>222852.28433972373</v>
      </c>
      <c r="I59" s="134">
        <f t="shared" si="4"/>
        <v>319421.60755360406</v>
      </c>
      <c r="J59" s="134">
        <f t="shared" si="4"/>
        <v>427133.54498447047</v>
      </c>
      <c r="K59" s="134">
        <f t="shared" si="4"/>
        <v>459250.49184519541</v>
      </c>
      <c r="L59" s="134">
        <f t="shared" si="4"/>
        <v>476292.13711823308</v>
      </c>
      <c r="M59" s="134">
        <f t="shared" si="4"/>
        <v>476292.13711823308</v>
      </c>
      <c r="N59" s="134">
        <f t="shared" si="4"/>
        <v>476292.13711823308</v>
      </c>
      <c r="O59" s="134">
        <f t="shared" si="4"/>
        <v>5715505.6454187967</v>
      </c>
      <c r="P59" s="134">
        <f t="shared" si="4"/>
        <v>5715505.6454187967</v>
      </c>
      <c r="Q59" s="134">
        <f t="shared" si="4"/>
        <v>5715505.6454187967</v>
      </c>
      <c r="R59" s="134">
        <f t="shared" si="4"/>
        <v>5715505.6454187967</v>
      </c>
      <c r="S59" s="134">
        <f t="shared" si="4"/>
        <v>5715505.6454187967</v>
      </c>
      <c r="T59" s="134">
        <f t="shared" si="4"/>
        <v>5715505.6454187967</v>
      </c>
      <c r="U59" s="134">
        <f t="shared" si="4"/>
        <v>5715505.6454187967</v>
      </c>
      <c r="V59" s="134">
        <f t="shared" si="4"/>
        <v>5715505.6454187967</v>
      </c>
      <c r="W59" s="134">
        <f t="shared" si="4"/>
        <v>5715505.6454187967</v>
      </c>
      <c r="X59" s="41"/>
      <c r="Y59" s="41"/>
      <c r="Z59" s="41"/>
    </row>
    <row r="60" spans="2:26" ht="15" customHeight="1" outlineLevel="1" x14ac:dyDescent="0.2">
      <c r="B60" s="109" t="s">
        <v>1153</v>
      </c>
    </row>
    <row r="61" spans="2:26" ht="15" customHeight="1" outlineLevel="2" x14ac:dyDescent="0.2">
      <c r="B61" s="131" t="s">
        <v>1201</v>
      </c>
    </row>
    <row r="62" spans="2:26" ht="15" customHeight="1" outlineLevel="3" x14ac:dyDescent="0.2">
      <c r="B62" s="132" t="s">
        <v>167</v>
      </c>
      <c r="C62" s="112">
        <f>CAPA2_FLAGSHIP!D9*$C$30*SUP_CONTROL!$C$12</f>
        <v>0</v>
      </c>
      <c r="D62" s="112">
        <f>CAPA2_FLAGSHIP!E9*$C$30*SUP_CONTROL!$C$12</f>
        <v>0</v>
      </c>
      <c r="E62" s="112">
        <f>CAPA2_FLAGSHIP!F9*$C$30*SUP_CONTROL!$C$12</f>
        <v>0</v>
      </c>
      <c r="F62" s="112">
        <f>CAPA2_FLAGSHIP!G9*$C$30*SUP_CONTROL!$C$12</f>
        <v>0</v>
      </c>
      <c r="G62" s="112">
        <f>CAPA2_FLAGSHIP!H9*$C$30*SUP_CONTROL!$C$12</f>
        <v>0</v>
      </c>
      <c r="H62" s="112">
        <f>CAPA2_FLAGSHIP!I9*$C$30*SUP_CONTROL!$C$12</f>
        <v>0</v>
      </c>
      <c r="I62" s="112">
        <f>CAPA2_FLAGSHIP!J9*$C$30*SUP_CONTROL!$C$12</f>
        <v>0</v>
      </c>
      <c r="J62" s="112">
        <f>CAPA2_FLAGSHIP!K9*$C$30*SUP_CONTROL!$C$12</f>
        <v>0</v>
      </c>
      <c r="K62" s="112">
        <f>CAPA2_FLAGSHIP!L9*$C$30*SUP_CONTROL!$C$12</f>
        <v>0</v>
      </c>
      <c r="L62" s="112">
        <f>CAPA2_FLAGSHIP!M9*$C$30*SUP_CONTROL!$C$12</f>
        <v>0</v>
      </c>
      <c r="M62" s="112">
        <f>CAPA2_FLAGSHIP!N9*$C$30*SUP_CONTROL!$C$12</f>
        <v>0</v>
      </c>
      <c r="N62" s="112">
        <f>CAPA2_FLAGSHIP!O9*$C$30*SUP_CONTROL!$C$12</f>
        <v>0</v>
      </c>
      <c r="O62" s="112">
        <f>SUM(CAPA2_FLAGSHIP!P9:AA9)*$C$30*SUP_CONTROL!$C$12</f>
        <v>0</v>
      </c>
      <c r="P62" s="112">
        <f>SUM(CAPA2_FLAGSHIP!AB9:AM9)*$C$30*SUP_CONTROL!$C$12</f>
        <v>0</v>
      </c>
      <c r="Q62" s="112">
        <f>SUM(CAPA2_FLAGSHIP!AN9:AY9)*$C$30*SUP_CONTROL!$C$12</f>
        <v>0</v>
      </c>
      <c r="R62" s="112">
        <f>SUM(CAPA2_FLAGSHIP!AZ9:BK9)*$C$30*SUP_CONTROL!$C$12</f>
        <v>0</v>
      </c>
      <c r="S62" s="112">
        <f>SUM(CAPA2_FLAGSHIP!BL9:BW9)*$C$30*SUP_CONTROL!$C$12</f>
        <v>0</v>
      </c>
      <c r="T62" s="112">
        <f>SUM(CAPA2_FLAGSHIP!BX9:CI9)*$C$30*SUP_CONTROL!$C$12</f>
        <v>0</v>
      </c>
      <c r="U62" s="112">
        <f>SUM(CAPA2_FLAGSHIP!CJ9:CU9)*$C$30*SUP_CONTROL!$C$12</f>
        <v>0</v>
      </c>
      <c r="V62" s="112">
        <f>SUM(CAPA2_FLAGSHIP!CV9:DG9)*$C$30*SUP_CONTROL!$C$12</f>
        <v>0</v>
      </c>
      <c r="W62" s="112">
        <f>SUM(CAPA2_FLAGSHIP!DH9:DS9)*$C$30*SUP_CONTROL!$C$12</f>
        <v>0</v>
      </c>
    </row>
    <row r="63" spans="2:26" ht="15" customHeight="1" outlineLevel="3" x14ac:dyDescent="0.2">
      <c r="B63" s="132" t="s">
        <v>188</v>
      </c>
      <c r="C63" s="112">
        <f>CAPA2_FLAGSHIP!D9*$C$31*SUP_CONTROL!$C$12</f>
        <v>0</v>
      </c>
      <c r="D63" s="112">
        <f>CAPA2_FLAGSHIP!E9*$C$31*SUP_CONTROL!$C$12</f>
        <v>0</v>
      </c>
      <c r="E63" s="112">
        <f>CAPA2_FLAGSHIP!F9*$C$31*SUP_CONTROL!$C$12</f>
        <v>0</v>
      </c>
      <c r="F63" s="112">
        <f>CAPA2_FLAGSHIP!G9*$C$31*SUP_CONTROL!$C$12</f>
        <v>0</v>
      </c>
      <c r="G63" s="112">
        <f>CAPA2_FLAGSHIP!H9*$C$31*SUP_CONTROL!$C$12</f>
        <v>0</v>
      </c>
      <c r="H63" s="112">
        <f>CAPA2_FLAGSHIP!I9*$C$31*SUP_CONTROL!$C$12</f>
        <v>0</v>
      </c>
      <c r="I63" s="112">
        <f>CAPA2_FLAGSHIP!J9*$C$31*SUP_CONTROL!$C$12</f>
        <v>0</v>
      </c>
      <c r="J63" s="112">
        <f>CAPA2_FLAGSHIP!K9*$C$31*SUP_CONTROL!$C$12</f>
        <v>0</v>
      </c>
      <c r="K63" s="112">
        <f>CAPA2_FLAGSHIP!L9*$C$31*SUP_CONTROL!$C$12</f>
        <v>0</v>
      </c>
      <c r="L63" s="112">
        <f>CAPA2_FLAGSHIP!M9*$C$31*SUP_CONTROL!$C$12</f>
        <v>0</v>
      </c>
      <c r="M63" s="112">
        <f>CAPA2_FLAGSHIP!N9*$C$31*SUP_CONTROL!$C$12</f>
        <v>0</v>
      </c>
      <c r="N63" s="112">
        <f>CAPA2_FLAGSHIP!O9*$C$31*SUP_CONTROL!$C$12</f>
        <v>0</v>
      </c>
      <c r="O63" s="112">
        <f>SUM(CAPA2_FLAGSHIP!P9:AA9)*$C$31*SUP_CONTROL!$C$12</f>
        <v>0</v>
      </c>
      <c r="P63" s="112">
        <f>SUM(CAPA2_FLAGSHIP!AB9:AM9)*$C$31*SUP_CONTROL!$C$12</f>
        <v>0</v>
      </c>
      <c r="Q63" s="112">
        <f>SUM(CAPA2_FLAGSHIP!AN9:AY9)*$C$31*SUP_CONTROL!$C$12</f>
        <v>0</v>
      </c>
      <c r="R63" s="112">
        <f>SUM(CAPA2_FLAGSHIP!AZ9:BK9)*$C$31*SUP_CONTROL!$C$12</f>
        <v>0</v>
      </c>
      <c r="S63" s="112">
        <f>SUM(CAPA2_FLAGSHIP!BL9:BW9)*$C$31*SUP_CONTROL!$C$12</f>
        <v>0</v>
      </c>
      <c r="T63" s="112">
        <f>SUM(CAPA2_FLAGSHIP!BX9:CI9)*$C$31*SUP_CONTROL!$C$12</f>
        <v>0</v>
      </c>
      <c r="U63" s="112">
        <f>SUM(CAPA2_FLAGSHIP!CJ9:CU9)*$C$31*SUP_CONTROL!$C$12</f>
        <v>0</v>
      </c>
      <c r="V63" s="112">
        <f>SUM(CAPA2_FLAGSHIP!CV9:DG9)*$C$31*SUP_CONTROL!$C$12</f>
        <v>0</v>
      </c>
      <c r="W63" s="112">
        <f>SUM(CAPA2_FLAGSHIP!DH9:DS9)*$C$31*SUP_CONTROL!$C$12</f>
        <v>0</v>
      </c>
    </row>
    <row r="64" spans="2:26" ht="15" customHeight="1" outlineLevel="3" x14ac:dyDescent="0.2">
      <c r="B64" s="132" t="s">
        <v>205</v>
      </c>
      <c r="C64" s="112">
        <f>CAPA2_FLAGSHIP!D9*$C$32*SUP_CONTROL!$C$12</f>
        <v>0</v>
      </c>
      <c r="D64" s="112">
        <f>CAPA2_FLAGSHIP!E9*$C$32*SUP_CONTROL!$C$12</f>
        <v>0</v>
      </c>
      <c r="E64" s="112">
        <f>CAPA2_FLAGSHIP!F9*$C$32*SUP_CONTROL!$C$12</f>
        <v>0</v>
      </c>
      <c r="F64" s="112">
        <f>CAPA2_FLAGSHIP!G9*$C$32*SUP_CONTROL!$C$12</f>
        <v>0</v>
      </c>
      <c r="G64" s="112">
        <f>CAPA2_FLAGSHIP!H9*$C$32*SUP_CONTROL!$C$12</f>
        <v>0</v>
      </c>
      <c r="H64" s="112">
        <f>CAPA2_FLAGSHIP!I9*$C$32*SUP_CONTROL!$C$12</f>
        <v>0</v>
      </c>
      <c r="I64" s="112">
        <f>CAPA2_FLAGSHIP!J9*$C$32*SUP_CONTROL!$C$12</f>
        <v>0</v>
      </c>
      <c r="J64" s="112">
        <f>CAPA2_FLAGSHIP!K9*$C$32*SUP_CONTROL!$C$12</f>
        <v>0</v>
      </c>
      <c r="K64" s="112">
        <f>CAPA2_FLAGSHIP!L9*$C$32*SUP_CONTROL!$C$12</f>
        <v>0</v>
      </c>
      <c r="L64" s="112">
        <f>CAPA2_FLAGSHIP!M9*$C$32*SUP_CONTROL!$C$12</f>
        <v>0</v>
      </c>
      <c r="M64" s="112">
        <f>CAPA2_FLAGSHIP!N9*$C$32*SUP_CONTROL!$C$12</f>
        <v>0</v>
      </c>
      <c r="N64" s="112">
        <f>CAPA2_FLAGSHIP!O9*$C$32*SUP_CONTROL!$C$12</f>
        <v>0</v>
      </c>
      <c r="O64" s="112">
        <f>SUM(CAPA2_FLAGSHIP!P9:AA9)*$C$32*SUP_CONTROL!$C$12</f>
        <v>0</v>
      </c>
      <c r="P64" s="112">
        <f>SUM(CAPA2_FLAGSHIP!AB9:AM9)*$C$32*SUP_CONTROL!$C$12</f>
        <v>0</v>
      </c>
      <c r="Q64" s="112">
        <f>SUM(CAPA2_FLAGSHIP!AN9:AY9)*$C$32*SUP_CONTROL!$C$12</f>
        <v>0</v>
      </c>
      <c r="R64" s="112">
        <f>SUM(CAPA2_FLAGSHIP!AZ9:BK9)*$C$32*SUP_CONTROL!$C$12</f>
        <v>0</v>
      </c>
      <c r="S64" s="112">
        <f>SUM(CAPA2_FLAGSHIP!BL9:BW9)*$C$32*SUP_CONTROL!$C$12</f>
        <v>0</v>
      </c>
      <c r="T64" s="112">
        <f>SUM(CAPA2_FLAGSHIP!BX9:CI9)*$C$32*SUP_CONTROL!$C$12</f>
        <v>0</v>
      </c>
      <c r="U64" s="112">
        <f>SUM(CAPA2_FLAGSHIP!CJ9:CU9)*$C$32*SUP_CONTROL!$C$12</f>
        <v>0</v>
      </c>
      <c r="V64" s="112">
        <f>SUM(CAPA2_FLAGSHIP!CV9:DG9)*$C$32*SUP_CONTROL!$C$12</f>
        <v>0</v>
      </c>
      <c r="W64" s="112">
        <f>SUM(CAPA2_FLAGSHIP!DH9:DS9)*$C$32*SUP_CONTROL!$C$12</f>
        <v>0</v>
      </c>
    </row>
    <row r="65" spans="2:26" ht="15" customHeight="1" outlineLevel="3" x14ac:dyDescent="0.2">
      <c r="B65" s="132" t="s">
        <v>210</v>
      </c>
      <c r="C65" s="112">
        <f>CAPA2_FLAGSHIP!D9*$C$33*SUP_CONTROL!$C$12</f>
        <v>0</v>
      </c>
      <c r="D65" s="112">
        <f>CAPA2_FLAGSHIP!E9*$C$33*SUP_CONTROL!$C$12</f>
        <v>0</v>
      </c>
      <c r="E65" s="112">
        <f>CAPA2_FLAGSHIP!F9*$C$33*SUP_CONTROL!$C$12</f>
        <v>0</v>
      </c>
      <c r="F65" s="112">
        <f>CAPA2_FLAGSHIP!G9*$C$33*SUP_CONTROL!$C$12</f>
        <v>0</v>
      </c>
      <c r="G65" s="112">
        <f>CAPA2_FLAGSHIP!H9*$C$33*SUP_CONTROL!$C$12</f>
        <v>0</v>
      </c>
      <c r="H65" s="112">
        <f>CAPA2_FLAGSHIP!I9*$C$33*SUP_CONTROL!$C$12</f>
        <v>0</v>
      </c>
      <c r="I65" s="112">
        <f>CAPA2_FLAGSHIP!J9*$C$33*SUP_CONTROL!$C$12</f>
        <v>0</v>
      </c>
      <c r="J65" s="112">
        <f>CAPA2_FLAGSHIP!K9*$C$33*SUP_CONTROL!$C$12</f>
        <v>0</v>
      </c>
      <c r="K65" s="112">
        <f>CAPA2_FLAGSHIP!L9*$C$33*SUP_CONTROL!$C$12</f>
        <v>0</v>
      </c>
      <c r="L65" s="112">
        <f>CAPA2_FLAGSHIP!M9*$C$33*SUP_CONTROL!$C$12</f>
        <v>0</v>
      </c>
      <c r="M65" s="112">
        <f>CAPA2_FLAGSHIP!N9*$C$33*SUP_CONTROL!$C$12</f>
        <v>0</v>
      </c>
      <c r="N65" s="112">
        <f>CAPA2_FLAGSHIP!O9*$C$33*SUP_CONTROL!$C$12</f>
        <v>0</v>
      </c>
      <c r="O65" s="112">
        <f>SUM(CAPA2_FLAGSHIP!P9:AA9)*$C$33*SUP_CONTROL!$C$12</f>
        <v>0</v>
      </c>
      <c r="P65" s="112">
        <f>SUM(CAPA2_FLAGSHIP!AB9:AM9)*$C$33*SUP_CONTROL!$C$12</f>
        <v>0</v>
      </c>
      <c r="Q65" s="112">
        <f>SUM(CAPA2_FLAGSHIP!AN9:AY9)*$C$33*SUP_CONTROL!$C$12</f>
        <v>0</v>
      </c>
      <c r="R65" s="112">
        <f>SUM(CAPA2_FLAGSHIP!AZ9:BK9)*$C$33*SUP_CONTROL!$C$12</f>
        <v>0</v>
      </c>
      <c r="S65" s="112">
        <f>SUM(CAPA2_FLAGSHIP!BL9:BW9)*$C$33*SUP_CONTROL!$C$12</f>
        <v>0</v>
      </c>
      <c r="T65" s="112">
        <f>SUM(CAPA2_FLAGSHIP!BX9:CI9)*$C$33*SUP_CONTROL!$C$12</f>
        <v>0</v>
      </c>
      <c r="U65" s="112">
        <f>SUM(CAPA2_FLAGSHIP!CJ9:CU9)*$C$33*SUP_CONTROL!$C$12</f>
        <v>0</v>
      </c>
      <c r="V65" s="112">
        <f>SUM(CAPA2_FLAGSHIP!CV9:DG9)*$C$33*SUP_CONTROL!$C$12</f>
        <v>0</v>
      </c>
      <c r="W65" s="112">
        <f>SUM(CAPA2_FLAGSHIP!DH9:DS9)*$C$33*SUP_CONTROL!$C$12</f>
        <v>0</v>
      </c>
    </row>
    <row r="66" spans="2:26" ht="15" customHeight="1" outlineLevel="3" x14ac:dyDescent="0.2">
      <c r="B66" s="132" t="s">
        <v>215</v>
      </c>
      <c r="C66" s="112">
        <f>CAPA2_FLAGSHIP!D9*$C$34*SUP_CONTROL!$C$12</f>
        <v>0</v>
      </c>
      <c r="D66" s="112">
        <f>CAPA2_FLAGSHIP!E9*$C$34*SUP_CONTROL!$C$12</f>
        <v>0</v>
      </c>
      <c r="E66" s="112">
        <f>CAPA2_FLAGSHIP!F9*$C$34*SUP_CONTROL!$C$12</f>
        <v>0</v>
      </c>
      <c r="F66" s="112">
        <f>CAPA2_FLAGSHIP!G9*$C$34*SUP_CONTROL!$C$12</f>
        <v>0</v>
      </c>
      <c r="G66" s="112">
        <f>CAPA2_FLAGSHIP!H9*$C$34*SUP_CONTROL!$C$12</f>
        <v>0</v>
      </c>
      <c r="H66" s="112">
        <f>CAPA2_FLAGSHIP!I9*$C$34*SUP_CONTROL!$C$12</f>
        <v>0</v>
      </c>
      <c r="I66" s="112">
        <f>CAPA2_FLAGSHIP!J9*$C$34*SUP_CONTROL!$C$12</f>
        <v>0</v>
      </c>
      <c r="J66" s="112">
        <f>CAPA2_FLAGSHIP!K9*$C$34*SUP_CONTROL!$C$12</f>
        <v>0</v>
      </c>
      <c r="K66" s="112">
        <f>CAPA2_FLAGSHIP!L9*$C$34*SUP_CONTROL!$C$12</f>
        <v>0</v>
      </c>
      <c r="L66" s="112">
        <f>CAPA2_FLAGSHIP!M9*$C$34*SUP_CONTROL!$C$12</f>
        <v>0</v>
      </c>
      <c r="M66" s="112">
        <f>CAPA2_FLAGSHIP!N9*$C$34*SUP_CONTROL!$C$12</f>
        <v>0</v>
      </c>
      <c r="N66" s="112">
        <f>CAPA2_FLAGSHIP!O9*$C$34*SUP_CONTROL!$C$12</f>
        <v>0</v>
      </c>
      <c r="O66" s="112">
        <f>SUM(CAPA2_FLAGSHIP!P9:AA9)*$C$34*SUP_CONTROL!$C$12</f>
        <v>0</v>
      </c>
      <c r="P66" s="112">
        <f>SUM(CAPA2_FLAGSHIP!AB9:AM9)*$C$34*SUP_CONTROL!$C$12</f>
        <v>0</v>
      </c>
      <c r="Q66" s="112">
        <f>SUM(CAPA2_FLAGSHIP!AN9:AY9)*$C$34*SUP_CONTROL!$C$12</f>
        <v>0</v>
      </c>
      <c r="R66" s="112">
        <f>SUM(CAPA2_FLAGSHIP!AZ9:BK9)*$C$34*SUP_CONTROL!$C$12</f>
        <v>0</v>
      </c>
      <c r="S66" s="112">
        <f>SUM(CAPA2_FLAGSHIP!BL9:BW9)*$C$34*SUP_CONTROL!$C$12</f>
        <v>0</v>
      </c>
      <c r="T66" s="112">
        <f>SUM(CAPA2_FLAGSHIP!BX9:CI9)*$C$34*SUP_CONTROL!$C$12</f>
        <v>0</v>
      </c>
      <c r="U66" s="112">
        <f>SUM(CAPA2_FLAGSHIP!CJ9:CU9)*$C$34*SUP_CONTROL!$C$12</f>
        <v>0</v>
      </c>
      <c r="V66" s="112">
        <f>SUM(CAPA2_FLAGSHIP!CV9:DG9)*$C$34*SUP_CONTROL!$C$12</f>
        <v>0</v>
      </c>
      <c r="W66" s="112">
        <f>SUM(CAPA2_FLAGSHIP!DH9:DS9)*$C$34*SUP_CONTROL!$C$12</f>
        <v>0</v>
      </c>
    </row>
    <row r="67" spans="2:26" ht="15" customHeight="1" outlineLevel="3" x14ac:dyDescent="0.2">
      <c r="B67" s="132" t="s">
        <v>220</v>
      </c>
      <c r="C67" s="112">
        <f>CAPA2_FLAGSHIP!D9*$C$35*SUP_CONTROL!$C$12</f>
        <v>0</v>
      </c>
      <c r="D67" s="112">
        <f>CAPA2_FLAGSHIP!E9*$C$35*SUP_CONTROL!$C$12</f>
        <v>0</v>
      </c>
      <c r="E67" s="112">
        <f>CAPA2_FLAGSHIP!F9*$C$35*SUP_CONTROL!$C$12</f>
        <v>0</v>
      </c>
      <c r="F67" s="112">
        <f>CAPA2_FLAGSHIP!G9*$C$35*SUP_CONTROL!$C$12</f>
        <v>0</v>
      </c>
      <c r="G67" s="112">
        <f>CAPA2_FLAGSHIP!H9*$C$35*SUP_CONTROL!$C$12</f>
        <v>0</v>
      </c>
      <c r="H67" s="112">
        <f>CAPA2_FLAGSHIP!I9*$C$35*SUP_CONTROL!$C$12</f>
        <v>0</v>
      </c>
      <c r="I67" s="112">
        <f>CAPA2_FLAGSHIP!J9*$C$35*SUP_CONTROL!$C$12</f>
        <v>0</v>
      </c>
      <c r="J67" s="112">
        <f>CAPA2_FLAGSHIP!K9*$C$35*SUP_CONTROL!$C$12</f>
        <v>0</v>
      </c>
      <c r="K67" s="112">
        <f>CAPA2_FLAGSHIP!L9*$C$35*SUP_CONTROL!$C$12</f>
        <v>0</v>
      </c>
      <c r="L67" s="112">
        <f>CAPA2_FLAGSHIP!M9*$C$35*SUP_CONTROL!$C$12</f>
        <v>0</v>
      </c>
      <c r="M67" s="112">
        <f>CAPA2_FLAGSHIP!N9*$C$35*SUP_CONTROL!$C$12</f>
        <v>0</v>
      </c>
      <c r="N67" s="112">
        <f>CAPA2_FLAGSHIP!O9*$C$35*SUP_CONTROL!$C$12</f>
        <v>0</v>
      </c>
      <c r="O67" s="112">
        <f>SUM(CAPA2_FLAGSHIP!P9:AA9)*$C$35*SUP_CONTROL!$C$12</f>
        <v>0</v>
      </c>
      <c r="P67" s="112">
        <f>SUM(CAPA2_FLAGSHIP!AB9:AM9)*$C$35*SUP_CONTROL!$C$12</f>
        <v>0</v>
      </c>
      <c r="Q67" s="112">
        <f>SUM(CAPA2_FLAGSHIP!AN9:AY9)*$C$35*SUP_CONTROL!$C$12</f>
        <v>0</v>
      </c>
      <c r="R67" s="112">
        <f>SUM(CAPA2_FLAGSHIP!AZ9:BK9)*$C$35*SUP_CONTROL!$C$12</f>
        <v>0</v>
      </c>
      <c r="S67" s="112">
        <f>SUM(CAPA2_FLAGSHIP!BL9:BW9)*$C$35*SUP_CONTROL!$C$12</f>
        <v>0</v>
      </c>
      <c r="T67" s="112">
        <f>SUM(CAPA2_FLAGSHIP!BX9:CI9)*$C$35*SUP_CONTROL!$C$12</f>
        <v>0</v>
      </c>
      <c r="U67" s="112">
        <f>SUM(CAPA2_FLAGSHIP!CJ9:CU9)*$C$35*SUP_CONTROL!$C$12</f>
        <v>0</v>
      </c>
      <c r="V67" s="112">
        <f>SUM(CAPA2_FLAGSHIP!CV9:DG9)*$C$35*SUP_CONTROL!$C$12</f>
        <v>0</v>
      </c>
      <c r="W67" s="112">
        <f>SUM(CAPA2_FLAGSHIP!DH9:DS9)*$C$35*SUP_CONTROL!$C$12</f>
        <v>0</v>
      </c>
    </row>
    <row r="68" spans="2:26" ht="15" customHeight="1" outlineLevel="3" x14ac:dyDescent="0.2">
      <c r="B68" s="132" t="s">
        <v>229</v>
      </c>
      <c r="C68" s="112">
        <f>CAPA2_FLAGSHIP!D9*$C$36*SUP_CONTROL!$C$12</f>
        <v>0</v>
      </c>
      <c r="D68" s="112">
        <f>CAPA2_FLAGSHIP!E9*$C$36*SUP_CONTROL!$C$12</f>
        <v>0</v>
      </c>
      <c r="E68" s="112">
        <f>CAPA2_FLAGSHIP!F9*$C$36*SUP_CONTROL!$C$12</f>
        <v>0</v>
      </c>
      <c r="F68" s="112">
        <f>CAPA2_FLAGSHIP!G9*$C$36*SUP_CONTROL!$C$12</f>
        <v>0</v>
      </c>
      <c r="G68" s="112">
        <f>CAPA2_FLAGSHIP!H9*$C$36*SUP_CONTROL!$C$12</f>
        <v>0</v>
      </c>
      <c r="H68" s="112">
        <f>CAPA2_FLAGSHIP!I9*$C$36*SUP_CONTROL!$C$12</f>
        <v>0</v>
      </c>
      <c r="I68" s="112">
        <f>CAPA2_FLAGSHIP!J9*$C$36*SUP_CONTROL!$C$12</f>
        <v>0</v>
      </c>
      <c r="J68" s="112">
        <f>CAPA2_FLAGSHIP!K9*$C$36*SUP_CONTROL!$C$12</f>
        <v>0</v>
      </c>
      <c r="K68" s="112">
        <f>CAPA2_FLAGSHIP!L9*$C$36*SUP_CONTROL!$C$12</f>
        <v>0</v>
      </c>
      <c r="L68" s="112">
        <f>CAPA2_FLAGSHIP!M9*$C$36*SUP_CONTROL!$C$12</f>
        <v>0</v>
      </c>
      <c r="M68" s="112">
        <f>CAPA2_FLAGSHIP!N9*$C$36*SUP_CONTROL!$C$12</f>
        <v>0</v>
      </c>
      <c r="N68" s="112">
        <f>CAPA2_FLAGSHIP!O9*$C$36*SUP_CONTROL!$C$12</f>
        <v>0</v>
      </c>
      <c r="O68" s="112">
        <f>SUM(CAPA2_FLAGSHIP!P9:AA9)*$C$36*SUP_CONTROL!$C$12</f>
        <v>0</v>
      </c>
      <c r="P68" s="112">
        <f>SUM(CAPA2_FLAGSHIP!AB9:AM9)*$C$36*SUP_CONTROL!$C$12</f>
        <v>0</v>
      </c>
      <c r="Q68" s="112">
        <f>SUM(CAPA2_FLAGSHIP!AN9:AY9)*$C$36*SUP_CONTROL!$C$12</f>
        <v>0</v>
      </c>
      <c r="R68" s="112">
        <f>SUM(CAPA2_FLAGSHIP!AZ9:BK9)*$C$36*SUP_CONTROL!$C$12</f>
        <v>0</v>
      </c>
      <c r="S68" s="112">
        <f>SUM(CAPA2_FLAGSHIP!BL9:BW9)*$C$36*SUP_CONTROL!$C$12</f>
        <v>0</v>
      </c>
      <c r="T68" s="112">
        <f>SUM(CAPA2_FLAGSHIP!BX9:CI9)*$C$36*SUP_CONTROL!$C$12</f>
        <v>0</v>
      </c>
      <c r="U68" s="112">
        <f>SUM(CAPA2_FLAGSHIP!CJ9:CU9)*$C$36*SUP_CONTROL!$C$12</f>
        <v>0</v>
      </c>
      <c r="V68" s="112">
        <f>SUM(CAPA2_FLAGSHIP!CV9:DG9)*$C$36*SUP_CONTROL!$C$12</f>
        <v>0</v>
      </c>
      <c r="W68" s="112">
        <f>SUM(CAPA2_FLAGSHIP!DH9:DS9)*$C$36*SUP_CONTROL!$C$12</f>
        <v>0</v>
      </c>
    </row>
    <row r="69" spans="2:26" ht="15" customHeight="1" outlineLevel="3" x14ac:dyDescent="0.2">
      <c r="B69" s="132" t="s">
        <v>1202</v>
      </c>
      <c r="C69" s="112">
        <f>CAPA2_FLAGSHIP!D10*SUP_CONTROL!$C$12</f>
        <v>0</v>
      </c>
      <c r="D69" s="112">
        <f>CAPA2_FLAGSHIP!E10*SUP_CONTROL!$C$12</f>
        <v>0</v>
      </c>
      <c r="E69" s="112">
        <f>CAPA2_FLAGSHIP!F10*SUP_CONTROL!$C$12</f>
        <v>0</v>
      </c>
      <c r="F69" s="112">
        <f>CAPA2_FLAGSHIP!G10*SUP_CONTROL!$C$12</f>
        <v>0</v>
      </c>
      <c r="G69" s="112">
        <f>CAPA2_FLAGSHIP!H10*SUP_CONTROL!$C$12</f>
        <v>0</v>
      </c>
      <c r="H69" s="112">
        <f>CAPA2_FLAGSHIP!I10*SUP_CONTROL!$C$12</f>
        <v>0</v>
      </c>
      <c r="I69" s="112">
        <f>CAPA2_FLAGSHIP!J10*SUP_CONTROL!$C$12</f>
        <v>0</v>
      </c>
      <c r="J69" s="112">
        <f>CAPA2_FLAGSHIP!K10*SUP_CONTROL!$C$12</f>
        <v>0</v>
      </c>
      <c r="K69" s="112">
        <f>CAPA2_FLAGSHIP!L10*SUP_CONTROL!$C$12</f>
        <v>0</v>
      </c>
      <c r="L69" s="112">
        <f>CAPA2_FLAGSHIP!M10*SUP_CONTROL!$C$12</f>
        <v>0</v>
      </c>
      <c r="M69" s="112">
        <f>CAPA2_FLAGSHIP!N10*SUP_CONTROL!$C$12</f>
        <v>0</v>
      </c>
      <c r="N69" s="112">
        <f>CAPA2_FLAGSHIP!O10*SUP_CONTROL!$C$12</f>
        <v>0</v>
      </c>
      <c r="O69" s="112">
        <f>SUM(CAPA2_FLAGSHIP!P10:AA10)*SUP_CONTROL!$C$12</f>
        <v>0</v>
      </c>
      <c r="P69" s="112">
        <f>SUM(CAPA2_FLAGSHIP!AB10:AM10)*SUP_CONTROL!$C$12</f>
        <v>0</v>
      </c>
      <c r="Q69" s="112">
        <f>SUM(CAPA2_FLAGSHIP!AN10:AY10)*SUP_CONTROL!$C$12</f>
        <v>0</v>
      </c>
      <c r="R69" s="112">
        <f>SUM(CAPA2_FLAGSHIP!AZ10:BK10)*SUP_CONTROL!$C$12</f>
        <v>0</v>
      </c>
      <c r="S69" s="112">
        <f>SUM(CAPA2_FLAGSHIP!BL10:BW10)*SUP_CONTROL!$C$12</f>
        <v>0</v>
      </c>
      <c r="T69" s="112">
        <f>SUM(CAPA2_FLAGSHIP!BX10:CI10)*SUP_CONTROL!$C$12</f>
        <v>0</v>
      </c>
      <c r="U69" s="112">
        <f>SUM(CAPA2_FLAGSHIP!CJ10:CU10)*SUP_CONTROL!$C$12</f>
        <v>0</v>
      </c>
      <c r="V69" s="112">
        <f>SUM(CAPA2_FLAGSHIP!CV10:DG10)*SUP_CONTROL!$C$12</f>
        <v>0</v>
      </c>
      <c r="W69" s="112">
        <f>SUM(CAPA2_FLAGSHIP!DH10:DS10)*SUP_CONTROL!$C$12</f>
        <v>0</v>
      </c>
    </row>
    <row r="70" spans="2:26" ht="15" customHeight="1" outlineLevel="2" x14ac:dyDescent="0.2">
      <c r="B70" s="133" t="s">
        <v>1203</v>
      </c>
      <c r="C70" s="134">
        <f t="shared" ref="C70:W70" si="5">C62+C63+C64+C65+C66+C67+C68+C69</f>
        <v>0</v>
      </c>
      <c r="D70" s="134">
        <f t="shared" si="5"/>
        <v>0</v>
      </c>
      <c r="E70" s="134">
        <f t="shared" si="5"/>
        <v>0</v>
      </c>
      <c r="F70" s="134">
        <f t="shared" si="5"/>
        <v>0</v>
      </c>
      <c r="G70" s="134">
        <f t="shared" si="5"/>
        <v>0</v>
      </c>
      <c r="H70" s="134">
        <f t="shared" si="5"/>
        <v>0</v>
      </c>
      <c r="I70" s="134">
        <f t="shared" si="5"/>
        <v>0</v>
      </c>
      <c r="J70" s="134">
        <f t="shared" si="5"/>
        <v>0</v>
      </c>
      <c r="K70" s="134">
        <f t="shared" si="5"/>
        <v>0</v>
      </c>
      <c r="L70" s="134">
        <f t="shared" si="5"/>
        <v>0</v>
      </c>
      <c r="M70" s="134">
        <f t="shared" si="5"/>
        <v>0</v>
      </c>
      <c r="N70" s="134">
        <f t="shared" si="5"/>
        <v>0</v>
      </c>
      <c r="O70" s="134">
        <f t="shared" si="5"/>
        <v>0</v>
      </c>
      <c r="P70" s="134">
        <f t="shared" si="5"/>
        <v>0</v>
      </c>
      <c r="Q70" s="134">
        <f t="shared" si="5"/>
        <v>0</v>
      </c>
      <c r="R70" s="134">
        <f t="shared" si="5"/>
        <v>0</v>
      </c>
      <c r="S70" s="134">
        <f t="shared" si="5"/>
        <v>0</v>
      </c>
      <c r="T70" s="134">
        <f t="shared" si="5"/>
        <v>0</v>
      </c>
      <c r="U70" s="134">
        <f t="shared" si="5"/>
        <v>0</v>
      </c>
      <c r="V70" s="134">
        <f t="shared" si="5"/>
        <v>0</v>
      </c>
      <c r="W70" s="134">
        <f t="shared" si="5"/>
        <v>0</v>
      </c>
      <c r="X70" s="41"/>
      <c r="Y70" s="41"/>
      <c r="Z70" s="41"/>
    </row>
    <row r="71" spans="2:26" ht="15" customHeight="1" outlineLevel="1" x14ac:dyDescent="0.2">
      <c r="B71" s="135" t="s">
        <v>1204</v>
      </c>
      <c r="C71" s="134">
        <f t="shared" ref="C71:W71" si="6">C70</f>
        <v>0</v>
      </c>
      <c r="D71" s="134">
        <f t="shared" si="6"/>
        <v>0</v>
      </c>
      <c r="E71" s="134">
        <f t="shared" si="6"/>
        <v>0</v>
      </c>
      <c r="F71" s="134">
        <f t="shared" si="6"/>
        <v>0</v>
      </c>
      <c r="G71" s="134">
        <f t="shared" si="6"/>
        <v>0</v>
      </c>
      <c r="H71" s="134">
        <f t="shared" si="6"/>
        <v>0</v>
      </c>
      <c r="I71" s="134">
        <f t="shared" si="6"/>
        <v>0</v>
      </c>
      <c r="J71" s="134">
        <f t="shared" si="6"/>
        <v>0</v>
      </c>
      <c r="K71" s="134">
        <f t="shared" si="6"/>
        <v>0</v>
      </c>
      <c r="L71" s="134">
        <f t="shared" si="6"/>
        <v>0</v>
      </c>
      <c r="M71" s="134">
        <f t="shared" si="6"/>
        <v>0</v>
      </c>
      <c r="N71" s="134">
        <f t="shared" si="6"/>
        <v>0</v>
      </c>
      <c r="O71" s="134">
        <f t="shared" si="6"/>
        <v>0</v>
      </c>
      <c r="P71" s="134">
        <f t="shared" si="6"/>
        <v>0</v>
      </c>
      <c r="Q71" s="134">
        <f t="shared" si="6"/>
        <v>0</v>
      </c>
      <c r="R71" s="134">
        <f t="shared" si="6"/>
        <v>0</v>
      </c>
      <c r="S71" s="134">
        <f t="shared" si="6"/>
        <v>0</v>
      </c>
      <c r="T71" s="134">
        <f t="shared" si="6"/>
        <v>0</v>
      </c>
      <c r="U71" s="134">
        <f t="shared" si="6"/>
        <v>0</v>
      </c>
      <c r="V71" s="134">
        <f t="shared" si="6"/>
        <v>0</v>
      </c>
      <c r="W71" s="134">
        <f t="shared" si="6"/>
        <v>0</v>
      </c>
      <c r="X71" s="41"/>
      <c r="Y71" s="41"/>
      <c r="Z71" s="41"/>
    </row>
    <row r="72" spans="2:26" ht="15" customHeight="1" outlineLevel="1" x14ac:dyDescent="0.2">
      <c r="B72" s="109" t="s">
        <v>1205</v>
      </c>
      <c r="C72" s="112">
        <f>CAPA3_EXPANSION!D39*SUP_CONTROL!$C$13</f>
        <v>0</v>
      </c>
      <c r="D72" s="112">
        <f>CAPA3_EXPANSION!E39*SUP_CONTROL!$C$13</f>
        <v>0</v>
      </c>
      <c r="E72" s="112">
        <f>CAPA3_EXPANSION!F39*SUP_CONTROL!$C$13</f>
        <v>0</v>
      </c>
      <c r="F72" s="112">
        <f>CAPA3_EXPANSION!G39*SUP_CONTROL!$C$13</f>
        <v>0</v>
      </c>
      <c r="G72" s="112">
        <f>CAPA3_EXPANSION!H39*SUP_CONTROL!$C$13</f>
        <v>0</v>
      </c>
      <c r="H72" s="112">
        <f>CAPA3_EXPANSION!I39*SUP_CONTROL!$C$13</f>
        <v>0</v>
      </c>
      <c r="I72" s="112">
        <f>CAPA3_EXPANSION!J39*SUP_CONTROL!$C$13</f>
        <v>0</v>
      </c>
      <c r="J72" s="112">
        <f>CAPA3_EXPANSION!K39*SUP_CONTROL!$C$13</f>
        <v>0</v>
      </c>
      <c r="K72" s="112">
        <f>CAPA3_EXPANSION!L39*SUP_CONTROL!$C$13</f>
        <v>0</v>
      </c>
      <c r="L72" s="112">
        <f>CAPA3_EXPANSION!M39*SUP_CONTROL!$C$13</f>
        <v>0</v>
      </c>
      <c r="M72" s="112">
        <f>CAPA3_EXPANSION!N39*SUP_CONTROL!$C$13</f>
        <v>0</v>
      </c>
      <c r="N72" s="112">
        <f>CAPA3_EXPANSION!O39*SUP_CONTROL!$C$13</f>
        <v>0</v>
      </c>
      <c r="O72" s="112">
        <f>SUM(CAPA3_EXPANSION!P39:AA39)*SUP_CONTROL!$C$13</f>
        <v>745025.77411613567</v>
      </c>
      <c r="P72" s="112">
        <f>SUM(CAPA3_EXPANSION!AB39:AM39)*SUP_CONTROL!$C$13</f>
        <v>2553313.6616250081</v>
      </c>
      <c r="Q72" s="112">
        <f>SUM(CAPA3_EXPANSION!AN39:AY39)*SUP_CONTROL!$C$13</f>
        <v>6322610.9810312921</v>
      </c>
      <c r="R72" s="112">
        <f>SUM(CAPA3_EXPANSION!AZ39:BK39)*SUP_CONTROL!$C$13</f>
        <v>8704640.8138780519</v>
      </c>
      <c r="S72" s="112">
        <f>SUM(CAPA3_EXPANSION!BL39:BW39)*SUP_CONTROL!$C$13</f>
        <v>14100804.597903822</v>
      </c>
      <c r="T72" s="112">
        <f>SUM(CAPA3_EXPANSION!BX39:CI39)*SUP_CONTROL!$C$13</f>
        <v>19081080.137998998</v>
      </c>
      <c r="U72" s="112">
        <f>SUM(CAPA3_EXPANSION!CJ39:CU39)*SUP_CONTROL!$C$13</f>
        <v>19688606.052677523</v>
      </c>
      <c r="V72" s="112">
        <f>SUM(CAPA3_EXPANSION!CV39:DG39)*SUP_CONTROL!$C$13</f>
        <v>19688606.052677523</v>
      </c>
      <c r="W72" s="112">
        <f>SUM(CAPA3_EXPANSION!DH39:DS39)*SUP_CONTROL!$C$13</f>
        <v>19688606.052677523</v>
      </c>
    </row>
    <row r="73" spans="2:26" ht="15" customHeight="1" outlineLevel="1" x14ac:dyDescent="0.2">
      <c r="B73" s="109" t="s">
        <v>1206</v>
      </c>
      <c r="C73" s="112">
        <f>CAPA4_RETAIL!D8*SUP_CONTROL!$C$14</f>
        <v>0</v>
      </c>
      <c r="D73" s="112">
        <f>CAPA4_RETAIL!E8*SUP_CONTROL!$C$14</f>
        <v>0</v>
      </c>
      <c r="E73" s="112">
        <f>CAPA4_RETAIL!F8*SUP_CONTROL!$C$14</f>
        <v>0</v>
      </c>
      <c r="F73" s="112">
        <f>CAPA4_RETAIL!G8*SUP_CONTROL!$C$14</f>
        <v>0</v>
      </c>
      <c r="G73" s="112">
        <f>CAPA4_RETAIL!H8*SUP_CONTROL!$C$14</f>
        <v>0</v>
      </c>
      <c r="H73" s="112">
        <f>CAPA4_RETAIL!I8*SUP_CONTROL!$C$14</f>
        <v>0</v>
      </c>
      <c r="I73" s="112">
        <f>CAPA4_RETAIL!J8*SUP_CONTROL!$C$14</f>
        <v>0</v>
      </c>
      <c r="J73" s="112">
        <f>CAPA4_RETAIL!K8*SUP_CONTROL!$C$14</f>
        <v>0</v>
      </c>
      <c r="K73" s="112">
        <f>CAPA4_RETAIL!L8*SUP_CONTROL!$C$14</f>
        <v>0</v>
      </c>
      <c r="L73" s="112">
        <f>CAPA4_RETAIL!M8*SUP_CONTROL!$C$14</f>
        <v>0</v>
      </c>
      <c r="M73" s="112">
        <f>CAPA4_RETAIL!N8*SUP_CONTROL!$C$14</f>
        <v>0</v>
      </c>
      <c r="N73" s="112">
        <f>CAPA4_RETAIL!O8*SUP_CONTROL!$C$14</f>
        <v>0</v>
      </c>
      <c r="O73" s="112">
        <f>SUM(CAPA4_RETAIL!P8:AA8)*SUP_CONTROL!$C$14</f>
        <v>0</v>
      </c>
      <c r="P73" s="112">
        <f>SUM(CAPA4_RETAIL!AB8:AM8)*SUP_CONTROL!$C$14</f>
        <v>0</v>
      </c>
      <c r="Q73" s="112">
        <f>SUM(CAPA4_RETAIL!AN8:AY8)*SUP_CONTROL!$C$14</f>
        <v>0</v>
      </c>
      <c r="R73" s="112">
        <f>SUM(CAPA4_RETAIL!AZ8:BK8)*SUP_CONTROL!$C$14</f>
        <v>0</v>
      </c>
      <c r="S73" s="112">
        <f>SUM(CAPA4_RETAIL!BL8:BW8)*SUP_CONTROL!$C$14</f>
        <v>0</v>
      </c>
      <c r="T73" s="112">
        <f>SUM(CAPA4_RETAIL!BX8:CI8)*SUP_CONTROL!$C$14</f>
        <v>0</v>
      </c>
      <c r="U73" s="112">
        <f>SUM(CAPA4_RETAIL!CJ8:CU8)*SUP_CONTROL!$C$14</f>
        <v>0</v>
      </c>
      <c r="V73" s="112">
        <f>SUM(CAPA4_RETAIL!CV8:DG8)*SUP_CONTROL!$C$14</f>
        <v>0</v>
      </c>
      <c r="W73" s="112">
        <f>SUM(CAPA4_RETAIL!DH8:DS8)*SUP_CONTROL!$C$14</f>
        <v>0</v>
      </c>
    </row>
    <row r="75" spans="2:26" ht="15" customHeight="1" x14ac:dyDescent="0.2">
      <c r="B75" s="107" t="s">
        <v>1207</v>
      </c>
      <c r="C75" s="136">
        <f t="shared" ref="C75:W75" si="7">C59+C71+C72+C73</f>
        <v>0</v>
      </c>
      <c r="D75" s="136">
        <f t="shared" si="7"/>
        <v>0</v>
      </c>
      <c r="E75" s="136">
        <f t="shared" si="7"/>
        <v>0</v>
      </c>
      <c r="F75" s="136">
        <f t="shared" si="7"/>
        <v>61175.136877571218</v>
      </c>
      <c r="G75" s="136">
        <f t="shared" si="7"/>
        <v>135459.23165747913</v>
      </c>
      <c r="H75" s="136">
        <f t="shared" si="7"/>
        <v>222852.28433972373</v>
      </c>
      <c r="I75" s="136">
        <f t="shared" si="7"/>
        <v>319421.60755360406</v>
      </c>
      <c r="J75" s="136">
        <f t="shared" si="7"/>
        <v>427133.54498447047</v>
      </c>
      <c r="K75" s="136">
        <f t="shared" si="7"/>
        <v>459250.49184519541</v>
      </c>
      <c r="L75" s="136">
        <f t="shared" si="7"/>
        <v>476292.13711823308</v>
      </c>
      <c r="M75" s="136">
        <f t="shared" si="7"/>
        <v>476292.13711823308</v>
      </c>
      <c r="N75" s="136">
        <f t="shared" si="7"/>
        <v>476292.13711823308</v>
      </c>
      <c r="O75" s="136">
        <f t="shared" si="7"/>
        <v>6460531.4195349328</v>
      </c>
      <c r="P75" s="136">
        <f t="shared" si="7"/>
        <v>8268819.3070438048</v>
      </c>
      <c r="Q75" s="136">
        <f t="shared" si="7"/>
        <v>12038116.626450088</v>
      </c>
      <c r="R75" s="136">
        <f t="shared" si="7"/>
        <v>14420146.459296849</v>
      </c>
      <c r="S75" s="136">
        <f t="shared" si="7"/>
        <v>19816310.243322618</v>
      </c>
      <c r="T75" s="136">
        <f t="shared" si="7"/>
        <v>24796585.783417795</v>
      </c>
      <c r="U75" s="136">
        <f t="shared" si="7"/>
        <v>25404111.69809632</v>
      </c>
      <c r="V75" s="136">
        <f t="shared" si="7"/>
        <v>25404111.69809632</v>
      </c>
      <c r="W75" s="136">
        <f t="shared" si="7"/>
        <v>25404111.69809632</v>
      </c>
      <c r="X75" s="108"/>
      <c r="Y75" s="108"/>
      <c r="Z75" s="108"/>
    </row>
    <row r="77" spans="2:26" ht="15" customHeight="1" x14ac:dyDescent="0.2">
      <c r="B77" s="107" t="s">
        <v>1208</v>
      </c>
      <c r="C77" s="108"/>
      <c r="D77" s="108"/>
      <c r="E77" s="108"/>
      <c r="F77" s="108"/>
      <c r="G77" s="108"/>
      <c r="H77" s="108"/>
      <c r="I77" s="108"/>
      <c r="J77" s="108"/>
      <c r="K77" s="108"/>
      <c r="L77" s="108"/>
      <c r="M77" s="108"/>
      <c r="N77" s="108"/>
      <c r="O77" s="108"/>
      <c r="P77" s="108"/>
      <c r="Q77" s="108"/>
      <c r="R77" s="108"/>
      <c r="S77" s="108"/>
      <c r="T77" s="108"/>
      <c r="U77" s="108"/>
      <c r="V77" s="108"/>
      <c r="W77" s="108"/>
      <c r="X77" s="108"/>
      <c r="Y77" s="108"/>
      <c r="Z77" s="108"/>
    </row>
    <row r="78" spans="2:26" ht="15" customHeight="1" outlineLevel="1" x14ac:dyDescent="0.2">
      <c r="B78" s="109" t="s">
        <v>1195</v>
      </c>
    </row>
    <row r="79" spans="2:26" ht="15" customHeight="1" outlineLevel="2" x14ac:dyDescent="0.2">
      <c r="B79" s="131" t="s">
        <v>1196</v>
      </c>
    </row>
    <row r="80" spans="2:26" ht="15" customHeight="1" outlineLevel="3" x14ac:dyDescent="0.2">
      <c r="B80" s="132" t="s">
        <v>167</v>
      </c>
      <c r="C80" s="112">
        <f t="shared" ref="C80:W80" si="8">C42*(1-$D$30)</f>
        <v>0</v>
      </c>
      <c r="D80" s="112">
        <f t="shared" si="8"/>
        <v>0</v>
      </c>
      <c r="E80" s="112">
        <f t="shared" si="8"/>
        <v>0</v>
      </c>
      <c r="F80" s="112">
        <f t="shared" si="8"/>
        <v>14742.719196659991</v>
      </c>
      <c r="G80" s="112">
        <f t="shared" si="8"/>
        <v>32644.592506889989</v>
      </c>
      <c r="H80" s="112">
        <f t="shared" si="8"/>
        <v>53705.619930689987</v>
      </c>
      <c r="I80" s="112">
        <f t="shared" si="8"/>
        <v>67395.287756159989</v>
      </c>
      <c r="J80" s="112">
        <f t="shared" si="8"/>
        <v>72134.018926514967</v>
      </c>
      <c r="K80" s="112">
        <f t="shared" si="8"/>
        <v>73713.595983299965</v>
      </c>
      <c r="L80" s="112">
        <f t="shared" si="8"/>
        <v>73713.595983299965</v>
      </c>
      <c r="M80" s="112">
        <f t="shared" si="8"/>
        <v>73713.595983299965</v>
      </c>
      <c r="N80" s="112">
        <f t="shared" si="8"/>
        <v>73713.595983299965</v>
      </c>
      <c r="O80" s="112">
        <f t="shared" si="8"/>
        <v>884563.15179959964</v>
      </c>
      <c r="P80" s="112">
        <f t="shared" si="8"/>
        <v>884563.15179959964</v>
      </c>
      <c r="Q80" s="112">
        <f t="shared" si="8"/>
        <v>884563.15179959964</v>
      </c>
      <c r="R80" s="112">
        <f t="shared" si="8"/>
        <v>884563.15179959964</v>
      </c>
      <c r="S80" s="112">
        <f t="shared" si="8"/>
        <v>884563.15179959964</v>
      </c>
      <c r="T80" s="112">
        <f t="shared" si="8"/>
        <v>884563.15179959964</v>
      </c>
      <c r="U80" s="112">
        <f t="shared" si="8"/>
        <v>884563.15179959964</v>
      </c>
      <c r="V80" s="112">
        <f t="shared" si="8"/>
        <v>884563.15179959964</v>
      </c>
      <c r="W80" s="112">
        <f t="shared" si="8"/>
        <v>884563.15179959964</v>
      </c>
    </row>
    <row r="81" spans="2:26" ht="15" customHeight="1" outlineLevel="3" x14ac:dyDescent="0.2">
      <c r="B81" s="132" t="s">
        <v>188</v>
      </c>
      <c r="C81" s="112">
        <f t="shared" ref="C81:W81" si="9">C43*(1-$D$31)</f>
        <v>0</v>
      </c>
      <c r="D81" s="112">
        <f t="shared" si="9"/>
        <v>0</v>
      </c>
      <c r="E81" s="112">
        <f t="shared" si="9"/>
        <v>0</v>
      </c>
      <c r="F81" s="112">
        <f t="shared" si="9"/>
        <v>8787.0562415713321</v>
      </c>
      <c r="G81" s="112">
        <f t="shared" si="9"/>
        <v>19457.053106336523</v>
      </c>
      <c r="H81" s="112">
        <f t="shared" si="9"/>
        <v>32009.99059429557</v>
      </c>
      <c r="I81" s="112">
        <f t="shared" si="9"/>
        <v>40169.399961468953</v>
      </c>
      <c r="J81" s="112">
        <f t="shared" si="9"/>
        <v>42993.810896259733</v>
      </c>
      <c r="K81" s="112">
        <f t="shared" si="9"/>
        <v>43935.281207856664</v>
      </c>
      <c r="L81" s="112">
        <f t="shared" si="9"/>
        <v>43935.281207856664</v>
      </c>
      <c r="M81" s="112">
        <f t="shared" si="9"/>
        <v>43935.281207856664</v>
      </c>
      <c r="N81" s="112">
        <f t="shared" si="9"/>
        <v>43935.281207856664</v>
      </c>
      <c r="O81" s="112">
        <f t="shared" si="9"/>
        <v>527223.37449427997</v>
      </c>
      <c r="P81" s="112">
        <f t="shared" si="9"/>
        <v>527223.37449427997</v>
      </c>
      <c r="Q81" s="112">
        <f t="shared" si="9"/>
        <v>527223.37449427997</v>
      </c>
      <c r="R81" s="112">
        <f t="shared" si="9"/>
        <v>527223.37449427997</v>
      </c>
      <c r="S81" s="112">
        <f t="shared" si="9"/>
        <v>527223.37449427997</v>
      </c>
      <c r="T81" s="112">
        <f t="shared" si="9"/>
        <v>527223.37449427997</v>
      </c>
      <c r="U81" s="112">
        <f t="shared" si="9"/>
        <v>527223.37449427997</v>
      </c>
      <c r="V81" s="112">
        <f t="shared" si="9"/>
        <v>527223.37449427997</v>
      </c>
      <c r="W81" s="112">
        <f t="shared" si="9"/>
        <v>527223.37449427997</v>
      </c>
    </row>
    <row r="82" spans="2:26" ht="15" customHeight="1" outlineLevel="3" x14ac:dyDescent="0.2">
      <c r="B82" s="132" t="s">
        <v>205</v>
      </c>
      <c r="C82" s="112">
        <f t="shared" ref="C82:W82" si="10">C44*(1-$D$32)</f>
        <v>0</v>
      </c>
      <c r="D82" s="112">
        <f t="shared" si="10"/>
        <v>0</v>
      </c>
      <c r="E82" s="112">
        <f t="shared" si="10"/>
        <v>0</v>
      </c>
      <c r="F82" s="112">
        <f t="shared" si="10"/>
        <v>1666.1171217599999</v>
      </c>
      <c r="G82" s="112">
        <f t="shared" si="10"/>
        <v>3689.2593410400004</v>
      </c>
      <c r="H82" s="112">
        <f t="shared" si="10"/>
        <v>6069.4266578400002</v>
      </c>
      <c r="I82" s="112">
        <f t="shared" si="10"/>
        <v>7616.5354137600016</v>
      </c>
      <c r="J82" s="112">
        <f t="shared" si="10"/>
        <v>8152.0730600400002</v>
      </c>
      <c r="K82" s="112">
        <f t="shared" si="10"/>
        <v>8330.5856088</v>
      </c>
      <c r="L82" s="112">
        <f t="shared" si="10"/>
        <v>8330.5856088</v>
      </c>
      <c r="M82" s="112">
        <f t="shared" si="10"/>
        <v>8330.5856088</v>
      </c>
      <c r="N82" s="112">
        <f t="shared" si="10"/>
        <v>8330.5856088</v>
      </c>
      <c r="O82" s="112">
        <f t="shared" si="10"/>
        <v>99967.027305600015</v>
      </c>
      <c r="P82" s="112">
        <f t="shared" si="10"/>
        <v>99967.027305600015</v>
      </c>
      <c r="Q82" s="112">
        <f t="shared" si="10"/>
        <v>99967.027305600015</v>
      </c>
      <c r="R82" s="112">
        <f t="shared" si="10"/>
        <v>99967.027305600015</v>
      </c>
      <c r="S82" s="112">
        <f t="shared" si="10"/>
        <v>99967.027305600015</v>
      </c>
      <c r="T82" s="112">
        <f t="shared" si="10"/>
        <v>99967.027305600015</v>
      </c>
      <c r="U82" s="112">
        <f t="shared" si="10"/>
        <v>99967.027305600015</v>
      </c>
      <c r="V82" s="112">
        <f t="shared" si="10"/>
        <v>99967.027305600015</v>
      </c>
      <c r="W82" s="112">
        <f t="shared" si="10"/>
        <v>99967.027305600015</v>
      </c>
    </row>
    <row r="83" spans="2:26" ht="15" customHeight="1" outlineLevel="3" x14ac:dyDescent="0.2">
      <c r="B83" s="132" t="s">
        <v>210</v>
      </c>
      <c r="C83" s="112">
        <f t="shared" ref="C83:W83" si="11">C45*(1-$D$33)</f>
        <v>0</v>
      </c>
      <c r="D83" s="112">
        <f t="shared" si="11"/>
        <v>0</v>
      </c>
      <c r="E83" s="112">
        <f t="shared" si="11"/>
        <v>0</v>
      </c>
      <c r="F83" s="112">
        <f t="shared" si="11"/>
        <v>1424.8771793454546</v>
      </c>
      <c r="G83" s="112">
        <f t="shared" si="11"/>
        <v>3155.0851828363639</v>
      </c>
      <c r="H83" s="112">
        <f t="shared" si="11"/>
        <v>5190.6240104727285</v>
      </c>
      <c r="I83" s="112">
        <f t="shared" si="11"/>
        <v>6513.7242484363651</v>
      </c>
      <c r="J83" s="112">
        <f t="shared" si="11"/>
        <v>6971.7204846545455</v>
      </c>
      <c r="K83" s="112">
        <f t="shared" si="11"/>
        <v>7124.3858967272727</v>
      </c>
      <c r="L83" s="112">
        <f t="shared" si="11"/>
        <v>7124.3858967272727</v>
      </c>
      <c r="M83" s="112">
        <f t="shared" si="11"/>
        <v>7124.3858967272727</v>
      </c>
      <c r="N83" s="112">
        <f t="shared" si="11"/>
        <v>7124.3858967272727</v>
      </c>
      <c r="O83" s="112">
        <f t="shared" si="11"/>
        <v>85492.630760727276</v>
      </c>
      <c r="P83" s="112">
        <f t="shared" si="11"/>
        <v>85492.630760727276</v>
      </c>
      <c r="Q83" s="112">
        <f t="shared" si="11"/>
        <v>85492.630760727276</v>
      </c>
      <c r="R83" s="112">
        <f t="shared" si="11"/>
        <v>85492.630760727276</v>
      </c>
      <c r="S83" s="112">
        <f t="shared" si="11"/>
        <v>85492.630760727276</v>
      </c>
      <c r="T83" s="112">
        <f t="shared" si="11"/>
        <v>85492.630760727276</v>
      </c>
      <c r="U83" s="112">
        <f t="shared" si="11"/>
        <v>85492.630760727276</v>
      </c>
      <c r="V83" s="112">
        <f t="shared" si="11"/>
        <v>85492.630760727276</v>
      </c>
      <c r="W83" s="112">
        <f t="shared" si="11"/>
        <v>85492.630760727276</v>
      </c>
    </row>
    <row r="84" spans="2:26" ht="15" customHeight="1" outlineLevel="3" x14ac:dyDescent="0.2">
      <c r="B84" s="132" t="s">
        <v>215</v>
      </c>
      <c r="C84" s="112">
        <f t="shared" ref="C84:W84" si="12">C46*(1-$D$34)</f>
        <v>0</v>
      </c>
      <c r="D84" s="112">
        <f t="shared" si="12"/>
        <v>0</v>
      </c>
      <c r="E84" s="112">
        <f t="shared" si="12"/>
        <v>0</v>
      </c>
      <c r="F84" s="112">
        <f t="shared" si="12"/>
        <v>1571.2821875611603</v>
      </c>
      <c r="G84" s="112">
        <f t="shared" si="12"/>
        <v>3479.2677010282837</v>
      </c>
      <c r="H84" s="112">
        <f t="shared" si="12"/>
        <v>5723.9565404013711</v>
      </c>
      <c r="I84" s="112">
        <f t="shared" si="12"/>
        <v>7183.0042859938767</v>
      </c>
      <c r="J84" s="112">
        <f t="shared" si="12"/>
        <v>7688.0592748528197</v>
      </c>
      <c r="K84" s="112">
        <f t="shared" si="12"/>
        <v>7856.410937805802</v>
      </c>
      <c r="L84" s="112">
        <f t="shared" si="12"/>
        <v>7856.410937805802</v>
      </c>
      <c r="M84" s="112">
        <f t="shared" si="12"/>
        <v>7856.410937805802</v>
      </c>
      <c r="N84" s="112">
        <f t="shared" si="12"/>
        <v>7856.410937805802</v>
      </c>
      <c r="O84" s="112">
        <f t="shared" si="12"/>
        <v>94276.931253669623</v>
      </c>
      <c r="P84" s="112">
        <f t="shared" si="12"/>
        <v>94276.931253669623</v>
      </c>
      <c r="Q84" s="112">
        <f t="shared" si="12"/>
        <v>94276.931253669623</v>
      </c>
      <c r="R84" s="112">
        <f t="shared" si="12"/>
        <v>94276.931253669623</v>
      </c>
      <c r="S84" s="112">
        <f t="shared" si="12"/>
        <v>94276.931253669623</v>
      </c>
      <c r="T84" s="112">
        <f t="shared" si="12"/>
        <v>94276.931253669623</v>
      </c>
      <c r="U84" s="112">
        <f t="shared" si="12"/>
        <v>94276.931253669623</v>
      </c>
      <c r="V84" s="112">
        <f t="shared" si="12"/>
        <v>94276.931253669623</v>
      </c>
      <c r="W84" s="112">
        <f t="shared" si="12"/>
        <v>94276.931253669623</v>
      </c>
    </row>
    <row r="85" spans="2:26" ht="15" customHeight="1" outlineLevel="3" x14ac:dyDescent="0.2">
      <c r="B85" s="132" t="s">
        <v>220</v>
      </c>
      <c r="C85" s="112">
        <f t="shared" ref="C85:W85" si="13">C47*(1-$D$35)</f>
        <v>0</v>
      </c>
      <c r="D85" s="112">
        <f t="shared" si="13"/>
        <v>0</v>
      </c>
      <c r="E85" s="112">
        <f t="shared" si="13"/>
        <v>0</v>
      </c>
      <c r="F85" s="112">
        <f t="shared" si="13"/>
        <v>1931.4424079999994</v>
      </c>
      <c r="G85" s="112">
        <f t="shared" si="13"/>
        <v>4276.765331999999</v>
      </c>
      <c r="H85" s="112">
        <f t="shared" si="13"/>
        <v>7035.9687719999993</v>
      </c>
      <c r="I85" s="112">
        <f t="shared" si="13"/>
        <v>8829.451008</v>
      </c>
      <c r="J85" s="112">
        <f t="shared" si="13"/>
        <v>9450.271781999998</v>
      </c>
      <c r="K85" s="112">
        <f t="shared" si="13"/>
        <v>9657.2120400000003</v>
      </c>
      <c r="L85" s="112">
        <f t="shared" si="13"/>
        <v>9657.2120400000003</v>
      </c>
      <c r="M85" s="112">
        <f t="shared" si="13"/>
        <v>9657.2120400000003</v>
      </c>
      <c r="N85" s="112">
        <f t="shared" si="13"/>
        <v>9657.2120400000003</v>
      </c>
      <c r="O85" s="112">
        <f t="shared" si="13"/>
        <v>115886.54448</v>
      </c>
      <c r="P85" s="112">
        <f t="shared" si="13"/>
        <v>115886.54448</v>
      </c>
      <c r="Q85" s="112">
        <f t="shared" si="13"/>
        <v>115886.54448</v>
      </c>
      <c r="R85" s="112">
        <f t="shared" si="13"/>
        <v>115886.54448</v>
      </c>
      <c r="S85" s="112">
        <f t="shared" si="13"/>
        <v>115886.54448</v>
      </c>
      <c r="T85" s="112">
        <f t="shared" si="13"/>
        <v>115886.54448</v>
      </c>
      <c r="U85" s="112">
        <f t="shared" si="13"/>
        <v>115886.54448</v>
      </c>
      <c r="V85" s="112">
        <f t="shared" si="13"/>
        <v>115886.54448</v>
      </c>
      <c r="W85" s="112">
        <f t="shared" si="13"/>
        <v>115886.54448</v>
      </c>
    </row>
    <row r="86" spans="2:26" ht="15" customHeight="1" outlineLevel="3" x14ac:dyDescent="0.2">
      <c r="B86" s="132" t="s">
        <v>229</v>
      </c>
      <c r="C86" s="112">
        <f t="shared" ref="C86:W86" si="14">C48*(1-$D$36)</f>
        <v>0</v>
      </c>
      <c r="D86" s="112">
        <f t="shared" si="14"/>
        <v>0</v>
      </c>
      <c r="E86" s="112">
        <f t="shared" si="14"/>
        <v>0</v>
      </c>
      <c r="F86" s="112">
        <f t="shared" si="14"/>
        <v>2458.4616633403789</v>
      </c>
      <c r="G86" s="112">
        <f t="shared" si="14"/>
        <v>5443.7365402536961</v>
      </c>
      <c r="H86" s="112">
        <f t="shared" si="14"/>
        <v>8955.8246307399531</v>
      </c>
      <c r="I86" s="112">
        <f t="shared" si="14"/>
        <v>11238.681889556021</v>
      </c>
      <c r="J86" s="112">
        <f t="shared" si="14"/>
        <v>12028.901709915424</v>
      </c>
      <c r="K86" s="112">
        <f t="shared" si="14"/>
        <v>12292.308316701896</v>
      </c>
      <c r="L86" s="112">
        <f t="shared" si="14"/>
        <v>12292.308316701896</v>
      </c>
      <c r="M86" s="112">
        <f t="shared" si="14"/>
        <v>12292.308316701896</v>
      </c>
      <c r="N86" s="112">
        <f t="shared" si="14"/>
        <v>12292.308316701896</v>
      </c>
      <c r="O86" s="112">
        <f t="shared" si="14"/>
        <v>147507.69980042276</v>
      </c>
      <c r="P86" s="112">
        <f t="shared" si="14"/>
        <v>147507.69980042276</v>
      </c>
      <c r="Q86" s="112">
        <f t="shared" si="14"/>
        <v>147507.69980042276</v>
      </c>
      <c r="R86" s="112">
        <f t="shared" si="14"/>
        <v>147507.69980042276</v>
      </c>
      <c r="S86" s="112">
        <f t="shared" si="14"/>
        <v>147507.69980042276</v>
      </c>
      <c r="T86" s="112">
        <f t="shared" si="14"/>
        <v>147507.69980042276</v>
      </c>
      <c r="U86" s="112">
        <f t="shared" si="14"/>
        <v>147507.69980042276</v>
      </c>
      <c r="V86" s="112">
        <f t="shared" si="14"/>
        <v>147507.69980042276</v>
      </c>
      <c r="W86" s="112">
        <f t="shared" si="14"/>
        <v>147507.69980042276</v>
      </c>
    </row>
    <row r="87" spans="2:26" ht="15" customHeight="1" outlineLevel="2" x14ac:dyDescent="0.2">
      <c r="B87" s="133" t="s">
        <v>1197</v>
      </c>
      <c r="C87" s="134">
        <f t="shared" ref="C87:W87" si="15">C80+C81+C82+C83+C84+C85+C86</f>
        <v>0</v>
      </c>
      <c r="D87" s="134">
        <f t="shared" si="15"/>
        <v>0</v>
      </c>
      <c r="E87" s="134">
        <f t="shared" si="15"/>
        <v>0</v>
      </c>
      <c r="F87" s="134">
        <f t="shared" si="15"/>
        <v>32581.955998238311</v>
      </c>
      <c r="G87" s="134">
        <f t="shared" si="15"/>
        <v>72145.759710384868</v>
      </c>
      <c r="H87" s="134">
        <f t="shared" si="15"/>
        <v>118691.41113643961</v>
      </c>
      <c r="I87" s="134">
        <f t="shared" si="15"/>
        <v>148946.08456337522</v>
      </c>
      <c r="J87" s="134">
        <f t="shared" si="15"/>
        <v>159418.85613423749</v>
      </c>
      <c r="K87" s="134">
        <f t="shared" si="15"/>
        <v>162909.77999119164</v>
      </c>
      <c r="L87" s="134">
        <f t="shared" si="15"/>
        <v>162909.77999119164</v>
      </c>
      <c r="M87" s="134">
        <f t="shared" si="15"/>
        <v>162909.77999119164</v>
      </c>
      <c r="N87" s="134">
        <f t="shared" si="15"/>
        <v>162909.77999119164</v>
      </c>
      <c r="O87" s="134">
        <f t="shared" si="15"/>
        <v>1954917.3598942989</v>
      </c>
      <c r="P87" s="134">
        <f t="shared" si="15"/>
        <v>1954917.3598942989</v>
      </c>
      <c r="Q87" s="134">
        <f t="shared" si="15"/>
        <v>1954917.3598942989</v>
      </c>
      <c r="R87" s="134">
        <f t="shared" si="15"/>
        <v>1954917.3598942989</v>
      </c>
      <c r="S87" s="134">
        <f t="shared" si="15"/>
        <v>1954917.3598942989</v>
      </c>
      <c r="T87" s="134">
        <f t="shared" si="15"/>
        <v>1954917.3598942989</v>
      </c>
      <c r="U87" s="134">
        <f t="shared" si="15"/>
        <v>1954917.3598942989</v>
      </c>
      <c r="V87" s="134">
        <f t="shared" si="15"/>
        <v>1954917.3598942989</v>
      </c>
      <c r="W87" s="134">
        <f t="shared" si="15"/>
        <v>1954917.3598942989</v>
      </c>
      <c r="X87" s="41"/>
      <c r="Y87" s="41"/>
      <c r="Z87" s="41"/>
    </row>
    <row r="88" spans="2:26" ht="15" customHeight="1" outlineLevel="2" x14ac:dyDescent="0.2">
      <c r="B88" s="131" t="s">
        <v>1198</v>
      </c>
    </row>
    <row r="89" spans="2:26" ht="15" customHeight="1" outlineLevel="3" x14ac:dyDescent="0.2">
      <c r="B89" s="132" t="s">
        <v>167</v>
      </c>
      <c r="C89" s="112">
        <f t="shared" ref="C89:W89" si="16">C51*(1-$D$30)</f>
        <v>0</v>
      </c>
      <c r="D89" s="112">
        <f t="shared" si="16"/>
        <v>0</v>
      </c>
      <c r="E89" s="112">
        <f t="shared" si="16"/>
        <v>0</v>
      </c>
      <c r="F89" s="112">
        <f t="shared" si="16"/>
        <v>0</v>
      </c>
      <c r="G89" s="112">
        <f t="shared" si="16"/>
        <v>0</v>
      </c>
      <c r="H89" s="112">
        <f t="shared" si="16"/>
        <v>0</v>
      </c>
      <c r="I89" s="112">
        <f t="shared" si="16"/>
        <v>9582.7674778289984</v>
      </c>
      <c r="J89" s="112">
        <f t="shared" si="16"/>
        <v>30801.752607307488</v>
      </c>
      <c r="K89" s="112">
        <f t="shared" si="16"/>
        <v>36962.103128768998</v>
      </c>
      <c r="L89" s="112">
        <f t="shared" si="16"/>
        <v>41069.003476409991</v>
      </c>
      <c r="M89" s="112">
        <f t="shared" si="16"/>
        <v>41069.003476409991</v>
      </c>
      <c r="N89" s="112">
        <f t="shared" si="16"/>
        <v>41069.003476409991</v>
      </c>
      <c r="O89" s="112">
        <f t="shared" si="16"/>
        <v>492828.0417169198</v>
      </c>
      <c r="P89" s="112">
        <f t="shared" si="16"/>
        <v>492828.0417169198</v>
      </c>
      <c r="Q89" s="112">
        <f t="shared" si="16"/>
        <v>492828.0417169198</v>
      </c>
      <c r="R89" s="112">
        <f t="shared" si="16"/>
        <v>492828.0417169198</v>
      </c>
      <c r="S89" s="112">
        <f t="shared" si="16"/>
        <v>492828.0417169198</v>
      </c>
      <c r="T89" s="112">
        <f t="shared" si="16"/>
        <v>492828.0417169198</v>
      </c>
      <c r="U89" s="112">
        <f t="shared" si="16"/>
        <v>492828.0417169198</v>
      </c>
      <c r="V89" s="112">
        <f t="shared" si="16"/>
        <v>492828.0417169198</v>
      </c>
      <c r="W89" s="112">
        <f t="shared" si="16"/>
        <v>492828.0417169198</v>
      </c>
    </row>
    <row r="90" spans="2:26" ht="15" customHeight="1" outlineLevel="3" x14ac:dyDescent="0.2">
      <c r="B90" s="132" t="s">
        <v>188</v>
      </c>
      <c r="C90" s="112">
        <f t="shared" ref="C90:W90" si="17">C52*(1-$D$31)</f>
        <v>0</v>
      </c>
      <c r="D90" s="112">
        <f t="shared" si="17"/>
        <v>0</v>
      </c>
      <c r="E90" s="112">
        <f t="shared" si="17"/>
        <v>0</v>
      </c>
      <c r="F90" s="112">
        <f t="shared" si="17"/>
        <v>0</v>
      </c>
      <c r="G90" s="112">
        <f t="shared" si="17"/>
        <v>0</v>
      </c>
      <c r="H90" s="112">
        <f t="shared" si="17"/>
        <v>0</v>
      </c>
      <c r="I90" s="112">
        <f t="shared" si="17"/>
        <v>5711.5865570213664</v>
      </c>
      <c r="J90" s="112">
        <f t="shared" si="17"/>
        <v>18358.671076140105</v>
      </c>
      <c r="K90" s="112">
        <f t="shared" si="17"/>
        <v>22030.40529136813</v>
      </c>
      <c r="L90" s="112">
        <f t="shared" si="17"/>
        <v>24478.228101520144</v>
      </c>
      <c r="M90" s="112">
        <f t="shared" si="17"/>
        <v>24478.228101520144</v>
      </c>
      <c r="N90" s="112">
        <f t="shared" si="17"/>
        <v>24478.228101520144</v>
      </c>
      <c r="O90" s="112">
        <f t="shared" si="17"/>
        <v>293738.73721824167</v>
      </c>
      <c r="P90" s="112">
        <f t="shared" si="17"/>
        <v>293738.73721824167</v>
      </c>
      <c r="Q90" s="112">
        <f t="shared" si="17"/>
        <v>293738.73721824167</v>
      </c>
      <c r="R90" s="112">
        <f t="shared" si="17"/>
        <v>293738.73721824167</v>
      </c>
      <c r="S90" s="112">
        <f t="shared" si="17"/>
        <v>293738.73721824167</v>
      </c>
      <c r="T90" s="112">
        <f t="shared" si="17"/>
        <v>293738.73721824167</v>
      </c>
      <c r="U90" s="112">
        <f t="shared" si="17"/>
        <v>293738.73721824167</v>
      </c>
      <c r="V90" s="112">
        <f t="shared" si="17"/>
        <v>293738.73721824167</v>
      </c>
      <c r="W90" s="112">
        <f t="shared" si="17"/>
        <v>293738.73721824167</v>
      </c>
    </row>
    <row r="91" spans="2:26" ht="15" customHeight="1" outlineLevel="3" x14ac:dyDescent="0.2">
      <c r="B91" s="132" t="s">
        <v>205</v>
      </c>
      <c r="C91" s="112">
        <f t="shared" ref="C91:W91" si="18">C53*(1-$D$32)</f>
        <v>0</v>
      </c>
      <c r="D91" s="112">
        <f t="shared" si="18"/>
        <v>0</v>
      </c>
      <c r="E91" s="112">
        <f t="shared" si="18"/>
        <v>0</v>
      </c>
      <c r="F91" s="112">
        <f t="shared" si="18"/>
        <v>0</v>
      </c>
      <c r="G91" s="112">
        <f t="shared" si="18"/>
        <v>0</v>
      </c>
      <c r="H91" s="112">
        <f t="shared" si="18"/>
        <v>0</v>
      </c>
      <c r="I91" s="112">
        <f t="shared" si="18"/>
        <v>1082.9761291440002</v>
      </c>
      <c r="J91" s="112">
        <f t="shared" si="18"/>
        <v>3480.9947008200006</v>
      </c>
      <c r="K91" s="112">
        <f t="shared" si="18"/>
        <v>4177.1936409840009</v>
      </c>
      <c r="L91" s="112">
        <f t="shared" si="18"/>
        <v>4641.3262677600005</v>
      </c>
      <c r="M91" s="112">
        <f t="shared" si="18"/>
        <v>4641.3262677600005</v>
      </c>
      <c r="N91" s="112">
        <f t="shared" si="18"/>
        <v>4641.3262677600005</v>
      </c>
      <c r="O91" s="112">
        <f t="shared" si="18"/>
        <v>55695.91521312001</v>
      </c>
      <c r="P91" s="112">
        <f t="shared" si="18"/>
        <v>55695.91521312001</v>
      </c>
      <c r="Q91" s="112">
        <f t="shared" si="18"/>
        <v>55695.91521312001</v>
      </c>
      <c r="R91" s="112">
        <f t="shared" si="18"/>
        <v>55695.91521312001</v>
      </c>
      <c r="S91" s="112">
        <f t="shared" si="18"/>
        <v>55695.91521312001</v>
      </c>
      <c r="T91" s="112">
        <f t="shared" si="18"/>
        <v>55695.91521312001</v>
      </c>
      <c r="U91" s="112">
        <f t="shared" si="18"/>
        <v>55695.91521312001</v>
      </c>
      <c r="V91" s="112">
        <f t="shared" si="18"/>
        <v>55695.91521312001</v>
      </c>
      <c r="W91" s="112">
        <f t="shared" si="18"/>
        <v>55695.91521312001</v>
      </c>
    </row>
    <row r="92" spans="2:26" ht="15" customHeight="1" outlineLevel="3" x14ac:dyDescent="0.2">
      <c r="B92" s="132" t="s">
        <v>210</v>
      </c>
      <c r="C92" s="112">
        <f t="shared" ref="C92:W92" si="19">C54*(1-$D$33)</f>
        <v>0</v>
      </c>
      <c r="D92" s="112">
        <f t="shared" si="19"/>
        <v>0</v>
      </c>
      <c r="E92" s="112">
        <f t="shared" si="19"/>
        <v>0</v>
      </c>
      <c r="F92" s="112">
        <f t="shared" si="19"/>
        <v>0</v>
      </c>
      <c r="G92" s="112">
        <f t="shared" si="19"/>
        <v>0</v>
      </c>
      <c r="H92" s="112">
        <f t="shared" si="19"/>
        <v>0</v>
      </c>
      <c r="I92" s="112">
        <f t="shared" si="19"/>
        <v>926.17016657454553</v>
      </c>
      <c r="J92" s="112">
        <f t="shared" si="19"/>
        <v>2976.9755354181821</v>
      </c>
      <c r="K92" s="112">
        <f t="shared" si="19"/>
        <v>3572.370642501819</v>
      </c>
      <c r="L92" s="112">
        <f t="shared" si="19"/>
        <v>3969.3007138909097</v>
      </c>
      <c r="M92" s="112">
        <f t="shared" si="19"/>
        <v>3969.3007138909097</v>
      </c>
      <c r="N92" s="112">
        <f t="shared" si="19"/>
        <v>3969.3007138909097</v>
      </c>
      <c r="O92" s="112">
        <f t="shared" si="19"/>
        <v>47631.608566690913</v>
      </c>
      <c r="P92" s="112">
        <f t="shared" si="19"/>
        <v>47631.608566690913</v>
      </c>
      <c r="Q92" s="112">
        <f t="shared" si="19"/>
        <v>47631.608566690913</v>
      </c>
      <c r="R92" s="112">
        <f t="shared" si="19"/>
        <v>47631.608566690913</v>
      </c>
      <c r="S92" s="112">
        <f t="shared" si="19"/>
        <v>47631.608566690913</v>
      </c>
      <c r="T92" s="112">
        <f t="shared" si="19"/>
        <v>47631.608566690913</v>
      </c>
      <c r="U92" s="112">
        <f t="shared" si="19"/>
        <v>47631.608566690913</v>
      </c>
      <c r="V92" s="112">
        <f t="shared" si="19"/>
        <v>47631.608566690913</v>
      </c>
      <c r="W92" s="112">
        <f t="shared" si="19"/>
        <v>47631.608566690913</v>
      </c>
    </row>
    <row r="93" spans="2:26" ht="15" customHeight="1" outlineLevel="3" x14ac:dyDescent="0.2">
      <c r="B93" s="132" t="s">
        <v>215</v>
      </c>
      <c r="C93" s="112">
        <f t="shared" ref="C93:W93" si="20">C55*(1-$D$34)</f>
        <v>0</v>
      </c>
      <c r="D93" s="112">
        <f t="shared" si="20"/>
        <v>0</v>
      </c>
      <c r="E93" s="112">
        <f t="shared" si="20"/>
        <v>0</v>
      </c>
      <c r="F93" s="112">
        <f t="shared" si="20"/>
        <v>0</v>
      </c>
      <c r="G93" s="112">
        <f t="shared" si="20"/>
        <v>0</v>
      </c>
      <c r="H93" s="112">
        <f t="shared" si="20"/>
        <v>0</v>
      </c>
      <c r="I93" s="112">
        <f t="shared" si="20"/>
        <v>1021.3334219147542</v>
      </c>
      <c r="J93" s="112">
        <f t="shared" si="20"/>
        <v>3282.8574275831388</v>
      </c>
      <c r="K93" s="112">
        <f t="shared" si="20"/>
        <v>3939.4289130997672</v>
      </c>
      <c r="L93" s="112">
        <f t="shared" si="20"/>
        <v>4377.1432367775187</v>
      </c>
      <c r="M93" s="112">
        <f t="shared" si="20"/>
        <v>4377.1432367775187</v>
      </c>
      <c r="N93" s="112">
        <f t="shared" si="20"/>
        <v>4377.1432367775187</v>
      </c>
      <c r="O93" s="112">
        <f t="shared" si="20"/>
        <v>52525.718841330221</v>
      </c>
      <c r="P93" s="112">
        <f t="shared" si="20"/>
        <v>52525.718841330221</v>
      </c>
      <c r="Q93" s="112">
        <f t="shared" si="20"/>
        <v>52525.718841330221</v>
      </c>
      <c r="R93" s="112">
        <f t="shared" si="20"/>
        <v>52525.718841330221</v>
      </c>
      <c r="S93" s="112">
        <f t="shared" si="20"/>
        <v>52525.718841330221</v>
      </c>
      <c r="T93" s="112">
        <f t="shared" si="20"/>
        <v>52525.718841330221</v>
      </c>
      <c r="U93" s="112">
        <f t="shared" si="20"/>
        <v>52525.718841330221</v>
      </c>
      <c r="V93" s="112">
        <f t="shared" si="20"/>
        <v>52525.718841330221</v>
      </c>
      <c r="W93" s="112">
        <f t="shared" si="20"/>
        <v>52525.718841330221</v>
      </c>
    </row>
    <row r="94" spans="2:26" ht="15" customHeight="1" outlineLevel="3" x14ac:dyDescent="0.2">
      <c r="B94" s="132" t="s">
        <v>220</v>
      </c>
      <c r="C94" s="112">
        <f t="shared" ref="C94:W94" si="21">C56*(1-$D$35)</f>
        <v>0</v>
      </c>
      <c r="D94" s="112">
        <f t="shared" si="21"/>
        <v>0</v>
      </c>
      <c r="E94" s="112">
        <f t="shared" si="21"/>
        <v>0</v>
      </c>
      <c r="F94" s="112">
        <f t="shared" si="21"/>
        <v>0</v>
      </c>
      <c r="G94" s="112">
        <f t="shared" si="21"/>
        <v>0</v>
      </c>
      <c r="H94" s="112">
        <f t="shared" si="21"/>
        <v>0</v>
      </c>
      <c r="I94" s="112">
        <f t="shared" si="21"/>
        <v>1255.4375651999999</v>
      </c>
      <c r="J94" s="112">
        <f t="shared" si="21"/>
        <v>4035.3350309999996</v>
      </c>
      <c r="K94" s="112">
        <f t="shared" si="21"/>
        <v>4842.4020372000004</v>
      </c>
      <c r="L94" s="112">
        <f t="shared" si="21"/>
        <v>5380.4467080000004</v>
      </c>
      <c r="M94" s="112">
        <f t="shared" si="21"/>
        <v>5380.4467080000004</v>
      </c>
      <c r="N94" s="112">
        <f t="shared" si="21"/>
        <v>5380.4467080000004</v>
      </c>
      <c r="O94" s="112">
        <f t="shared" si="21"/>
        <v>64565.360495999994</v>
      </c>
      <c r="P94" s="112">
        <f t="shared" si="21"/>
        <v>64565.360495999994</v>
      </c>
      <c r="Q94" s="112">
        <f t="shared" si="21"/>
        <v>64565.360495999994</v>
      </c>
      <c r="R94" s="112">
        <f t="shared" si="21"/>
        <v>64565.360495999994</v>
      </c>
      <c r="S94" s="112">
        <f t="shared" si="21"/>
        <v>64565.360495999994</v>
      </c>
      <c r="T94" s="112">
        <f t="shared" si="21"/>
        <v>64565.360495999994</v>
      </c>
      <c r="U94" s="112">
        <f t="shared" si="21"/>
        <v>64565.360495999994</v>
      </c>
      <c r="V94" s="112">
        <f t="shared" si="21"/>
        <v>64565.360495999994</v>
      </c>
      <c r="W94" s="112">
        <f t="shared" si="21"/>
        <v>64565.360495999994</v>
      </c>
    </row>
    <row r="95" spans="2:26" ht="15" customHeight="1" outlineLevel="3" x14ac:dyDescent="0.2">
      <c r="B95" s="132" t="s">
        <v>229</v>
      </c>
      <c r="C95" s="112">
        <f t="shared" ref="C95:W95" si="22">C57*(1-$D$36)</f>
        <v>0</v>
      </c>
      <c r="D95" s="112">
        <f t="shared" si="22"/>
        <v>0</v>
      </c>
      <c r="E95" s="112">
        <f t="shared" si="22"/>
        <v>0</v>
      </c>
      <c r="F95" s="112">
        <f t="shared" si="22"/>
        <v>0</v>
      </c>
      <c r="G95" s="112">
        <f t="shared" si="22"/>
        <v>0</v>
      </c>
      <c r="H95" s="112">
        <f t="shared" si="22"/>
        <v>0</v>
      </c>
      <c r="I95" s="112">
        <f t="shared" si="22"/>
        <v>1598.0000811712464</v>
      </c>
      <c r="J95" s="112">
        <f t="shared" si="22"/>
        <v>5136.4288323361488</v>
      </c>
      <c r="K95" s="112">
        <f t="shared" si="22"/>
        <v>6163.7145988033808</v>
      </c>
      <c r="L95" s="112">
        <f t="shared" si="22"/>
        <v>6848.5717764481997</v>
      </c>
      <c r="M95" s="112">
        <f t="shared" si="22"/>
        <v>6848.5717764481997</v>
      </c>
      <c r="N95" s="112">
        <f t="shared" si="22"/>
        <v>6848.5717764481997</v>
      </c>
      <c r="O95" s="112">
        <f t="shared" si="22"/>
        <v>82182.861317378382</v>
      </c>
      <c r="P95" s="112">
        <f t="shared" si="22"/>
        <v>82182.861317378382</v>
      </c>
      <c r="Q95" s="112">
        <f t="shared" si="22"/>
        <v>82182.861317378382</v>
      </c>
      <c r="R95" s="112">
        <f t="shared" si="22"/>
        <v>82182.861317378382</v>
      </c>
      <c r="S95" s="112">
        <f t="shared" si="22"/>
        <v>82182.861317378382</v>
      </c>
      <c r="T95" s="112">
        <f t="shared" si="22"/>
        <v>82182.861317378382</v>
      </c>
      <c r="U95" s="112">
        <f t="shared" si="22"/>
        <v>82182.861317378382</v>
      </c>
      <c r="V95" s="112">
        <f t="shared" si="22"/>
        <v>82182.861317378382</v>
      </c>
      <c r="W95" s="112">
        <f t="shared" si="22"/>
        <v>82182.861317378382</v>
      </c>
    </row>
    <row r="96" spans="2:26" ht="15" customHeight="1" outlineLevel="2" x14ac:dyDescent="0.2">
      <c r="B96" s="133" t="s">
        <v>1199</v>
      </c>
      <c r="C96" s="134">
        <f t="shared" ref="C96:W96" si="23">C89+C90+C91+C92+C93+C94+C95</f>
        <v>0</v>
      </c>
      <c r="D96" s="134">
        <f t="shared" si="23"/>
        <v>0</v>
      </c>
      <c r="E96" s="134">
        <f t="shared" si="23"/>
        <v>0</v>
      </c>
      <c r="F96" s="134">
        <f t="shared" si="23"/>
        <v>0</v>
      </c>
      <c r="G96" s="134">
        <f t="shared" si="23"/>
        <v>0</v>
      </c>
      <c r="H96" s="134">
        <f t="shared" si="23"/>
        <v>0</v>
      </c>
      <c r="I96" s="134">
        <f t="shared" si="23"/>
        <v>21178.271398854908</v>
      </c>
      <c r="J96" s="134">
        <f t="shared" si="23"/>
        <v>68073.015210605066</v>
      </c>
      <c r="K96" s="134">
        <f t="shared" si="23"/>
        <v>81687.618252726097</v>
      </c>
      <c r="L96" s="134">
        <f t="shared" si="23"/>
        <v>90764.020280806755</v>
      </c>
      <c r="M96" s="134">
        <f t="shared" si="23"/>
        <v>90764.020280806755</v>
      </c>
      <c r="N96" s="134">
        <f t="shared" si="23"/>
        <v>90764.020280806755</v>
      </c>
      <c r="O96" s="134">
        <f t="shared" si="23"/>
        <v>1089168.2433696811</v>
      </c>
      <c r="P96" s="134">
        <f t="shared" si="23"/>
        <v>1089168.2433696811</v>
      </c>
      <c r="Q96" s="134">
        <f t="shared" si="23"/>
        <v>1089168.2433696811</v>
      </c>
      <c r="R96" s="134">
        <f t="shared" si="23"/>
        <v>1089168.2433696811</v>
      </c>
      <c r="S96" s="134">
        <f t="shared" si="23"/>
        <v>1089168.2433696811</v>
      </c>
      <c r="T96" s="134">
        <f t="shared" si="23"/>
        <v>1089168.2433696811</v>
      </c>
      <c r="U96" s="134">
        <f t="shared" si="23"/>
        <v>1089168.2433696811</v>
      </c>
      <c r="V96" s="134">
        <f t="shared" si="23"/>
        <v>1089168.2433696811</v>
      </c>
      <c r="W96" s="134">
        <f t="shared" si="23"/>
        <v>1089168.2433696811</v>
      </c>
      <c r="X96" s="41"/>
      <c r="Y96" s="41"/>
      <c r="Z96" s="41"/>
    </row>
    <row r="97" spans="2:26" ht="15" customHeight="1" outlineLevel="1" x14ac:dyDescent="0.2">
      <c r="B97" s="135" t="s">
        <v>1200</v>
      </c>
      <c r="C97" s="134">
        <f t="shared" ref="C97:W97" si="24">C87+C96</f>
        <v>0</v>
      </c>
      <c r="D97" s="134">
        <f t="shared" si="24"/>
        <v>0</v>
      </c>
      <c r="E97" s="134">
        <f t="shared" si="24"/>
        <v>0</v>
      </c>
      <c r="F97" s="134">
        <f t="shared" si="24"/>
        <v>32581.955998238311</v>
      </c>
      <c r="G97" s="134">
        <f t="shared" si="24"/>
        <v>72145.759710384868</v>
      </c>
      <c r="H97" s="134">
        <f t="shared" si="24"/>
        <v>118691.41113643961</v>
      </c>
      <c r="I97" s="134">
        <f t="shared" si="24"/>
        <v>170124.35596223013</v>
      </c>
      <c r="J97" s="134">
        <f t="shared" si="24"/>
        <v>227491.87134484254</v>
      </c>
      <c r="K97" s="134">
        <f t="shared" si="24"/>
        <v>244597.39824391773</v>
      </c>
      <c r="L97" s="134">
        <f t="shared" si="24"/>
        <v>253673.80027199839</v>
      </c>
      <c r="M97" s="134">
        <f t="shared" si="24"/>
        <v>253673.80027199839</v>
      </c>
      <c r="N97" s="134">
        <f t="shared" si="24"/>
        <v>253673.80027199839</v>
      </c>
      <c r="O97" s="134">
        <f t="shared" si="24"/>
        <v>3044085.6032639798</v>
      </c>
      <c r="P97" s="134">
        <f t="shared" si="24"/>
        <v>3044085.6032639798</v>
      </c>
      <c r="Q97" s="134">
        <f t="shared" si="24"/>
        <v>3044085.6032639798</v>
      </c>
      <c r="R97" s="134">
        <f t="shared" si="24"/>
        <v>3044085.6032639798</v>
      </c>
      <c r="S97" s="134">
        <f t="shared" si="24"/>
        <v>3044085.6032639798</v>
      </c>
      <c r="T97" s="134">
        <f t="shared" si="24"/>
        <v>3044085.6032639798</v>
      </c>
      <c r="U97" s="134">
        <f t="shared" si="24"/>
        <v>3044085.6032639798</v>
      </c>
      <c r="V97" s="134">
        <f t="shared" si="24"/>
        <v>3044085.6032639798</v>
      </c>
      <c r="W97" s="134">
        <f t="shared" si="24"/>
        <v>3044085.6032639798</v>
      </c>
      <c r="X97" s="41"/>
      <c r="Y97" s="41"/>
      <c r="Z97" s="41"/>
    </row>
    <row r="98" spans="2:26" ht="15" customHeight="1" outlineLevel="1" x14ac:dyDescent="0.2">
      <c r="B98" s="109" t="s">
        <v>1153</v>
      </c>
    </row>
    <row r="99" spans="2:26" ht="15" customHeight="1" outlineLevel="2" x14ac:dyDescent="0.2">
      <c r="B99" s="131" t="s">
        <v>1201</v>
      </c>
    </row>
    <row r="100" spans="2:26" ht="15" customHeight="1" outlineLevel="3" x14ac:dyDescent="0.2">
      <c r="B100" s="132" t="s">
        <v>167</v>
      </c>
      <c r="C100" s="112">
        <f t="shared" ref="C100:W100" si="25">C62*(1-$D$30)</f>
        <v>0</v>
      </c>
      <c r="D100" s="112">
        <f t="shared" si="25"/>
        <v>0</v>
      </c>
      <c r="E100" s="112">
        <f t="shared" si="25"/>
        <v>0</v>
      </c>
      <c r="F100" s="112">
        <f t="shared" si="25"/>
        <v>0</v>
      </c>
      <c r="G100" s="112">
        <f t="shared" si="25"/>
        <v>0</v>
      </c>
      <c r="H100" s="112">
        <f t="shared" si="25"/>
        <v>0</v>
      </c>
      <c r="I100" s="112">
        <f t="shared" si="25"/>
        <v>0</v>
      </c>
      <c r="J100" s="112">
        <f t="shared" si="25"/>
        <v>0</v>
      </c>
      <c r="K100" s="112">
        <f t="shared" si="25"/>
        <v>0</v>
      </c>
      <c r="L100" s="112">
        <f t="shared" si="25"/>
        <v>0</v>
      </c>
      <c r="M100" s="112">
        <f t="shared" si="25"/>
        <v>0</v>
      </c>
      <c r="N100" s="112">
        <f t="shared" si="25"/>
        <v>0</v>
      </c>
      <c r="O100" s="112">
        <f t="shared" si="25"/>
        <v>0</v>
      </c>
      <c r="P100" s="112">
        <f t="shared" si="25"/>
        <v>0</v>
      </c>
      <c r="Q100" s="112">
        <f t="shared" si="25"/>
        <v>0</v>
      </c>
      <c r="R100" s="112">
        <f t="shared" si="25"/>
        <v>0</v>
      </c>
      <c r="S100" s="112">
        <f t="shared" si="25"/>
        <v>0</v>
      </c>
      <c r="T100" s="112">
        <f t="shared" si="25"/>
        <v>0</v>
      </c>
      <c r="U100" s="112">
        <f t="shared" si="25"/>
        <v>0</v>
      </c>
      <c r="V100" s="112">
        <f t="shared" si="25"/>
        <v>0</v>
      </c>
      <c r="W100" s="112">
        <f t="shared" si="25"/>
        <v>0</v>
      </c>
    </row>
    <row r="101" spans="2:26" ht="15" customHeight="1" outlineLevel="3" x14ac:dyDescent="0.2">
      <c r="B101" s="132" t="s">
        <v>188</v>
      </c>
      <c r="C101" s="112">
        <f t="shared" ref="C101:W101" si="26">C63*(1-$D$31)</f>
        <v>0</v>
      </c>
      <c r="D101" s="112">
        <f t="shared" si="26"/>
        <v>0</v>
      </c>
      <c r="E101" s="112">
        <f t="shared" si="26"/>
        <v>0</v>
      </c>
      <c r="F101" s="112">
        <f t="shared" si="26"/>
        <v>0</v>
      </c>
      <c r="G101" s="112">
        <f t="shared" si="26"/>
        <v>0</v>
      </c>
      <c r="H101" s="112">
        <f t="shared" si="26"/>
        <v>0</v>
      </c>
      <c r="I101" s="112">
        <f t="shared" si="26"/>
        <v>0</v>
      </c>
      <c r="J101" s="112">
        <f t="shared" si="26"/>
        <v>0</v>
      </c>
      <c r="K101" s="112">
        <f t="shared" si="26"/>
        <v>0</v>
      </c>
      <c r="L101" s="112">
        <f t="shared" si="26"/>
        <v>0</v>
      </c>
      <c r="M101" s="112">
        <f t="shared" si="26"/>
        <v>0</v>
      </c>
      <c r="N101" s="112">
        <f t="shared" si="26"/>
        <v>0</v>
      </c>
      <c r="O101" s="112">
        <f t="shared" si="26"/>
        <v>0</v>
      </c>
      <c r="P101" s="112">
        <f t="shared" si="26"/>
        <v>0</v>
      </c>
      <c r="Q101" s="112">
        <f t="shared" si="26"/>
        <v>0</v>
      </c>
      <c r="R101" s="112">
        <f t="shared" si="26"/>
        <v>0</v>
      </c>
      <c r="S101" s="112">
        <f t="shared" si="26"/>
        <v>0</v>
      </c>
      <c r="T101" s="112">
        <f t="shared" si="26"/>
        <v>0</v>
      </c>
      <c r="U101" s="112">
        <f t="shared" si="26"/>
        <v>0</v>
      </c>
      <c r="V101" s="112">
        <f t="shared" si="26"/>
        <v>0</v>
      </c>
      <c r="W101" s="112">
        <f t="shared" si="26"/>
        <v>0</v>
      </c>
    </row>
    <row r="102" spans="2:26" ht="15" customHeight="1" outlineLevel="3" x14ac:dyDescent="0.2">
      <c r="B102" s="132" t="s">
        <v>205</v>
      </c>
      <c r="C102" s="112">
        <f t="shared" ref="C102:W102" si="27">C64*(1-$D$32)</f>
        <v>0</v>
      </c>
      <c r="D102" s="112">
        <f t="shared" si="27"/>
        <v>0</v>
      </c>
      <c r="E102" s="112">
        <f t="shared" si="27"/>
        <v>0</v>
      </c>
      <c r="F102" s="112">
        <f t="shared" si="27"/>
        <v>0</v>
      </c>
      <c r="G102" s="112">
        <f t="shared" si="27"/>
        <v>0</v>
      </c>
      <c r="H102" s="112">
        <f t="shared" si="27"/>
        <v>0</v>
      </c>
      <c r="I102" s="112">
        <f t="shared" si="27"/>
        <v>0</v>
      </c>
      <c r="J102" s="112">
        <f t="shared" si="27"/>
        <v>0</v>
      </c>
      <c r="K102" s="112">
        <f t="shared" si="27"/>
        <v>0</v>
      </c>
      <c r="L102" s="112">
        <f t="shared" si="27"/>
        <v>0</v>
      </c>
      <c r="M102" s="112">
        <f t="shared" si="27"/>
        <v>0</v>
      </c>
      <c r="N102" s="112">
        <f t="shared" si="27"/>
        <v>0</v>
      </c>
      <c r="O102" s="112">
        <f t="shared" si="27"/>
        <v>0</v>
      </c>
      <c r="P102" s="112">
        <f t="shared" si="27"/>
        <v>0</v>
      </c>
      <c r="Q102" s="112">
        <f t="shared" si="27"/>
        <v>0</v>
      </c>
      <c r="R102" s="112">
        <f t="shared" si="27"/>
        <v>0</v>
      </c>
      <c r="S102" s="112">
        <f t="shared" si="27"/>
        <v>0</v>
      </c>
      <c r="T102" s="112">
        <f t="shared" si="27"/>
        <v>0</v>
      </c>
      <c r="U102" s="112">
        <f t="shared" si="27"/>
        <v>0</v>
      </c>
      <c r="V102" s="112">
        <f t="shared" si="27"/>
        <v>0</v>
      </c>
      <c r="W102" s="112">
        <f t="shared" si="27"/>
        <v>0</v>
      </c>
    </row>
    <row r="103" spans="2:26" ht="15" customHeight="1" outlineLevel="3" x14ac:dyDescent="0.2">
      <c r="B103" s="132" t="s">
        <v>210</v>
      </c>
      <c r="C103" s="112">
        <f t="shared" ref="C103:W103" si="28">C65*(1-$D$33)</f>
        <v>0</v>
      </c>
      <c r="D103" s="112">
        <f t="shared" si="28"/>
        <v>0</v>
      </c>
      <c r="E103" s="112">
        <f t="shared" si="28"/>
        <v>0</v>
      </c>
      <c r="F103" s="112">
        <f t="shared" si="28"/>
        <v>0</v>
      </c>
      <c r="G103" s="112">
        <f t="shared" si="28"/>
        <v>0</v>
      </c>
      <c r="H103" s="112">
        <f t="shared" si="28"/>
        <v>0</v>
      </c>
      <c r="I103" s="112">
        <f t="shared" si="28"/>
        <v>0</v>
      </c>
      <c r="J103" s="112">
        <f t="shared" si="28"/>
        <v>0</v>
      </c>
      <c r="K103" s="112">
        <f t="shared" si="28"/>
        <v>0</v>
      </c>
      <c r="L103" s="112">
        <f t="shared" si="28"/>
        <v>0</v>
      </c>
      <c r="M103" s="112">
        <f t="shared" si="28"/>
        <v>0</v>
      </c>
      <c r="N103" s="112">
        <f t="shared" si="28"/>
        <v>0</v>
      </c>
      <c r="O103" s="112">
        <f t="shared" si="28"/>
        <v>0</v>
      </c>
      <c r="P103" s="112">
        <f t="shared" si="28"/>
        <v>0</v>
      </c>
      <c r="Q103" s="112">
        <f t="shared" si="28"/>
        <v>0</v>
      </c>
      <c r="R103" s="112">
        <f t="shared" si="28"/>
        <v>0</v>
      </c>
      <c r="S103" s="112">
        <f t="shared" si="28"/>
        <v>0</v>
      </c>
      <c r="T103" s="112">
        <f t="shared" si="28"/>
        <v>0</v>
      </c>
      <c r="U103" s="112">
        <f t="shared" si="28"/>
        <v>0</v>
      </c>
      <c r="V103" s="112">
        <f t="shared" si="28"/>
        <v>0</v>
      </c>
      <c r="W103" s="112">
        <f t="shared" si="28"/>
        <v>0</v>
      </c>
    </row>
    <row r="104" spans="2:26" ht="15" customHeight="1" outlineLevel="3" x14ac:dyDescent="0.2">
      <c r="B104" s="132" t="s">
        <v>215</v>
      </c>
      <c r="C104" s="112">
        <f t="shared" ref="C104:W104" si="29">C66*(1-$D$34)</f>
        <v>0</v>
      </c>
      <c r="D104" s="112">
        <f t="shared" si="29"/>
        <v>0</v>
      </c>
      <c r="E104" s="112">
        <f t="shared" si="29"/>
        <v>0</v>
      </c>
      <c r="F104" s="112">
        <f t="shared" si="29"/>
        <v>0</v>
      </c>
      <c r="G104" s="112">
        <f t="shared" si="29"/>
        <v>0</v>
      </c>
      <c r="H104" s="112">
        <f t="shared" si="29"/>
        <v>0</v>
      </c>
      <c r="I104" s="112">
        <f t="shared" si="29"/>
        <v>0</v>
      </c>
      <c r="J104" s="112">
        <f t="shared" si="29"/>
        <v>0</v>
      </c>
      <c r="K104" s="112">
        <f t="shared" si="29"/>
        <v>0</v>
      </c>
      <c r="L104" s="112">
        <f t="shared" si="29"/>
        <v>0</v>
      </c>
      <c r="M104" s="112">
        <f t="shared" si="29"/>
        <v>0</v>
      </c>
      <c r="N104" s="112">
        <f t="shared" si="29"/>
        <v>0</v>
      </c>
      <c r="O104" s="112">
        <f t="shared" si="29"/>
        <v>0</v>
      </c>
      <c r="P104" s="112">
        <f t="shared" si="29"/>
        <v>0</v>
      </c>
      <c r="Q104" s="112">
        <f t="shared" si="29"/>
        <v>0</v>
      </c>
      <c r="R104" s="112">
        <f t="shared" si="29"/>
        <v>0</v>
      </c>
      <c r="S104" s="112">
        <f t="shared" si="29"/>
        <v>0</v>
      </c>
      <c r="T104" s="112">
        <f t="shared" si="29"/>
        <v>0</v>
      </c>
      <c r="U104" s="112">
        <f t="shared" si="29"/>
        <v>0</v>
      </c>
      <c r="V104" s="112">
        <f t="shared" si="29"/>
        <v>0</v>
      </c>
      <c r="W104" s="112">
        <f t="shared" si="29"/>
        <v>0</v>
      </c>
    </row>
    <row r="105" spans="2:26" ht="15" customHeight="1" outlineLevel="3" x14ac:dyDescent="0.2">
      <c r="B105" s="132" t="s">
        <v>220</v>
      </c>
      <c r="C105" s="112">
        <f t="shared" ref="C105:W105" si="30">C67*(1-$D$35)</f>
        <v>0</v>
      </c>
      <c r="D105" s="112">
        <f t="shared" si="30"/>
        <v>0</v>
      </c>
      <c r="E105" s="112">
        <f t="shared" si="30"/>
        <v>0</v>
      </c>
      <c r="F105" s="112">
        <f t="shared" si="30"/>
        <v>0</v>
      </c>
      <c r="G105" s="112">
        <f t="shared" si="30"/>
        <v>0</v>
      </c>
      <c r="H105" s="112">
        <f t="shared" si="30"/>
        <v>0</v>
      </c>
      <c r="I105" s="112">
        <f t="shared" si="30"/>
        <v>0</v>
      </c>
      <c r="J105" s="112">
        <f t="shared" si="30"/>
        <v>0</v>
      </c>
      <c r="K105" s="112">
        <f t="shared" si="30"/>
        <v>0</v>
      </c>
      <c r="L105" s="112">
        <f t="shared" si="30"/>
        <v>0</v>
      </c>
      <c r="M105" s="112">
        <f t="shared" si="30"/>
        <v>0</v>
      </c>
      <c r="N105" s="112">
        <f t="shared" si="30"/>
        <v>0</v>
      </c>
      <c r="O105" s="112">
        <f t="shared" si="30"/>
        <v>0</v>
      </c>
      <c r="P105" s="112">
        <f t="shared" si="30"/>
        <v>0</v>
      </c>
      <c r="Q105" s="112">
        <f t="shared" si="30"/>
        <v>0</v>
      </c>
      <c r="R105" s="112">
        <f t="shared" si="30"/>
        <v>0</v>
      </c>
      <c r="S105" s="112">
        <f t="shared" si="30"/>
        <v>0</v>
      </c>
      <c r="T105" s="112">
        <f t="shared" si="30"/>
        <v>0</v>
      </c>
      <c r="U105" s="112">
        <f t="shared" si="30"/>
        <v>0</v>
      </c>
      <c r="V105" s="112">
        <f t="shared" si="30"/>
        <v>0</v>
      </c>
      <c r="W105" s="112">
        <f t="shared" si="30"/>
        <v>0</v>
      </c>
    </row>
    <row r="106" spans="2:26" ht="15" customHeight="1" outlineLevel="3" x14ac:dyDescent="0.2">
      <c r="B106" s="132" t="s">
        <v>229</v>
      </c>
      <c r="C106" s="112">
        <f t="shared" ref="C106:W106" si="31">C68*(1-$D$36)</f>
        <v>0</v>
      </c>
      <c r="D106" s="112">
        <f t="shared" si="31"/>
        <v>0</v>
      </c>
      <c r="E106" s="112">
        <f t="shared" si="31"/>
        <v>0</v>
      </c>
      <c r="F106" s="112">
        <f t="shared" si="31"/>
        <v>0</v>
      </c>
      <c r="G106" s="112">
        <f t="shared" si="31"/>
        <v>0</v>
      </c>
      <c r="H106" s="112">
        <f t="shared" si="31"/>
        <v>0</v>
      </c>
      <c r="I106" s="112">
        <f t="shared" si="31"/>
        <v>0</v>
      </c>
      <c r="J106" s="112">
        <f t="shared" si="31"/>
        <v>0</v>
      </c>
      <c r="K106" s="112">
        <f t="shared" si="31"/>
        <v>0</v>
      </c>
      <c r="L106" s="112">
        <f t="shared" si="31"/>
        <v>0</v>
      </c>
      <c r="M106" s="112">
        <f t="shared" si="31"/>
        <v>0</v>
      </c>
      <c r="N106" s="112">
        <f t="shared" si="31"/>
        <v>0</v>
      </c>
      <c r="O106" s="112">
        <f t="shared" si="31"/>
        <v>0</v>
      </c>
      <c r="P106" s="112">
        <f t="shared" si="31"/>
        <v>0</v>
      </c>
      <c r="Q106" s="112">
        <f t="shared" si="31"/>
        <v>0</v>
      </c>
      <c r="R106" s="112">
        <f t="shared" si="31"/>
        <v>0</v>
      </c>
      <c r="S106" s="112">
        <f t="shared" si="31"/>
        <v>0</v>
      </c>
      <c r="T106" s="112">
        <f t="shared" si="31"/>
        <v>0</v>
      </c>
      <c r="U106" s="112">
        <f t="shared" si="31"/>
        <v>0</v>
      </c>
      <c r="V106" s="112">
        <f t="shared" si="31"/>
        <v>0</v>
      </c>
      <c r="W106" s="112">
        <f t="shared" si="31"/>
        <v>0</v>
      </c>
    </row>
    <row r="107" spans="2:26" ht="15" customHeight="1" outlineLevel="3" x14ac:dyDescent="0.2">
      <c r="B107" s="132" t="s">
        <v>1202</v>
      </c>
      <c r="C107" s="112">
        <f>C69*(1-SUP_CONTROL!$C$38)</f>
        <v>0</v>
      </c>
      <c r="D107" s="112">
        <f>D69*(1-SUP_CONTROL!$C$38)</f>
        <v>0</v>
      </c>
      <c r="E107" s="112">
        <f>E69*(1-SUP_CONTROL!$C$38)</f>
        <v>0</v>
      </c>
      <c r="F107" s="112">
        <f>F69*(1-SUP_CONTROL!$C$38)</f>
        <v>0</v>
      </c>
      <c r="G107" s="112">
        <f>G69*(1-SUP_CONTROL!$C$38)</f>
        <v>0</v>
      </c>
      <c r="H107" s="112">
        <f>H69*(1-SUP_CONTROL!$C$38)</f>
        <v>0</v>
      </c>
      <c r="I107" s="112">
        <f>I69*(1-SUP_CONTROL!$C$38)</f>
        <v>0</v>
      </c>
      <c r="J107" s="112">
        <f>J69*(1-SUP_CONTROL!$C$38)</f>
        <v>0</v>
      </c>
      <c r="K107" s="112">
        <f>K69*(1-SUP_CONTROL!$C$38)</f>
        <v>0</v>
      </c>
      <c r="L107" s="112">
        <f>L69*(1-SUP_CONTROL!$C$38)</f>
        <v>0</v>
      </c>
      <c r="M107" s="112">
        <f>M69*(1-SUP_CONTROL!$C$38)</f>
        <v>0</v>
      </c>
      <c r="N107" s="112">
        <f>N69*(1-SUP_CONTROL!$C$38)</f>
        <v>0</v>
      </c>
      <c r="O107" s="112">
        <f>O69*(1-SUP_CONTROL!$C$38)</f>
        <v>0</v>
      </c>
      <c r="P107" s="112">
        <f>P69*(1-SUP_CONTROL!$C$38)</f>
        <v>0</v>
      </c>
      <c r="Q107" s="112">
        <f>Q69*(1-SUP_CONTROL!$C$38)</f>
        <v>0</v>
      </c>
      <c r="R107" s="112">
        <f>R69*(1-SUP_CONTROL!$C$38)</f>
        <v>0</v>
      </c>
      <c r="S107" s="112">
        <f>S69*(1-SUP_CONTROL!$C$38)</f>
        <v>0</v>
      </c>
      <c r="T107" s="112">
        <f>T69*(1-SUP_CONTROL!$C$38)</f>
        <v>0</v>
      </c>
      <c r="U107" s="112">
        <f>U69*(1-SUP_CONTROL!$C$38)</f>
        <v>0</v>
      </c>
      <c r="V107" s="112">
        <f>V69*(1-SUP_CONTROL!$C$38)</f>
        <v>0</v>
      </c>
      <c r="W107" s="112">
        <f>W69*(1-SUP_CONTROL!$C$38)</f>
        <v>0</v>
      </c>
    </row>
    <row r="108" spans="2:26" ht="15" customHeight="1" outlineLevel="2" x14ac:dyDescent="0.2">
      <c r="B108" s="133" t="s">
        <v>1203</v>
      </c>
      <c r="C108" s="134">
        <f t="shared" ref="C108:W108" si="32">C100+C101+C102+C103+C104+C105+C106+C107</f>
        <v>0</v>
      </c>
      <c r="D108" s="134">
        <f t="shared" si="32"/>
        <v>0</v>
      </c>
      <c r="E108" s="134">
        <f t="shared" si="32"/>
        <v>0</v>
      </c>
      <c r="F108" s="134">
        <f t="shared" si="32"/>
        <v>0</v>
      </c>
      <c r="G108" s="134">
        <f t="shared" si="32"/>
        <v>0</v>
      </c>
      <c r="H108" s="134">
        <f t="shared" si="32"/>
        <v>0</v>
      </c>
      <c r="I108" s="134">
        <f t="shared" si="32"/>
        <v>0</v>
      </c>
      <c r="J108" s="134">
        <f t="shared" si="32"/>
        <v>0</v>
      </c>
      <c r="K108" s="134">
        <f t="shared" si="32"/>
        <v>0</v>
      </c>
      <c r="L108" s="134">
        <f t="shared" si="32"/>
        <v>0</v>
      </c>
      <c r="M108" s="134">
        <f t="shared" si="32"/>
        <v>0</v>
      </c>
      <c r="N108" s="134">
        <f t="shared" si="32"/>
        <v>0</v>
      </c>
      <c r="O108" s="134">
        <f t="shared" si="32"/>
        <v>0</v>
      </c>
      <c r="P108" s="134">
        <f t="shared" si="32"/>
        <v>0</v>
      </c>
      <c r="Q108" s="134">
        <f t="shared" si="32"/>
        <v>0</v>
      </c>
      <c r="R108" s="134">
        <f t="shared" si="32"/>
        <v>0</v>
      </c>
      <c r="S108" s="134">
        <f t="shared" si="32"/>
        <v>0</v>
      </c>
      <c r="T108" s="134">
        <f t="shared" si="32"/>
        <v>0</v>
      </c>
      <c r="U108" s="134">
        <f t="shared" si="32"/>
        <v>0</v>
      </c>
      <c r="V108" s="134">
        <f t="shared" si="32"/>
        <v>0</v>
      </c>
      <c r="W108" s="134">
        <f t="shared" si="32"/>
        <v>0</v>
      </c>
      <c r="X108" s="41"/>
      <c r="Y108" s="41"/>
      <c r="Z108" s="41"/>
    </row>
    <row r="109" spans="2:26" ht="15" customHeight="1" outlineLevel="1" x14ac:dyDescent="0.2">
      <c r="B109" s="135" t="s">
        <v>1204</v>
      </c>
      <c r="C109" s="134">
        <f t="shared" ref="C109:W109" si="33">C108</f>
        <v>0</v>
      </c>
      <c r="D109" s="134">
        <f t="shared" si="33"/>
        <v>0</v>
      </c>
      <c r="E109" s="134">
        <f t="shared" si="33"/>
        <v>0</v>
      </c>
      <c r="F109" s="134">
        <f t="shared" si="33"/>
        <v>0</v>
      </c>
      <c r="G109" s="134">
        <f t="shared" si="33"/>
        <v>0</v>
      </c>
      <c r="H109" s="134">
        <f t="shared" si="33"/>
        <v>0</v>
      </c>
      <c r="I109" s="134">
        <f t="shared" si="33"/>
        <v>0</v>
      </c>
      <c r="J109" s="134">
        <f t="shared" si="33"/>
        <v>0</v>
      </c>
      <c r="K109" s="134">
        <f t="shared" si="33"/>
        <v>0</v>
      </c>
      <c r="L109" s="134">
        <f t="shared" si="33"/>
        <v>0</v>
      </c>
      <c r="M109" s="134">
        <f t="shared" si="33"/>
        <v>0</v>
      </c>
      <c r="N109" s="134">
        <f t="shared" si="33"/>
        <v>0</v>
      </c>
      <c r="O109" s="134">
        <f t="shared" si="33"/>
        <v>0</v>
      </c>
      <c r="P109" s="134">
        <f t="shared" si="33"/>
        <v>0</v>
      </c>
      <c r="Q109" s="134">
        <f t="shared" si="33"/>
        <v>0</v>
      </c>
      <c r="R109" s="134">
        <f t="shared" si="33"/>
        <v>0</v>
      </c>
      <c r="S109" s="134">
        <f t="shared" si="33"/>
        <v>0</v>
      </c>
      <c r="T109" s="134">
        <f t="shared" si="33"/>
        <v>0</v>
      </c>
      <c r="U109" s="134">
        <f t="shared" si="33"/>
        <v>0</v>
      </c>
      <c r="V109" s="134">
        <f t="shared" si="33"/>
        <v>0</v>
      </c>
      <c r="W109" s="134">
        <f t="shared" si="33"/>
        <v>0</v>
      </c>
      <c r="X109" s="41"/>
      <c r="Y109" s="41"/>
      <c r="Z109" s="41"/>
    </row>
    <row r="110" spans="2:26" ht="15" customHeight="1" outlineLevel="1" x14ac:dyDescent="0.2">
      <c r="B110" s="109" t="s">
        <v>1209</v>
      </c>
      <c r="C110" s="112">
        <f>(CAPA3_EXPANSION!D39-CAPA3_EXPANSION!D40)*SUP_CONTROL!$C$13</f>
        <v>0</v>
      </c>
      <c r="D110" s="112">
        <f>(CAPA3_EXPANSION!E39-CAPA3_EXPANSION!E40)*SUP_CONTROL!$C$13</f>
        <v>0</v>
      </c>
      <c r="E110" s="112">
        <f>(CAPA3_EXPANSION!F39-CAPA3_EXPANSION!F40)*SUP_CONTROL!$C$13</f>
        <v>0</v>
      </c>
      <c r="F110" s="112">
        <f>(CAPA3_EXPANSION!G39-CAPA3_EXPANSION!G40)*SUP_CONTROL!$C$13</f>
        <v>0</v>
      </c>
      <c r="G110" s="112">
        <f>(CAPA3_EXPANSION!H39-CAPA3_EXPANSION!H40)*SUP_CONTROL!$C$13</f>
        <v>0</v>
      </c>
      <c r="H110" s="112">
        <f>(CAPA3_EXPANSION!I39-CAPA3_EXPANSION!I40)*SUP_CONTROL!$C$13</f>
        <v>0</v>
      </c>
      <c r="I110" s="112">
        <f>(CAPA3_EXPANSION!J39-CAPA3_EXPANSION!J40)*SUP_CONTROL!$C$13</f>
        <v>0</v>
      </c>
      <c r="J110" s="112">
        <f>(CAPA3_EXPANSION!K39-CAPA3_EXPANSION!K40)*SUP_CONTROL!$C$13</f>
        <v>0</v>
      </c>
      <c r="K110" s="112">
        <f>(CAPA3_EXPANSION!L39-CAPA3_EXPANSION!L40)*SUP_CONTROL!$C$13</f>
        <v>0</v>
      </c>
      <c r="L110" s="112">
        <f>(CAPA3_EXPANSION!M39-CAPA3_EXPANSION!M40)*SUP_CONTROL!$C$13</f>
        <v>0</v>
      </c>
      <c r="M110" s="112">
        <f>(CAPA3_EXPANSION!N39-CAPA3_EXPANSION!N40)*SUP_CONTROL!$C$13</f>
        <v>0</v>
      </c>
      <c r="N110" s="112">
        <f>(CAPA3_EXPANSION!O39-CAPA3_EXPANSION!O40)*SUP_CONTROL!$C$13</f>
        <v>0</v>
      </c>
      <c r="O110" s="112">
        <f>(SUM(CAPA3_EXPANSION!P39:AA39)-SUM(CAPA3_EXPANSION!P40:AA40))*SUP_CONTROL!$C$13</f>
        <v>396801.6784071172</v>
      </c>
      <c r="P110" s="112">
        <f>(SUM(CAPA3_EXPANSION!AB39:AM39)-SUM(CAPA3_EXPANSION!AB40:AM40))*SUP_CONTROL!$C$13</f>
        <v>1359898.1157861159</v>
      </c>
      <c r="Q110" s="112">
        <f>(SUM(CAPA3_EXPANSION!AN39:AY39)-SUM(CAPA3_EXPANSION!AN40:AY40))*SUP_CONTROL!$C$13</f>
        <v>3367430.6800524294</v>
      </c>
      <c r="R110" s="112">
        <f>(SUM(CAPA3_EXPANSION!AZ39:BK39)-SUM(CAPA3_EXPANSION!AZ40:BK40))*SUP_CONTROL!$C$13</f>
        <v>4636102.8099673353</v>
      </c>
      <c r="S110" s="112">
        <f>(SUM(CAPA3_EXPANSION!BL39:BW39)-SUM(CAPA3_EXPANSION!BL40:BW40))*SUP_CONTROL!$C$13</f>
        <v>7510106.5301760156</v>
      </c>
      <c r="T110" s="112">
        <f>(SUM(CAPA3_EXPANSION!BX39:CI39)-SUM(CAPA3_EXPANSION!BX40:CI40))*SUP_CONTROL!$C$13</f>
        <v>10162607.640737096</v>
      </c>
      <c r="U110" s="112">
        <f>(SUM(CAPA3_EXPANSION!CJ39:CU39)-SUM(CAPA3_EXPANSION!CJ40:CU40))*SUP_CONTROL!$C$13</f>
        <v>10486176.718473028</v>
      </c>
      <c r="V110" s="112">
        <f>(SUM(CAPA3_EXPANSION!CV39:DG39)-SUM(CAPA3_EXPANSION!CV40:DG40))*SUP_CONTROL!$C$13</f>
        <v>10486176.718473028</v>
      </c>
      <c r="W110" s="112">
        <f>(SUM(CAPA3_EXPANSION!DH39:DS39)-SUM(CAPA3_EXPANSION!DH40:DS40))*SUP_CONTROL!$C$13</f>
        <v>10486176.718473028</v>
      </c>
    </row>
    <row r="111" spans="2:26" ht="15" customHeight="1" outlineLevel="1" x14ac:dyDescent="0.2">
      <c r="B111" s="109" t="s">
        <v>1210</v>
      </c>
      <c r="C111" s="112">
        <f>CAPA4_RETAIL!D9*SUP_CONTROL!$C$14</f>
        <v>0</v>
      </c>
      <c r="D111" s="112">
        <f>CAPA4_RETAIL!E9*SUP_CONTROL!$C$14</f>
        <v>0</v>
      </c>
      <c r="E111" s="112">
        <f>CAPA4_RETAIL!F9*SUP_CONTROL!$C$14</f>
        <v>0</v>
      </c>
      <c r="F111" s="112">
        <f>CAPA4_RETAIL!G9*SUP_CONTROL!$C$14</f>
        <v>0</v>
      </c>
      <c r="G111" s="112">
        <f>CAPA4_RETAIL!H9*SUP_CONTROL!$C$14</f>
        <v>0</v>
      </c>
      <c r="H111" s="112">
        <f>CAPA4_RETAIL!I9*SUP_CONTROL!$C$14</f>
        <v>0</v>
      </c>
      <c r="I111" s="112">
        <f>CAPA4_RETAIL!J9*SUP_CONTROL!$C$14</f>
        <v>0</v>
      </c>
      <c r="J111" s="112">
        <f>CAPA4_RETAIL!K9*SUP_CONTROL!$C$14</f>
        <v>0</v>
      </c>
      <c r="K111" s="112">
        <f>CAPA4_RETAIL!L9*SUP_CONTROL!$C$14</f>
        <v>0</v>
      </c>
      <c r="L111" s="112">
        <f>CAPA4_RETAIL!M9*SUP_CONTROL!$C$14</f>
        <v>0</v>
      </c>
      <c r="M111" s="112">
        <f>CAPA4_RETAIL!N9*SUP_CONTROL!$C$14</f>
        <v>0</v>
      </c>
      <c r="N111" s="112">
        <f>CAPA4_RETAIL!O9*SUP_CONTROL!$C$14</f>
        <v>0</v>
      </c>
      <c r="O111" s="112">
        <f>SUM(CAPA4_RETAIL!P9:AA9)*SUP_CONTROL!$C$14</f>
        <v>0</v>
      </c>
      <c r="P111" s="112">
        <f>SUM(CAPA4_RETAIL!AB9:AM9)*SUP_CONTROL!$C$14</f>
        <v>0</v>
      </c>
      <c r="Q111" s="112">
        <f>SUM(CAPA4_RETAIL!AN9:AY9)*SUP_CONTROL!$C$14</f>
        <v>0</v>
      </c>
      <c r="R111" s="112">
        <f>SUM(CAPA4_RETAIL!AZ9:BK9)*SUP_CONTROL!$C$14</f>
        <v>0</v>
      </c>
      <c r="S111" s="112">
        <f>SUM(CAPA4_RETAIL!BL9:BW9)*SUP_CONTROL!$C$14</f>
        <v>0</v>
      </c>
      <c r="T111" s="112">
        <f>SUM(CAPA4_RETAIL!BX9:CI9)*SUP_CONTROL!$C$14</f>
        <v>0</v>
      </c>
      <c r="U111" s="112">
        <f>SUM(CAPA4_RETAIL!CJ9:CU9)*SUP_CONTROL!$C$14</f>
        <v>0</v>
      </c>
      <c r="V111" s="112">
        <f>SUM(CAPA4_RETAIL!CV9:DG9)*SUP_CONTROL!$C$14</f>
        <v>0</v>
      </c>
      <c r="W111" s="112">
        <f>SUM(CAPA4_RETAIL!DH9:DS9)*SUP_CONTROL!$C$14</f>
        <v>0</v>
      </c>
    </row>
    <row r="113" spans="2:26" x14ac:dyDescent="0.2">
      <c r="B113" s="285" t="s">
        <v>1937</v>
      </c>
      <c r="C113" s="286">
        <f>CAPA1_PILOTO!D22*SUP_CONTROL!$C$11+CAPA2_FLAGSHIP!D17*SUP_CONTROL!$C$12+CAPA3_EXPANSION!D45*SUP_CONTROL!$C$13</f>
        <v>0</v>
      </c>
      <c r="D113" s="286">
        <f>CAPA1_PILOTO!E22*SUP_CONTROL!$C$11+CAPA2_FLAGSHIP!E17*SUP_CONTROL!$C$12+CAPA3_EXPANSION!E45*SUP_CONTROL!$C$13</f>
        <v>0</v>
      </c>
      <c r="E113" s="286">
        <f>CAPA1_PILOTO!F22*SUP_CONTROL!$C$11+CAPA2_FLAGSHIP!F17*SUP_CONTROL!$C$12+CAPA3_EXPANSION!F45*SUP_CONTROL!$C$13</f>
        <v>0</v>
      </c>
      <c r="F113" s="286">
        <f>CAPA1_PILOTO!G22*SUP_CONTROL!$C$11+CAPA2_FLAGSHIP!G17*SUP_CONTROL!$C$12+CAPA3_EXPANSION!G45*SUP_CONTROL!$C$13</f>
        <v>11133.636375</v>
      </c>
      <c r="G113" s="286">
        <f>CAPA1_PILOTO!H22*SUP_CONTROL!$C$11+CAPA2_FLAGSHIP!H17*SUP_CONTROL!$C$12+CAPA3_EXPANSION!H45*SUP_CONTROL!$C$13</f>
        <v>11362.592375</v>
      </c>
      <c r="H113" s="286">
        <f>CAPA1_PILOTO!I22*SUP_CONTROL!$C$11+CAPA2_FLAGSHIP!I17*SUP_CONTROL!$C$12+CAPA3_EXPANSION!I45*SUP_CONTROL!$C$13</f>
        <v>11631.952375000001</v>
      </c>
      <c r="I113" s="286">
        <f>CAPA1_PILOTO!J22*SUP_CONTROL!$C$11+CAPA2_FLAGSHIP!J17*SUP_CONTROL!$C$12+CAPA3_EXPANSION!J45*SUP_CONTROL!$C$13</f>
        <v>11929.595175</v>
      </c>
      <c r="J113" s="286">
        <f>CAPA1_PILOTO!K22*SUP_CONTROL!$C$11+CAPA2_FLAGSHIP!K17*SUP_CONTROL!$C$12+CAPA3_EXPANSION!K45*SUP_CONTROL!$C$13</f>
        <v>12261.581375</v>
      </c>
      <c r="K113" s="286">
        <f>CAPA1_PILOTO!L22*SUP_CONTROL!$C$11+CAPA2_FLAGSHIP!L17*SUP_CONTROL!$C$12+CAPA3_EXPANSION!L45*SUP_CONTROL!$C$13</f>
        <v>12360.571174999999</v>
      </c>
      <c r="L113" s="286">
        <f>CAPA1_PILOTO!M22*SUP_CONTROL!$C$11+CAPA2_FLAGSHIP!M17*SUP_CONTROL!$C$12+CAPA3_EXPANSION!M45*SUP_CONTROL!$C$13</f>
        <v>12413.096375000001</v>
      </c>
      <c r="M113" s="286">
        <f>CAPA1_PILOTO!N22*SUP_CONTROL!$C$11+CAPA2_FLAGSHIP!N17*SUP_CONTROL!$C$12+CAPA3_EXPANSION!N45*SUP_CONTROL!$C$13</f>
        <v>12413.096375000001</v>
      </c>
      <c r="N113" s="286">
        <f>CAPA1_PILOTO!O22*SUP_CONTROL!$C$11+CAPA2_FLAGSHIP!O17*SUP_CONTROL!$C$12+CAPA3_EXPANSION!O45*SUP_CONTROL!$C$13</f>
        <v>12413.096375000001</v>
      </c>
      <c r="O113" s="286">
        <f>SUM(CAPA1_PILOTO!P22:AA22)*SUP_CONTROL!$C$11+SUM(CAPA2_FLAGSHIP!P17:AA17)*SUP_CONTROL!$C$12+SUM(CAPA3_EXPANSION!P45:AA45)*SUP_CONTROL!$C$13</f>
        <v>155263.45050000001</v>
      </c>
      <c r="P113" s="286">
        <f>SUM(CAPA1_PILOTO!AB22:AM22)*SUP_CONTROL!$C$11+SUM(CAPA2_FLAGSHIP!AB17:AM17)*SUP_CONTROL!$C$12+SUM(CAPA3_EXPANSION!AB45:AM45)*SUP_CONTROL!$C$13</f>
        <v>204946.89610500002</v>
      </c>
      <c r="Q113" s="286">
        <f>SUM(CAPA1_PILOTO!AN22:AY22)*SUP_CONTROL!$C$11+SUM(CAPA2_FLAGSHIP!AN17:AY17)*SUP_CONTROL!$C$12+SUM(CAPA3_EXPANSION!AN45:AY45)*SUP_CONTROL!$C$13</f>
        <v>238269.50064899999</v>
      </c>
      <c r="R113" s="286">
        <f>SUM(CAPA1_PILOTO!AZ22:BK22)*SUP_CONTROL!$C$11+SUM(CAPA2_FLAGSHIP!AZ17:BK17)*SUP_CONTROL!$C$12+SUM(CAPA3_EXPANSION!AZ45:BK45)*SUP_CONTROL!$C$13</f>
        <v>310726.31485600001</v>
      </c>
      <c r="S113" s="286">
        <f>SUM(CAPA1_PILOTO!BL22:BW22)*SUP_CONTROL!$C$11+SUM(CAPA2_FLAGSHIP!BL17:BW17)*SUP_CONTROL!$C$12+SUM(CAPA3_EXPANSION!BL45:BW45)*SUP_CONTROL!$C$13</f>
        <v>327358.19384699996</v>
      </c>
      <c r="T113" s="286">
        <f>SUM(CAPA1_PILOTO!BX22:CI22)*SUP_CONTROL!$C$11+SUM(CAPA2_FLAGSHIP!BX17:CI17)*SUP_CONTROL!$C$12+SUM(CAPA3_EXPANSION!BX45:CI45)*SUP_CONTROL!$C$13</f>
        <v>375588.235736</v>
      </c>
      <c r="U113" s="286">
        <f>SUM(CAPA1_PILOTO!CJ22:CU22)*SUP_CONTROL!$C$11+SUM(CAPA2_FLAGSHIP!CJ17:CU17)*SUP_CONTROL!$C$12+SUM(CAPA3_EXPANSION!CJ45:CU45)*SUP_CONTROL!$C$13</f>
        <v>393900.73218000005</v>
      </c>
      <c r="V113" s="286">
        <f>SUM(CAPA1_PILOTO!CV22:DG22)*SUP_CONTROL!$C$11+SUM(CAPA2_FLAGSHIP!CV17:DG17)*SUP_CONTROL!$C$12+SUM(CAPA3_EXPANSION!CV45:DG45)*SUP_CONTROL!$C$13</f>
        <v>393900.73218000005</v>
      </c>
      <c r="W113" s="286">
        <f>SUM(CAPA1_PILOTO!DH22:DS22)*SUP_CONTROL!$C$11+SUM(CAPA2_FLAGSHIP!DH17:DS17)*SUP_CONTROL!$C$12+SUM(CAPA3_EXPANSION!DH45:DS45)*SUP_CONTROL!$C$13</f>
        <v>393900.73218000005</v>
      </c>
    </row>
    <row r="114" spans="2:26" ht="15" customHeight="1" x14ac:dyDescent="0.2">
      <c r="B114" s="107" t="s">
        <v>1211</v>
      </c>
      <c r="C114" s="136">
        <f>C97+C109+C110+C111+C113</f>
        <v>0</v>
      </c>
      <c r="D114" s="136">
        <f t="shared" ref="D114:W114" si="34">D97+D109+D110+D111+D113</f>
        <v>0</v>
      </c>
      <c r="E114" s="136">
        <f t="shared" si="34"/>
        <v>0</v>
      </c>
      <c r="F114" s="136">
        <f t="shared" si="34"/>
        <v>43715.592373238309</v>
      </c>
      <c r="G114" s="136">
        <f t="shared" si="34"/>
        <v>83508.35208538486</v>
      </c>
      <c r="H114" s="136">
        <f t="shared" si="34"/>
        <v>130323.36351143962</v>
      </c>
      <c r="I114" s="136">
        <f t="shared" si="34"/>
        <v>182053.95113723012</v>
      </c>
      <c r="J114" s="136">
        <f t="shared" si="34"/>
        <v>239753.45271984255</v>
      </c>
      <c r="K114" s="136">
        <f t="shared" si="34"/>
        <v>256957.96941891772</v>
      </c>
      <c r="L114" s="136">
        <f t="shared" si="34"/>
        <v>266086.89664699842</v>
      </c>
      <c r="M114" s="136">
        <f t="shared" si="34"/>
        <v>266086.89664699842</v>
      </c>
      <c r="N114" s="136">
        <f t="shared" si="34"/>
        <v>266086.89664699842</v>
      </c>
      <c r="O114" s="136">
        <f t="shared" si="34"/>
        <v>3596150.7321710968</v>
      </c>
      <c r="P114" s="136">
        <f t="shared" si="34"/>
        <v>4608930.6151550952</v>
      </c>
      <c r="Q114" s="136">
        <f t="shared" si="34"/>
        <v>6649785.7839654088</v>
      </c>
      <c r="R114" s="136">
        <f t="shared" si="34"/>
        <v>7990914.7280873153</v>
      </c>
      <c r="S114" s="136">
        <f t="shared" si="34"/>
        <v>10881550.327286996</v>
      </c>
      <c r="T114" s="136">
        <f t="shared" si="34"/>
        <v>13582281.479737075</v>
      </c>
      <c r="U114" s="136">
        <f t="shared" si="34"/>
        <v>13924163.053917008</v>
      </c>
      <c r="V114" s="136">
        <f t="shared" si="34"/>
        <v>13924163.053917008</v>
      </c>
      <c r="W114" s="136">
        <f t="shared" si="34"/>
        <v>13924163.053917008</v>
      </c>
      <c r="X114" s="108"/>
      <c r="Y114" s="108"/>
      <c r="Z114" s="108"/>
    </row>
    <row r="116" spans="2:26" ht="15" customHeight="1" x14ac:dyDescent="0.2">
      <c r="B116" s="107" t="s">
        <v>1212</v>
      </c>
      <c r="C116" s="136">
        <f t="shared" ref="C116:W116" si="35">C75-C114</f>
        <v>0</v>
      </c>
      <c r="D116" s="136">
        <f t="shared" si="35"/>
        <v>0</v>
      </c>
      <c r="E116" s="136">
        <f t="shared" si="35"/>
        <v>0</v>
      </c>
      <c r="F116" s="136">
        <f t="shared" si="35"/>
        <v>17459.544504332909</v>
      </c>
      <c r="G116" s="136">
        <f t="shared" si="35"/>
        <v>51950.879572094273</v>
      </c>
      <c r="H116" s="136">
        <f t="shared" si="35"/>
        <v>92528.920828284114</v>
      </c>
      <c r="I116" s="136">
        <f t="shared" si="35"/>
        <v>137367.65641637394</v>
      </c>
      <c r="J116" s="136">
        <f t="shared" si="35"/>
        <v>187380.09226462792</v>
      </c>
      <c r="K116" s="136">
        <f t="shared" si="35"/>
        <v>202292.52242627769</v>
      </c>
      <c r="L116" s="136">
        <f t="shared" si="35"/>
        <v>210205.24047123466</v>
      </c>
      <c r="M116" s="136">
        <f t="shared" si="35"/>
        <v>210205.24047123466</v>
      </c>
      <c r="N116" s="136">
        <f t="shared" si="35"/>
        <v>210205.24047123466</v>
      </c>
      <c r="O116" s="136">
        <f t="shared" si="35"/>
        <v>2864380.687363836</v>
      </c>
      <c r="P116" s="136">
        <f t="shared" si="35"/>
        <v>3659888.6918887096</v>
      </c>
      <c r="Q116" s="136">
        <f t="shared" si="35"/>
        <v>5388330.8424846791</v>
      </c>
      <c r="R116" s="136">
        <f t="shared" si="35"/>
        <v>6429231.7312095333</v>
      </c>
      <c r="S116" s="136">
        <f t="shared" si="35"/>
        <v>8934759.9160356224</v>
      </c>
      <c r="T116" s="136">
        <f t="shared" si="35"/>
        <v>11214304.30368072</v>
      </c>
      <c r="U116" s="136">
        <f t="shared" si="35"/>
        <v>11479948.644179313</v>
      </c>
      <c r="V116" s="136">
        <f t="shared" si="35"/>
        <v>11479948.644179313</v>
      </c>
      <c r="W116" s="136">
        <f t="shared" si="35"/>
        <v>11479948.644179313</v>
      </c>
      <c r="X116" s="108"/>
      <c r="Y116" s="108"/>
      <c r="Z116" s="108"/>
    </row>
    <row r="117" spans="2:26" ht="15" customHeight="1" x14ac:dyDescent="0.2">
      <c r="B117" s="137" t="s">
        <v>1213</v>
      </c>
      <c r="C117" s="138">
        <f t="shared" ref="C117:W117" si="36">IFERROR(C116/C75,0)</f>
        <v>0</v>
      </c>
      <c r="D117" s="138">
        <f t="shared" si="36"/>
        <v>0</v>
      </c>
      <c r="E117" s="138">
        <f t="shared" si="36"/>
        <v>0</v>
      </c>
      <c r="F117" s="138">
        <f t="shared" si="36"/>
        <v>0.28540262262550231</v>
      </c>
      <c r="G117" s="138">
        <f t="shared" si="36"/>
        <v>0.38351671522437653</v>
      </c>
      <c r="H117" s="138">
        <f t="shared" si="36"/>
        <v>0.41520292736703485</v>
      </c>
      <c r="I117" s="138">
        <f t="shared" si="36"/>
        <v>0.43005123375481558</v>
      </c>
      <c r="J117" s="138">
        <f t="shared" si="36"/>
        <v>0.43869205419452739</v>
      </c>
      <c r="K117" s="138">
        <f t="shared" si="36"/>
        <v>0.44048406265935292</v>
      </c>
      <c r="L117" s="138">
        <f t="shared" si="36"/>
        <v>0.44133678490487877</v>
      </c>
      <c r="M117" s="138">
        <f t="shared" si="36"/>
        <v>0.44133678490487877</v>
      </c>
      <c r="N117" s="138">
        <f t="shared" si="36"/>
        <v>0.44133678490487877</v>
      </c>
      <c r="O117" s="138">
        <f t="shared" si="36"/>
        <v>0.4433661105188203</v>
      </c>
      <c r="P117" s="138">
        <f t="shared" si="36"/>
        <v>0.44261321429179479</v>
      </c>
      <c r="Q117" s="138">
        <f t="shared" si="36"/>
        <v>0.44760580161231089</v>
      </c>
      <c r="R117" s="138">
        <f t="shared" si="36"/>
        <v>0.44585065410792185</v>
      </c>
      <c r="S117" s="138">
        <f t="shared" si="36"/>
        <v>0.45087908931211418</v>
      </c>
      <c r="T117" s="138">
        <f t="shared" si="36"/>
        <v>0.45225195120128409</v>
      </c>
      <c r="U117" s="138">
        <f t="shared" si="36"/>
        <v>0.45189333052096337</v>
      </c>
      <c r="V117" s="138">
        <f t="shared" si="36"/>
        <v>0.45189333052096337</v>
      </c>
      <c r="W117" s="138">
        <f t="shared" si="36"/>
        <v>0.45189333052096337</v>
      </c>
    </row>
    <row r="119" spans="2:26" ht="15" customHeight="1" x14ac:dyDescent="0.2">
      <c r="B119" s="107" t="s">
        <v>1214</v>
      </c>
      <c r="C119" s="108"/>
      <c r="D119" s="108"/>
      <c r="E119" s="108"/>
      <c r="F119" s="108"/>
      <c r="G119" s="108"/>
      <c r="H119" s="108"/>
      <c r="I119" s="108"/>
      <c r="J119" s="108"/>
      <c r="K119" s="108"/>
      <c r="L119" s="108"/>
      <c r="M119" s="108"/>
      <c r="N119" s="108"/>
      <c r="O119" s="108"/>
      <c r="P119" s="108"/>
      <c r="Q119" s="108"/>
      <c r="R119" s="108"/>
      <c r="S119" s="108"/>
      <c r="T119" s="108"/>
      <c r="U119" s="108"/>
      <c r="V119" s="108"/>
      <c r="W119" s="108"/>
      <c r="X119" s="108"/>
      <c r="Y119" s="108"/>
      <c r="Z119" s="108"/>
    </row>
    <row r="120" spans="2:26" ht="15" customHeight="1" outlineLevel="1" x14ac:dyDescent="0.2">
      <c r="B120" s="109" t="s">
        <v>1195</v>
      </c>
    </row>
    <row r="121" spans="2:26" ht="15" customHeight="1" outlineLevel="2" x14ac:dyDescent="0.2">
      <c r="B121" s="137" t="s">
        <v>1215</v>
      </c>
      <c r="C121" s="112">
        <f>C49*SUP_OPEX!$C$30+CAPA1_PILOTO!D8*SUP_OPEX!$D$23*SUP_CONTROL!$C$11</f>
        <v>0</v>
      </c>
      <c r="D121" s="112">
        <f>D49*SUP_OPEX!$C$30+CAPA1_PILOTO!E8*SUP_OPEX!$D$23*SUP_CONTROL!$C$11</f>
        <v>0</v>
      </c>
      <c r="E121" s="112">
        <f>E49*SUP_OPEX!$C$30+CAPA1_PILOTO!F8*SUP_OPEX!$D$23*SUP_CONTROL!$C$11</f>
        <v>0</v>
      </c>
      <c r="F121" s="112">
        <f>F49*SUP_OPEX!$C$30+CAPA1_PILOTO!G8*SUP_OPEX!$D$23*SUP_CONTROL!$C$11</f>
        <v>14101.638003369266</v>
      </c>
      <c r="G121" s="112">
        <f>G49*SUP_OPEX!$C$30+CAPA1_PILOTO!H8*SUP_OPEX!$D$23*SUP_CONTROL!$C$11</f>
        <v>29448.62700746052</v>
      </c>
      <c r="H121" s="112">
        <f>H49*SUP_OPEX!$C$30+CAPA1_PILOTO!I8*SUP_OPEX!$D$23*SUP_CONTROL!$C$11</f>
        <v>46040.967012273759</v>
      </c>
      <c r="I121" s="112">
        <f>I49*SUP_OPEX!$C$30+CAPA1_PILOTO!J8*SUP_OPEX!$D$23*SUP_CONTROL!$C$11</f>
        <v>55582.488015402363</v>
      </c>
      <c r="J121" s="112">
        <f>J49*SUP_OPEX!$C$30+CAPA1_PILOTO!K8*SUP_OPEX!$D$23*SUP_CONTROL!$C$11</f>
        <v>57450.514516485331</v>
      </c>
      <c r="K121" s="112">
        <f>K49*SUP_OPEX!$C$30+CAPA1_PILOTO!L8*SUP_OPEX!$D$23*SUP_CONTROL!$C$11</f>
        <v>58073.190016846333</v>
      </c>
      <c r="L121" s="112">
        <f>L49*SUP_OPEX!$C$30+CAPA1_PILOTO!M8*SUP_OPEX!$D$23*SUP_CONTROL!$C$11</f>
        <v>58073.190016846333</v>
      </c>
      <c r="M121" s="112">
        <f>M49*SUP_OPEX!$C$30+CAPA1_PILOTO!N8*SUP_OPEX!$D$23*SUP_CONTROL!$C$11</f>
        <v>58073.190016846333</v>
      </c>
      <c r="N121" s="112">
        <f>N49*SUP_OPEX!$C$30+CAPA1_PILOTO!O8*SUP_OPEX!$D$23*SUP_CONTROL!$C$11</f>
        <v>58073.190016846333</v>
      </c>
      <c r="O121" s="112">
        <f>O49*SUP_OPEX!$C$30+SUM(CAPA1_PILOTO!P8:AA8)*SUP_OPEX!$D$23*SUP_CONTROL!$C$11</f>
        <v>696878.28020215593</v>
      </c>
      <c r="P121" s="112">
        <f>P49*SUP_OPEX!$C$30+SUM(CAPA1_PILOTO!AB8:AM8)*SUP_OPEX!$D$23*SUP_CONTROL!$C$11</f>
        <v>696878.28020215593</v>
      </c>
      <c r="Q121" s="112">
        <f>Q49*SUP_OPEX!$C$30+SUM(CAPA1_PILOTO!AN8:AY8)*SUP_OPEX!$D$23*SUP_CONTROL!$C$11</f>
        <v>696878.28020215593</v>
      </c>
      <c r="R121" s="112">
        <f>R49*SUP_OPEX!$C$30+SUM(CAPA1_PILOTO!AZ8:BK8)*SUP_OPEX!$D$23*SUP_CONTROL!$C$11</f>
        <v>696878.28020215593</v>
      </c>
      <c r="S121" s="112">
        <f>S49*SUP_OPEX!$C$30+SUM(CAPA1_PILOTO!BL8:BW8)*SUP_OPEX!$D$23*SUP_CONTROL!$C$11</f>
        <v>696878.28020215593</v>
      </c>
      <c r="T121" s="112">
        <f>T49*SUP_OPEX!$C$30+SUM(CAPA1_PILOTO!BX8:CI8)*SUP_OPEX!$D$23*SUP_CONTROL!$C$11</f>
        <v>696878.28020215593</v>
      </c>
      <c r="U121" s="112">
        <f>U49*SUP_OPEX!$C$30+SUM(CAPA1_PILOTO!CJ8:CU8)*SUP_OPEX!$D$23*SUP_CONTROL!$C$11</f>
        <v>696878.28020215593</v>
      </c>
      <c r="V121" s="112">
        <f>V49*SUP_OPEX!$C$30+SUM(CAPA1_PILOTO!CV8:DG8)*SUP_OPEX!$D$23*SUP_CONTROL!$C$11</f>
        <v>696878.28020215593</v>
      </c>
      <c r="W121" s="112">
        <f>W49*SUP_OPEX!$C$30+SUM(CAPA1_PILOTO!DH8:DS8)*SUP_OPEX!$D$23*SUP_CONTROL!$C$11</f>
        <v>696878.28020215593</v>
      </c>
    </row>
    <row r="122" spans="2:26" ht="15" customHeight="1" outlineLevel="2" x14ac:dyDescent="0.2">
      <c r="B122" s="137" t="s">
        <v>1216</v>
      </c>
      <c r="C122" s="112">
        <f>C58*SUP_OPEX!$C$30+CAPA1_PILOTO!D9*SUP_OPEX!$E$23*SUP_CONTROL!$C$11</f>
        <v>0</v>
      </c>
      <c r="D122" s="112">
        <f>D58*SUP_OPEX!$C$30+CAPA1_PILOTO!E9*SUP_OPEX!$E$23*SUP_CONTROL!$C$11</f>
        <v>0</v>
      </c>
      <c r="E122" s="112">
        <f>E58*SUP_OPEX!$C$30+CAPA1_PILOTO!F9*SUP_OPEX!$E$23*SUP_CONTROL!$C$11</f>
        <v>0</v>
      </c>
      <c r="F122" s="112">
        <f>F58*SUP_OPEX!$C$30+CAPA1_PILOTO!G9*SUP_OPEX!$E$23*SUP_CONTROL!$C$11</f>
        <v>0</v>
      </c>
      <c r="G122" s="112">
        <f>G58*SUP_OPEX!$C$30+CAPA1_PILOTO!H9*SUP_OPEX!$E$23*SUP_CONTROL!$C$11</f>
        <v>0</v>
      </c>
      <c r="H122" s="112">
        <f>H58*SUP_OPEX!$C$30+CAPA1_PILOTO!I9*SUP_OPEX!$E$23*SUP_CONTROL!$C$11</f>
        <v>0</v>
      </c>
      <c r="I122" s="112">
        <f>I58*SUP_OPEX!$C$30+CAPA1_PILOTO!J9*SUP_OPEX!$E$23*SUP_CONTROL!$C$11</f>
        <v>9492.5647021900222</v>
      </c>
      <c r="J122" s="112">
        <f>J58*SUP_OPEX!$C$30+CAPA1_PILOTO!K9*SUP_OPEX!$E$23*SUP_CONTROL!$C$11</f>
        <v>29287.172257039361</v>
      </c>
      <c r="K122" s="112">
        <f>K58*SUP_OPEX!$C$30+CAPA1_PILOTO!L9*SUP_OPEX!$E$23*SUP_CONTROL!$C$11</f>
        <v>31715.606708447234</v>
      </c>
      <c r="L122" s="112">
        <f>L58*SUP_OPEX!$C$30+CAPA1_PILOTO!M9*SUP_OPEX!$E$23*SUP_CONTROL!$C$11</f>
        <v>33334.563009385813</v>
      </c>
      <c r="M122" s="112">
        <f>M58*SUP_OPEX!$C$30+CAPA1_PILOTO!N9*SUP_OPEX!$E$23*SUP_CONTROL!$C$11</f>
        <v>33334.563009385813</v>
      </c>
      <c r="N122" s="112">
        <f>N58*SUP_OPEX!$C$30+CAPA1_PILOTO!O9*SUP_OPEX!$E$23*SUP_CONTROL!$C$11</f>
        <v>33334.563009385813</v>
      </c>
      <c r="O122" s="112">
        <f>O58*SUP_OPEX!$C$30+SUM(CAPA1_PILOTO!P9:AA9)*SUP_OPEX!$E$23*SUP_CONTROL!$C$11</f>
        <v>400014.75611262978</v>
      </c>
      <c r="P122" s="112">
        <f>P58*SUP_OPEX!$C$30+SUM(CAPA1_PILOTO!AB9:AM9)*SUP_OPEX!$E$23*SUP_CONTROL!$C$11</f>
        <v>400014.75611262978</v>
      </c>
      <c r="Q122" s="112">
        <f>Q58*SUP_OPEX!$C$30+SUM(CAPA1_PILOTO!AN9:AY9)*SUP_OPEX!$E$23*SUP_CONTROL!$C$11</f>
        <v>400014.75611262978</v>
      </c>
      <c r="R122" s="112">
        <f>R58*SUP_OPEX!$C$30+SUM(CAPA1_PILOTO!AZ9:BK9)*SUP_OPEX!$E$23*SUP_CONTROL!$C$11</f>
        <v>400014.75611262978</v>
      </c>
      <c r="S122" s="112">
        <f>S58*SUP_OPEX!$C$30+SUM(CAPA1_PILOTO!BL9:BW9)*SUP_OPEX!$E$23*SUP_CONTROL!$C$11</f>
        <v>400014.75611262978</v>
      </c>
      <c r="T122" s="112">
        <f>T58*SUP_OPEX!$C$30+SUM(CAPA1_PILOTO!BX9:CI9)*SUP_OPEX!$E$23*SUP_CONTROL!$C$11</f>
        <v>400014.75611262978</v>
      </c>
      <c r="U122" s="112">
        <f>U58*SUP_OPEX!$C$30+SUM(CAPA1_PILOTO!CJ9:CU9)*SUP_OPEX!$E$23*SUP_CONTROL!$C$11</f>
        <v>400014.75611262978</v>
      </c>
      <c r="V122" s="112">
        <f>V58*SUP_OPEX!$C$30+SUM(CAPA1_PILOTO!CV9:DG9)*SUP_OPEX!$E$23*SUP_CONTROL!$C$11</f>
        <v>400014.75611262978</v>
      </c>
      <c r="W122" s="112">
        <f>W58*SUP_OPEX!$C$30+SUM(CAPA1_PILOTO!DH9:DS9)*SUP_OPEX!$E$23*SUP_CONTROL!$C$11</f>
        <v>400014.75611262978</v>
      </c>
    </row>
    <row r="123" spans="2:26" ht="15" customHeight="1" outlineLevel="1" x14ac:dyDescent="0.2">
      <c r="B123" s="135" t="s">
        <v>1217</v>
      </c>
      <c r="C123" s="134">
        <f t="shared" ref="C123:W123" si="37">C121+C122</f>
        <v>0</v>
      </c>
      <c r="D123" s="134">
        <f t="shared" si="37"/>
        <v>0</v>
      </c>
      <c r="E123" s="134">
        <f t="shared" si="37"/>
        <v>0</v>
      </c>
      <c r="F123" s="134">
        <f t="shared" si="37"/>
        <v>14101.638003369266</v>
      </c>
      <c r="G123" s="134">
        <f t="shared" si="37"/>
        <v>29448.62700746052</v>
      </c>
      <c r="H123" s="134">
        <f t="shared" si="37"/>
        <v>46040.967012273759</v>
      </c>
      <c r="I123" s="134">
        <f t="shared" si="37"/>
        <v>65075.052717592385</v>
      </c>
      <c r="J123" s="134">
        <f t="shared" si="37"/>
        <v>86737.686773524692</v>
      </c>
      <c r="K123" s="134">
        <f t="shared" si="37"/>
        <v>89788.796725293563</v>
      </c>
      <c r="L123" s="134">
        <f t="shared" si="37"/>
        <v>91407.753026232152</v>
      </c>
      <c r="M123" s="134">
        <f t="shared" si="37"/>
        <v>91407.753026232152</v>
      </c>
      <c r="N123" s="134">
        <f t="shared" si="37"/>
        <v>91407.753026232152</v>
      </c>
      <c r="O123" s="134">
        <f t="shared" si="37"/>
        <v>1096893.0363147857</v>
      </c>
      <c r="P123" s="134">
        <f t="shared" si="37"/>
        <v>1096893.0363147857</v>
      </c>
      <c r="Q123" s="134">
        <f t="shared" si="37"/>
        <v>1096893.0363147857</v>
      </c>
      <c r="R123" s="134">
        <f t="shared" si="37"/>
        <v>1096893.0363147857</v>
      </c>
      <c r="S123" s="134">
        <f t="shared" si="37"/>
        <v>1096893.0363147857</v>
      </c>
      <c r="T123" s="134">
        <f t="shared" si="37"/>
        <v>1096893.0363147857</v>
      </c>
      <c r="U123" s="134">
        <f t="shared" si="37"/>
        <v>1096893.0363147857</v>
      </c>
      <c r="V123" s="134">
        <f t="shared" si="37"/>
        <v>1096893.0363147857</v>
      </c>
      <c r="W123" s="134">
        <f t="shared" si="37"/>
        <v>1096893.0363147857</v>
      </c>
      <c r="X123" s="41"/>
      <c r="Y123" s="41"/>
      <c r="Z123" s="41"/>
    </row>
    <row r="124" spans="2:26" ht="15" customHeight="1" outlineLevel="1" x14ac:dyDescent="0.2">
      <c r="B124" s="109" t="s">
        <v>1218</v>
      </c>
      <c r="C124" s="112">
        <f>(CAPA2_FLAGSHIP!D14+CAPA2_FLAGSHIP!D15)*SUP_CONTROL!$C$12</f>
        <v>0</v>
      </c>
      <c r="D124" s="112">
        <f>(CAPA2_FLAGSHIP!E14+CAPA2_FLAGSHIP!E15)*SUP_CONTROL!$C$12</f>
        <v>0</v>
      </c>
      <c r="E124" s="112">
        <f>(CAPA2_FLAGSHIP!F14+CAPA2_FLAGSHIP!F15)*SUP_CONTROL!$C$12</f>
        <v>0</v>
      </c>
      <c r="F124" s="112">
        <f>(CAPA2_FLAGSHIP!G14+CAPA2_FLAGSHIP!G15)*SUP_CONTROL!$C$12</f>
        <v>0</v>
      </c>
      <c r="G124" s="112">
        <f>(CAPA2_FLAGSHIP!H14+CAPA2_FLAGSHIP!H15)*SUP_CONTROL!$C$12</f>
        <v>0</v>
      </c>
      <c r="H124" s="112">
        <f>(CAPA2_FLAGSHIP!I14+CAPA2_FLAGSHIP!I15)*SUP_CONTROL!$C$12</f>
        <v>0</v>
      </c>
      <c r="I124" s="112">
        <f>(CAPA2_FLAGSHIP!J14+CAPA2_FLAGSHIP!J15)*SUP_CONTROL!$C$12</f>
        <v>0</v>
      </c>
      <c r="J124" s="112">
        <f>(CAPA2_FLAGSHIP!K14+CAPA2_FLAGSHIP!K15)*SUP_CONTROL!$C$12</f>
        <v>0</v>
      </c>
      <c r="K124" s="112">
        <f>(CAPA2_FLAGSHIP!L14+CAPA2_FLAGSHIP!L15)*SUP_CONTROL!$C$12</f>
        <v>0</v>
      </c>
      <c r="L124" s="112">
        <f>(CAPA2_FLAGSHIP!M14+CAPA2_FLAGSHIP!M15)*SUP_CONTROL!$C$12</f>
        <v>0</v>
      </c>
      <c r="M124" s="112">
        <f>(CAPA2_FLAGSHIP!N14+CAPA2_FLAGSHIP!N15)*SUP_CONTROL!$C$12</f>
        <v>0</v>
      </c>
      <c r="N124" s="112">
        <f>(CAPA2_FLAGSHIP!O14+CAPA2_FLAGSHIP!O15)*SUP_CONTROL!$C$12</f>
        <v>0</v>
      </c>
      <c r="O124" s="112">
        <f>(SUM(CAPA2_FLAGSHIP!P14:AA14)+SUM(CAPA2_FLAGSHIP!P15:AA15))*SUP_CONTROL!$C$12</f>
        <v>0</v>
      </c>
      <c r="P124" s="112">
        <f>(SUM(CAPA2_FLAGSHIP!AB14:AM14)+SUM(CAPA2_FLAGSHIP!AB15:AM15))*SUP_CONTROL!$C$12</f>
        <v>0</v>
      </c>
      <c r="Q124" s="112">
        <f>(SUM(CAPA2_FLAGSHIP!AN14:AY14)+SUM(CAPA2_FLAGSHIP!AN15:AY15))*SUP_CONTROL!$C$12</f>
        <v>0</v>
      </c>
      <c r="R124" s="112">
        <f>(SUM(CAPA2_FLAGSHIP!AZ14:BK14)+SUM(CAPA2_FLAGSHIP!AZ15:BK15))*SUP_CONTROL!$C$12</f>
        <v>0</v>
      </c>
      <c r="S124" s="112">
        <f>(SUM(CAPA2_FLAGSHIP!BL14:BW14)+SUM(CAPA2_FLAGSHIP!BL15:BW15))*SUP_CONTROL!$C$12</f>
        <v>0</v>
      </c>
      <c r="T124" s="112">
        <f>(SUM(CAPA2_FLAGSHIP!BX14:CI14)+SUM(CAPA2_FLAGSHIP!BX15:CI15))*SUP_CONTROL!$C$12</f>
        <v>0</v>
      </c>
      <c r="U124" s="112">
        <f>(SUM(CAPA2_FLAGSHIP!CJ14:CU14)+SUM(CAPA2_FLAGSHIP!CJ15:CU15))*SUP_CONTROL!$C$12</f>
        <v>0</v>
      </c>
      <c r="V124" s="112">
        <f>(SUM(CAPA2_FLAGSHIP!CV14:DG14)+SUM(CAPA2_FLAGSHIP!CV15:DG15))*SUP_CONTROL!$C$12</f>
        <v>0</v>
      </c>
      <c r="W124" s="112">
        <f>(SUM(CAPA2_FLAGSHIP!DH14:DS14)+SUM(CAPA2_FLAGSHIP!DH15:DS15))*SUP_CONTROL!$C$12</f>
        <v>0</v>
      </c>
    </row>
    <row r="125" spans="2:26" ht="15" customHeight="1" outlineLevel="1" x14ac:dyDescent="0.2">
      <c r="B125" s="109" t="s">
        <v>1219</v>
      </c>
      <c r="C125" s="112">
        <f>(CAPA3_EXPANSION!D42+CAPA3_EXPANSION!D43)*SUP_CONTROL!$C$13</f>
        <v>0</v>
      </c>
      <c r="D125" s="112">
        <f>(CAPA3_EXPANSION!E42+CAPA3_EXPANSION!E43)*SUP_CONTROL!$C$13</f>
        <v>0</v>
      </c>
      <c r="E125" s="112">
        <f>(CAPA3_EXPANSION!F42+CAPA3_EXPANSION!F43)*SUP_CONTROL!$C$13</f>
        <v>0</v>
      </c>
      <c r="F125" s="112">
        <f>(CAPA3_EXPANSION!G42+CAPA3_EXPANSION!G43)*SUP_CONTROL!$C$13</f>
        <v>0</v>
      </c>
      <c r="G125" s="112">
        <f>(CAPA3_EXPANSION!H42+CAPA3_EXPANSION!H43)*SUP_CONTROL!$C$13</f>
        <v>0</v>
      </c>
      <c r="H125" s="112">
        <f>(CAPA3_EXPANSION!I42+CAPA3_EXPANSION!I43)*SUP_CONTROL!$C$13</f>
        <v>0</v>
      </c>
      <c r="I125" s="112">
        <f>(CAPA3_EXPANSION!J42+CAPA3_EXPANSION!J43)*SUP_CONTROL!$C$13</f>
        <v>0</v>
      </c>
      <c r="J125" s="112">
        <f>(CAPA3_EXPANSION!K42+CAPA3_EXPANSION!K43)*SUP_CONTROL!$C$13</f>
        <v>0</v>
      </c>
      <c r="K125" s="112">
        <f>(CAPA3_EXPANSION!L42+CAPA3_EXPANSION!L43)*SUP_CONTROL!$C$13</f>
        <v>0</v>
      </c>
      <c r="L125" s="112">
        <f>(CAPA3_EXPANSION!M42+CAPA3_EXPANSION!M43)*SUP_CONTROL!$C$13</f>
        <v>0</v>
      </c>
      <c r="M125" s="112">
        <f>(CAPA3_EXPANSION!N42+CAPA3_EXPANSION!N43)*SUP_CONTROL!$C$13</f>
        <v>0</v>
      </c>
      <c r="N125" s="112">
        <f>(CAPA3_EXPANSION!O42+CAPA3_EXPANSION!O43)*SUP_CONTROL!$C$13</f>
        <v>0</v>
      </c>
      <c r="O125" s="112">
        <f>(SUM(CAPA3_EXPANSION!P42:AA42)+SUM(CAPA3_EXPANSION!P43:AA43))*SUP_CONTROL!$C$13</f>
        <v>147347.44854103288</v>
      </c>
      <c r="P125" s="112">
        <f>(SUM(CAPA3_EXPANSION!AB42:AM42)+SUM(CAPA3_EXPANSION!AB43:AM43))*SUP_CONTROL!$C$13</f>
        <v>502344.79785437579</v>
      </c>
      <c r="Q125" s="112">
        <f>(SUM(CAPA3_EXPANSION!AN42:AY42)+SUM(CAPA3_EXPANSION!AN43:AY43))*SUP_CONTROL!$C$13</f>
        <v>1246688.0431979727</v>
      </c>
      <c r="R125" s="112">
        <f>(SUM(CAPA3_EXPANSION!AZ42:BK42)+SUM(CAPA3_EXPANSION!AZ43:BK43))*SUP_CONTROL!$C$13</f>
        <v>1831100.8773184149</v>
      </c>
      <c r="S125" s="112">
        <f>(SUM(CAPA3_EXPANSION!BL42:BW42)+SUM(CAPA3_EXPANSION!BL43:BW43))*SUP_CONTROL!$C$13</f>
        <v>3079096.4368008631</v>
      </c>
      <c r="T125" s="112">
        <f>(SUM(CAPA3_EXPANSION!BX42:CI42)+SUM(CAPA3_EXPANSION!BX43:CI43))*SUP_CONTROL!$C$13</f>
        <v>4190922.6131099053</v>
      </c>
      <c r="U125" s="112">
        <f>(SUM(CAPA3_EXPANSION!CJ42:CU42)+SUM(CAPA3_EXPANSION!CJ43:CU43))*SUP_CONTROL!$C$13</f>
        <v>4313737.5750043653</v>
      </c>
      <c r="V125" s="112">
        <f>(SUM(CAPA3_EXPANSION!CV42:DG42)+SUM(CAPA3_EXPANSION!CV43:DG43))*SUP_CONTROL!$C$13</f>
        <v>4313737.5750043653</v>
      </c>
      <c r="W125" s="112">
        <f>(SUM(CAPA3_EXPANSION!DH42:DS42)+SUM(CAPA3_EXPANSION!DH43:DS43))*SUP_CONTROL!$C$13</f>
        <v>4313737.5750043653</v>
      </c>
    </row>
    <row r="126" spans="2:26" ht="15" customHeight="1" outlineLevel="1" x14ac:dyDescent="0.2">
      <c r="B126" s="109" t="s">
        <v>1220</v>
      </c>
      <c r="C126" s="112">
        <f>(CAPA3_EXPANSION!D40-CAPA3_EXPANSION!D42-CAPA3_EXPANSION!D43-CAPA3_EXPANSION!D44-CAPA3_EXPANSION!D45-SUP_OVERHEAD!D40-CAPA3_EXPANSION!D46)*SUP_CONTROL!$C$13</f>
        <v>0</v>
      </c>
      <c r="D126" s="112">
        <f>(CAPA3_EXPANSION!E40-CAPA3_EXPANSION!E42-CAPA3_EXPANSION!E43-CAPA3_EXPANSION!E44-CAPA3_EXPANSION!E45-SUP_OVERHEAD!E40-CAPA3_EXPANSION!E46)*SUP_CONTROL!$C$13</f>
        <v>0</v>
      </c>
      <c r="E126" s="112">
        <f>(CAPA3_EXPANSION!F40-CAPA3_EXPANSION!F42-CAPA3_EXPANSION!F43-CAPA3_EXPANSION!F44-CAPA3_EXPANSION!F45-SUP_OVERHEAD!F40-CAPA3_EXPANSION!F46)*SUP_CONTROL!$C$13</f>
        <v>0</v>
      </c>
      <c r="F126" s="112">
        <f>(CAPA3_EXPANSION!G40-CAPA3_EXPANSION!G42-CAPA3_EXPANSION!G43-CAPA3_EXPANSION!G44-CAPA3_EXPANSION!G45-SUP_OVERHEAD!G40-CAPA3_EXPANSION!G46)*SUP_CONTROL!$C$13</f>
        <v>0</v>
      </c>
      <c r="G126" s="112">
        <f>(CAPA3_EXPANSION!H40-CAPA3_EXPANSION!H42-CAPA3_EXPANSION!H43-CAPA3_EXPANSION!H44-CAPA3_EXPANSION!H45-SUP_OVERHEAD!H40-CAPA3_EXPANSION!H46)*SUP_CONTROL!$C$13</f>
        <v>0</v>
      </c>
      <c r="H126" s="112">
        <f>(CAPA3_EXPANSION!I40-CAPA3_EXPANSION!I42-CAPA3_EXPANSION!I43-CAPA3_EXPANSION!I44-CAPA3_EXPANSION!I45-SUP_OVERHEAD!I40-CAPA3_EXPANSION!I46)*SUP_CONTROL!$C$13</f>
        <v>0</v>
      </c>
      <c r="I126" s="112">
        <f>(CAPA3_EXPANSION!J40-CAPA3_EXPANSION!J42-CAPA3_EXPANSION!J43-CAPA3_EXPANSION!J44-CAPA3_EXPANSION!J45-SUP_OVERHEAD!J40-CAPA3_EXPANSION!J46)*SUP_CONTROL!$C$13</f>
        <v>0</v>
      </c>
      <c r="J126" s="112">
        <f>(CAPA3_EXPANSION!K40-CAPA3_EXPANSION!K42-CAPA3_EXPANSION!K43-CAPA3_EXPANSION!K44-CAPA3_EXPANSION!K45-SUP_OVERHEAD!K40-CAPA3_EXPANSION!K46)*SUP_CONTROL!$C$13</f>
        <v>0</v>
      </c>
      <c r="K126" s="112">
        <f>(CAPA3_EXPANSION!L40-CAPA3_EXPANSION!L42-CAPA3_EXPANSION!L43-CAPA3_EXPANSION!L44-CAPA3_EXPANSION!L45-SUP_OVERHEAD!L40-CAPA3_EXPANSION!L46)*SUP_CONTROL!$C$13</f>
        <v>0</v>
      </c>
      <c r="L126" s="112">
        <f>(CAPA3_EXPANSION!M40-CAPA3_EXPANSION!M42-CAPA3_EXPANSION!M43-CAPA3_EXPANSION!M44-CAPA3_EXPANSION!M45-SUP_OVERHEAD!M40-CAPA3_EXPANSION!M46)*SUP_CONTROL!$C$13</f>
        <v>0</v>
      </c>
      <c r="M126" s="112">
        <f>(CAPA3_EXPANSION!N40-CAPA3_EXPANSION!N42-CAPA3_EXPANSION!N43-CAPA3_EXPANSION!N44-CAPA3_EXPANSION!N45-SUP_OVERHEAD!N40-CAPA3_EXPANSION!N46)*SUP_CONTROL!$C$13</f>
        <v>0</v>
      </c>
      <c r="N126" s="112">
        <f>(CAPA3_EXPANSION!O40-CAPA3_EXPANSION!O42-CAPA3_EXPANSION!O43-CAPA3_EXPANSION!O44-CAPA3_EXPANSION!O45-SUP_OVERHEAD!O40-CAPA3_EXPANSION!O46)*SUP_CONTROL!$C$13</f>
        <v>0</v>
      </c>
      <c r="O126" s="112">
        <f>(SUM(CAPA3_EXPANSION!P40:AA40)-SUM(CAPA3_EXPANSION!P42:AA42)-SUM(CAPA3_EXPANSION!P43:AA43)-SUM(CAPA3_EXPANSION!P44:AA44)-SUM(CAPA3_EXPANSION!P45:AA45)-SUM(SUP_OVERHEAD!P40:AA40)-SUM(CAPA3_EXPANSION!P46:AA46))*SUP_CONTROL!$C$13</f>
        <v>2499.9999999999418</v>
      </c>
      <c r="P126" s="112">
        <f>(SUM(CAPA3_EXPANSION!AB40:AM40)-SUM(CAPA3_EXPANSION!AB42:AM42)-SUM(CAPA3_EXPANSION!AB43:AM43)-SUM(CAPA3_EXPANSION!AB44:AM44)-SUM(CAPA3_EXPANSION!AB45:AM45)-SUM(SUP_OVERHEAD!AB40:AM40)-SUM(CAPA3_EXPANSION!AB46:AM46))*SUP_CONTROL!$C$13</f>
        <v>30000</v>
      </c>
      <c r="Q126" s="112">
        <f>(SUM(CAPA3_EXPANSION!AN40:AY40)-SUM(CAPA3_EXPANSION!AN42:AY42)-SUM(CAPA3_EXPANSION!AN43:AY43)-SUM(CAPA3_EXPANSION!AN44:AY44)-SUM(CAPA3_EXPANSION!AN45:AY45)-SUM(SUP_OVERHEAD!AN40:AY40)-SUM(CAPA3_EXPANSION!AN46:AY46))*SUP_CONTROL!$C$13</f>
        <v>37499.999999999767</v>
      </c>
      <c r="R126" s="112">
        <f>(SUM(CAPA3_EXPANSION!AZ40:BK40)-SUM(CAPA3_EXPANSION!AZ42:BK42)-SUM(CAPA3_EXPANSION!AZ43:BK43)-SUM(CAPA3_EXPANSION!AZ44:BK44)-SUM(CAPA3_EXPANSION!AZ45:BK45)-SUM(SUP_OVERHEAD!AZ40:BK40)-SUM(CAPA3_EXPANSION!AZ46:BK46))*SUP_CONTROL!$C$13</f>
        <v>59999.999999999534</v>
      </c>
      <c r="S126" s="112">
        <f>(SUM(CAPA3_EXPANSION!BL40:BW40)-SUM(CAPA3_EXPANSION!BL42:BW42)-SUM(CAPA3_EXPANSION!BL43:BW43)-SUM(CAPA3_EXPANSION!BL44:BW44)-SUM(CAPA3_EXPANSION!BL45:BW45)-SUM(SUP_OVERHEAD!BL40:BW40)-SUM(CAPA3_EXPANSION!BL46:BW46))*SUP_CONTROL!$C$13</f>
        <v>59999.999999999534</v>
      </c>
      <c r="T126" s="112">
        <f>(SUM(CAPA3_EXPANSION!BX40:CI40)-SUM(CAPA3_EXPANSION!BX42:CI42)-SUM(CAPA3_EXPANSION!BX43:CI43)-SUM(CAPA3_EXPANSION!BX44:CI44)-SUM(CAPA3_EXPANSION!BX45:CI45)-SUM(SUP_OVERHEAD!BX40:CI40)-SUM(CAPA3_EXPANSION!BX46:CI46))*SUP_CONTROL!$C$13</f>
        <v>79999.999999998603</v>
      </c>
      <c r="U126" s="112">
        <f>(SUM(CAPA3_EXPANSION!CJ40:CU40)-SUM(CAPA3_EXPANSION!CJ42:CU42)-SUM(CAPA3_EXPANSION!CJ43:CU43)-SUM(CAPA3_EXPANSION!CJ44:CU44)-SUM(CAPA3_EXPANSION!CJ45:CU45)-SUM(SUP_OVERHEAD!CJ40:CU40)-SUM(CAPA3_EXPANSION!CJ46:CU46))*SUP_CONTROL!$C$13</f>
        <v>89999.999999999069</v>
      </c>
      <c r="V126" s="112">
        <f>(SUM(CAPA3_EXPANSION!CV40:DG40)-SUM(CAPA3_EXPANSION!CV42:DG42)-SUM(CAPA3_EXPANSION!CV43:DG43)-SUM(CAPA3_EXPANSION!CV44:DG44)-SUM(CAPA3_EXPANSION!CV45:DG45)-SUM(SUP_OVERHEAD!CV40:DG40)-SUM(CAPA3_EXPANSION!CV46:DG46))*SUP_CONTROL!$C$13</f>
        <v>89999.999999999069</v>
      </c>
      <c r="W126" s="112">
        <f>(SUM(CAPA3_EXPANSION!DH40:DS40)-SUM(CAPA3_EXPANSION!DH42:DS42)-SUM(CAPA3_EXPANSION!DH43:DS43)-SUM(CAPA3_EXPANSION!DH44:DS44)-SUM(CAPA3_EXPANSION!DH45:DS45)-SUM(SUP_OVERHEAD!DH40:DS40)-SUM(CAPA3_EXPANSION!DH46:DS46))*SUP_CONTROL!$C$13</f>
        <v>89999.999999999069</v>
      </c>
      <c r="X126" s="112"/>
    </row>
    <row r="127" spans="2:26" ht="15" customHeight="1" outlineLevel="1" x14ac:dyDescent="0.2">
      <c r="B127" s="109" t="s">
        <v>1221</v>
      </c>
      <c r="C127" s="112">
        <f>(CAPA4_RETAIL!D10+CAPA4_RETAIL!D11)*SUP_CONTROL!$C$14</f>
        <v>0</v>
      </c>
      <c r="D127" s="112">
        <f>(CAPA4_RETAIL!E10+CAPA4_RETAIL!E11)*SUP_CONTROL!$C$14</f>
        <v>0</v>
      </c>
      <c r="E127" s="112">
        <f>(CAPA4_RETAIL!F10+CAPA4_RETAIL!F11)*SUP_CONTROL!$C$14</f>
        <v>0</v>
      </c>
      <c r="F127" s="112">
        <f>(CAPA4_RETAIL!G10+CAPA4_RETAIL!G11)*SUP_CONTROL!$C$14</f>
        <v>0</v>
      </c>
      <c r="G127" s="112">
        <f>(CAPA4_RETAIL!H10+CAPA4_RETAIL!H11)*SUP_CONTROL!$C$14</f>
        <v>0</v>
      </c>
      <c r="H127" s="112">
        <f>(CAPA4_RETAIL!I10+CAPA4_RETAIL!I11)*SUP_CONTROL!$C$14</f>
        <v>0</v>
      </c>
      <c r="I127" s="112">
        <f>(CAPA4_RETAIL!J10+CAPA4_RETAIL!J11)*SUP_CONTROL!$C$14</f>
        <v>0</v>
      </c>
      <c r="J127" s="112">
        <f>(CAPA4_RETAIL!K10+CAPA4_RETAIL!K11)*SUP_CONTROL!$C$14</f>
        <v>0</v>
      </c>
      <c r="K127" s="112">
        <f>(CAPA4_RETAIL!L10+CAPA4_RETAIL!L11)*SUP_CONTROL!$C$14</f>
        <v>0</v>
      </c>
      <c r="L127" s="112">
        <f>(CAPA4_RETAIL!M10+CAPA4_RETAIL!M11)*SUP_CONTROL!$C$14</f>
        <v>0</v>
      </c>
      <c r="M127" s="112">
        <f>(CAPA4_RETAIL!N10+CAPA4_RETAIL!N11)*SUP_CONTROL!$C$14</f>
        <v>0</v>
      </c>
      <c r="N127" s="112">
        <f>(CAPA4_RETAIL!O10+CAPA4_RETAIL!O11)*SUP_CONTROL!$C$14</f>
        <v>0</v>
      </c>
      <c r="O127" s="112">
        <f>(SUM(CAPA4_RETAIL!P10:AA10)+SUM(CAPA4_RETAIL!P11:AA11))*SUP_CONTROL!$C$14</f>
        <v>0</v>
      </c>
      <c r="P127" s="112">
        <f>(SUM(CAPA4_RETAIL!AB10:AM10)+SUM(CAPA4_RETAIL!AB11:AM11))*SUP_CONTROL!$C$14</f>
        <v>0</v>
      </c>
      <c r="Q127" s="112">
        <f>(SUM(CAPA4_RETAIL!AN10:AY10)+SUM(CAPA4_RETAIL!AN11:AY11))*SUP_CONTROL!$C$14</f>
        <v>0</v>
      </c>
      <c r="R127" s="112">
        <f>(SUM(CAPA4_RETAIL!AZ10:BK10)+SUM(CAPA4_RETAIL!AZ11:BK11))*SUP_CONTROL!$C$14</f>
        <v>0</v>
      </c>
      <c r="S127" s="112">
        <f>(SUM(CAPA4_RETAIL!BL10:BW10)+SUM(CAPA4_RETAIL!BL11:BW11))*SUP_CONTROL!$C$14</f>
        <v>0</v>
      </c>
      <c r="T127" s="112">
        <f>(SUM(CAPA4_RETAIL!BX10:CI10)+SUM(CAPA4_RETAIL!BX11:CI11))*SUP_CONTROL!$C$14</f>
        <v>0</v>
      </c>
      <c r="U127" s="112">
        <f>(SUM(CAPA4_RETAIL!CJ10:CU10)+SUM(CAPA4_RETAIL!CJ11:CU11))*SUP_CONTROL!$C$14</f>
        <v>0</v>
      </c>
      <c r="V127" s="112">
        <f>(SUM(CAPA4_RETAIL!CV10:DG10)+SUM(CAPA4_RETAIL!CV11:DG11))*SUP_CONTROL!$C$14</f>
        <v>0</v>
      </c>
      <c r="W127" s="112">
        <f>(SUM(CAPA4_RETAIL!DH10:DS10)+SUM(CAPA4_RETAIL!DH11:DS11))*SUP_CONTROL!$C$14</f>
        <v>0</v>
      </c>
    </row>
    <row r="128" spans="2:26" x14ac:dyDescent="0.2">
      <c r="B128" s="109" t="s">
        <v>1839</v>
      </c>
      <c r="C128" s="269">
        <f>CAPA1_PILOTO!D21*SUP_CONTROL!$C$11+CAPA2_FLAGSHIP!D16*SUP_CONTROL!$C$12+CAPA3_EXPANSION!D44*SUP_CONTROL!$C$13</f>
        <v>0</v>
      </c>
      <c r="D128" s="269">
        <f>CAPA1_PILOTO!E21*SUP_CONTROL!$C$11+CAPA2_FLAGSHIP!E16*SUP_CONTROL!$C$12+CAPA3_EXPANSION!E44*SUP_CONTROL!$C$13</f>
        <v>0</v>
      </c>
      <c r="E128" s="269">
        <f>CAPA1_PILOTO!F21*SUP_CONTROL!$C$11+CAPA2_FLAGSHIP!F16*SUP_CONTROL!$C$12+CAPA3_EXPANSION!F44*SUP_CONTROL!$C$13</f>
        <v>0</v>
      </c>
      <c r="F128" s="269">
        <f>CAPA1_PILOTO!G21*SUP_CONTROL!$C$11+CAPA2_FLAGSHIP!G16*SUP_CONTROL!$C$12+CAPA3_EXPANSION!G44*SUP_CONTROL!$C$13</f>
        <v>565.65599999999984</v>
      </c>
      <c r="G128" s="269">
        <f>CAPA1_PILOTO!H21*SUP_CONTROL!$C$11+CAPA2_FLAGSHIP!H16*SUP_CONTROL!$C$12+CAPA3_EXPANSION!H44*SUP_CONTROL!$C$13</f>
        <v>1252.5239999999999</v>
      </c>
      <c r="H128" s="269">
        <f>CAPA1_PILOTO!I21*SUP_CONTROL!$C$11+CAPA2_FLAGSHIP!I16*SUP_CONTROL!$C$12+CAPA3_EXPANSION!I44*SUP_CONTROL!$C$13</f>
        <v>2060.6039999999998</v>
      </c>
      <c r="I128" s="269">
        <f>CAPA1_PILOTO!J21*SUP_CONTROL!$C$11+CAPA2_FLAGSHIP!J16*SUP_CONTROL!$C$12+CAPA3_EXPANSION!J44*SUP_CONTROL!$C$13</f>
        <v>2953.5324000000001</v>
      </c>
      <c r="J128" s="269">
        <f>CAPA1_PILOTO!K21*SUP_CONTROL!$C$11+CAPA2_FLAGSHIP!K16*SUP_CONTROL!$C$12+CAPA3_EXPANSION!K44*SUP_CONTROL!$C$13</f>
        <v>3949.491</v>
      </c>
      <c r="K128" s="269">
        <f>CAPA1_PILOTO!L21*SUP_CONTROL!$C$11+CAPA2_FLAGSHIP!L16*SUP_CONTROL!$C$12+CAPA3_EXPANSION!L44*SUP_CONTROL!$C$13</f>
        <v>4246.4603999999999</v>
      </c>
      <c r="L128" s="269">
        <f>CAPA1_PILOTO!M21*SUP_CONTROL!$C$11+CAPA2_FLAGSHIP!M16*SUP_CONTROL!$C$12+CAPA3_EXPANSION!M44*SUP_CONTROL!$C$13</f>
        <v>4404.0360000000001</v>
      </c>
      <c r="M128" s="269">
        <f>CAPA1_PILOTO!N21*SUP_CONTROL!$C$11+CAPA2_FLAGSHIP!N16*SUP_CONTROL!$C$12+CAPA3_EXPANSION!N44*SUP_CONTROL!$C$13</f>
        <v>4404.0360000000001</v>
      </c>
      <c r="N128" s="269">
        <f>CAPA1_PILOTO!O21*SUP_CONTROL!$C$11+CAPA2_FLAGSHIP!O16*SUP_CONTROL!$C$12+CAPA3_EXPANSION!O44*SUP_CONTROL!$C$13</f>
        <v>4404.0360000000001</v>
      </c>
      <c r="O128" s="269">
        <f>SUM(CAPA1_PILOTO!P21:AA21)*SUP_CONTROL!$C$11+SUM(CAPA2_FLAGSHIP!P16:AA16)*SUP_CONTROL!$C$12+SUM(CAPA3_EXPANSION!P44:AA44)*SUP_CONTROL!$C$13</f>
        <v>61657.184000000001</v>
      </c>
      <c r="P128" s="269">
        <f>SUM(CAPA1_PILOTO!AB21:AM21)*SUP_CONTROL!$C$11+SUM(CAPA2_FLAGSHIP!AB16:AM16)*SUP_CONTROL!$C$12+SUM(CAPA3_EXPANSION!AB44:AM44)*SUP_CONTROL!$C$13</f>
        <v>91942.94180249999</v>
      </c>
      <c r="Q128" s="269">
        <f>SUM(CAPA1_PILOTO!AN21:AY21)*SUP_CONTROL!$C$11+SUM(CAPA2_FLAGSHIP!AN16:AY16)*SUP_CONTROL!$C$12+SUM(CAPA3_EXPANSION!AN44:AY44)*SUP_CONTROL!$C$13</f>
        <v>110951.74407449999</v>
      </c>
      <c r="R128" s="269">
        <f>SUM(CAPA1_PILOTO!AZ21:BK21)*SUP_CONTROL!$C$11+SUM(CAPA2_FLAGSHIP!AZ16:BK16)*SUP_CONTROL!$C$12+SUM(CAPA3_EXPANSION!AZ44:BK44)*SUP_CONTROL!$C$13</f>
        <v>154222.651178</v>
      </c>
      <c r="S128" s="269">
        <f>SUM(CAPA1_PILOTO!BL21:BW21)*SUP_CONTROL!$C$11+SUM(CAPA2_FLAGSHIP!BL16:BW16)*SUP_CONTROL!$C$12+SUM(CAPA3_EXPANSION!BL44:BW44)*SUP_CONTROL!$C$13</f>
        <v>162538.5906735</v>
      </c>
      <c r="T128" s="269">
        <f>SUM(CAPA1_PILOTO!BX21:CI21)*SUP_CONTROL!$C$11+SUM(CAPA2_FLAGSHIP!BX16:CI16)*SUP_CONTROL!$C$12+SUM(CAPA3_EXPANSION!BX44:CI44)*SUP_CONTROL!$C$13</f>
        <v>187813.611618</v>
      </c>
      <c r="U128" s="269">
        <f>SUM(CAPA1_PILOTO!CJ21:CU21)*SUP_CONTROL!$C$11+SUM(CAPA2_FLAGSHIP!CJ16:CU16)*SUP_CONTROL!$C$12+SUM(CAPA3_EXPANSION!CJ44:CU44)*SUP_CONTROL!$C$13</f>
        <v>197549.85983999993</v>
      </c>
      <c r="V128" s="269">
        <f>SUM(CAPA1_PILOTO!CV21:DG21)*SUP_CONTROL!$C$11+SUM(CAPA2_FLAGSHIP!CV16:DG16)*SUP_CONTROL!$C$12+SUM(CAPA3_EXPANSION!CV44:DG44)*SUP_CONTROL!$C$13</f>
        <v>197549.85983999993</v>
      </c>
      <c r="W128" s="269">
        <f>SUM(CAPA1_PILOTO!DH21:DS21)*SUP_CONTROL!$C$11+SUM(CAPA2_FLAGSHIP!DH16:DS16)*SUP_CONTROL!$C$12+SUM(CAPA3_EXPANSION!DH44:DS44)*SUP_CONTROL!$C$13</f>
        <v>197549.85983999993</v>
      </c>
      <c r="X128" s="269"/>
    </row>
    <row r="129" spans="2:26" ht="15" customHeight="1" x14ac:dyDescent="0.2">
      <c r="B129" s="107" t="s">
        <v>1222</v>
      </c>
      <c r="C129" s="136">
        <f>C123+C124+C125+C126+C127+C128</f>
        <v>0</v>
      </c>
      <c r="D129" s="136">
        <f t="shared" ref="D129:X129" si="38">D123+D124+D125+D126+D127+D128</f>
        <v>0</v>
      </c>
      <c r="E129" s="136">
        <f t="shared" si="38"/>
        <v>0</v>
      </c>
      <c r="F129" s="136">
        <f t="shared" si="38"/>
        <v>14667.294003369265</v>
      </c>
      <c r="G129" s="136">
        <f t="shared" si="38"/>
        <v>30701.151007460521</v>
      </c>
      <c r="H129" s="136">
        <f t="shared" si="38"/>
        <v>48101.571012273758</v>
      </c>
      <c r="I129" s="136">
        <f t="shared" si="38"/>
        <v>68028.585117592389</v>
      </c>
      <c r="J129" s="136">
        <f t="shared" si="38"/>
        <v>90687.177773524687</v>
      </c>
      <c r="K129" s="136">
        <f t="shared" si="38"/>
        <v>94035.25712529356</v>
      </c>
      <c r="L129" s="136">
        <f t="shared" si="38"/>
        <v>95811.789026232145</v>
      </c>
      <c r="M129" s="136">
        <f t="shared" si="38"/>
        <v>95811.789026232145</v>
      </c>
      <c r="N129" s="136">
        <f t="shared" si="38"/>
        <v>95811.789026232145</v>
      </c>
      <c r="O129" s="136">
        <f t="shared" si="38"/>
        <v>1308397.6688558185</v>
      </c>
      <c r="P129" s="136">
        <f t="shared" si="38"/>
        <v>1721180.7759716616</v>
      </c>
      <c r="Q129" s="136">
        <f t="shared" si="38"/>
        <v>2492032.8235872583</v>
      </c>
      <c r="R129" s="136">
        <f t="shared" si="38"/>
        <v>3142216.5648111999</v>
      </c>
      <c r="S129" s="136">
        <f t="shared" si="38"/>
        <v>4398528.0637891488</v>
      </c>
      <c r="T129" s="136">
        <f t="shared" si="38"/>
        <v>5555629.261042689</v>
      </c>
      <c r="U129" s="136">
        <f t="shared" si="38"/>
        <v>5698180.4711591499</v>
      </c>
      <c r="V129" s="136">
        <f t="shared" si="38"/>
        <v>5698180.4711591499</v>
      </c>
      <c r="W129" s="136">
        <f t="shared" si="38"/>
        <v>5698180.4711591499</v>
      </c>
      <c r="X129" s="136">
        <f t="shared" si="38"/>
        <v>0</v>
      </c>
      <c r="Y129" s="108"/>
      <c r="Z129" s="108"/>
    </row>
    <row r="131" spans="2:26" ht="15" customHeight="1" x14ac:dyDescent="0.2">
      <c r="B131" s="107" t="s">
        <v>1223</v>
      </c>
      <c r="C131" s="136">
        <f t="shared" ref="C131:W131" si="39">C116-C129</f>
        <v>0</v>
      </c>
      <c r="D131" s="136">
        <f t="shared" si="39"/>
        <v>0</v>
      </c>
      <c r="E131" s="136">
        <f t="shared" si="39"/>
        <v>0</v>
      </c>
      <c r="F131" s="136">
        <f t="shared" si="39"/>
        <v>2792.2505009636443</v>
      </c>
      <c r="G131" s="136">
        <f t="shared" si="39"/>
        <v>21249.728564633751</v>
      </c>
      <c r="H131" s="136">
        <f t="shared" si="39"/>
        <v>44427.349816010355</v>
      </c>
      <c r="I131" s="136">
        <f t="shared" si="39"/>
        <v>69339.07129878155</v>
      </c>
      <c r="J131" s="136">
        <f t="shared" si="39"/>
        <v>96692.914491103234</v>
      </c>
      <c r="K131" s="136">
        <f t="shared" si="39"/>
        <v>108257.26530098413</v>
      </c>
      <c r="L131" s="136">
        <f t="shared" si="39"/>
        <v>114393.45144500252</v>
      </c>
      <c r="M131" s="136">
        <f t="shared" si="39"/>
        <v>114393.45144500252</v>
      </c>
      <c r="N131" s="136">
        <f t="shared" si="39"/>
        <v>114393.45144500252</v>
      </c>
      <c r="O131" s="136">
        <f t="shared" si="39"/>
        <v>1555983.0185080175</v>
      </c>
      <c r="P131" s="136">
        <f t="shared" si="39"/>
        <v>1938707.915917048</v>
      </c>
      <c r="Q131" s="136">
        <f t="shared" si="39"/>
        <v>2896298.0188974207</v>
      </c>
      <c r="R131" s="136">
        <f t="shared" si="39"/>
        <v>3287015.1663983334</v>
      </c>
      <c r="S131" s="136">
        <f t="shared" si="39"/>
        <v>4536231.8522464735</v>
      </c>
      <c r="T131" s="136">
        <f t="shared" si="39"/>
        <v>5658675.0426380308</v>
      </c>
      <c r="U131" s="136">
        <f t="shared" si="39"/>
        <v>5781768.1730201626</v>
      </c>
      <c r="V131" s="136">
        <f t="shared" si="39"/>
        <v>5781768.1730201626</v>
      </c>
      <c r="W131" s="136">
        <f t="shared" si="39"/>
        <v>5781768.1730201626</v>
      </c>
      <c r="X131" s="108"/>
      <c r="Y131" s="108"/>
      <c r="Z131" s="108"/>
    </row>
    <row r="132" spans="2:26" ht="15" customHeight="1" x14ac:dyDescent="0.2">
      <c r="B132" s="137" t="s">
        <v>1224</v>
      </c>
      <c r="C132" s="138">
        <f t="shared" ref="C132:W132" si="40">IFERROR(C131/C75,0)</f>
        <v>0</v>
      </c>
      <c r="D132" s="138">
        <f t="shared" si="40"/>
        <v>0</v>
      </c>
      <c r="E132" s="138">
        <f t="shared" si="40"/>
        <v>0</v>
      </c>
      <c r="F132" s="138">
        <f t="shared" si="40"/>
        <v>4.5643551342626806E-2</v>
      </c>
      <c r="G132" s="138">
        <f t="shared" si="40"/>
        <v>0.15687176358984231</v>
      </c>
      <c r="H132" s="138">
        <f t="shared" si="40"/>
        <v>0.19935783897231121</v>
      </c>
      <c r="I132" s="138">
        <f t="shared" si="40"/>
        <v>0.21707695928850193</v>
      </c>
      <c r="J132" s="138">
        <f t="shared" si="40"/>
        <v>0.22637630695715727</v>
      </c>
      <c r="K132" s="138">
        <f t="shared" si="40"/>
        <v>0.23572596485639821</v>
      </c>
      <c r="L132" s="138">
        <f t="shared" si="40"/>
        <v>0.24017497357216688</v>
      </c>
      <c r="M132" s="138">
        <f t="shared" si="40"/>
        <v>0.24017497357216688</v>
      </c>
      <c r="N132" s="138">
        <f t="shared" si="40"/>
        <v>0.24017497357216688</v>
      </c>
      <c r="O132" s="138">
        <f t="shared" si="40"/>
        <v>0.24084443174490844</v>
      </c>
      <c r="P132" s="138">
        <f t="shared" si="40"/>
        <v>0.23446006544919382</v>
      </c>
      <c r="Q132" s="138">
        <f t="shared" si="40"/>
        <v>0.24059394910111517</v>
      </c>
      <c r="R132" s="138">
        <f t="shared" si="40"/>
        <v>0.22794603200990055</v>
      </c>
      <c r="S132" s="138">
        <f t="shared" si="40"/>
        <v>0.22891405092807426</v>
      </c>
      <c r="T132" s="138">
        <f t="shared" si="40"/>
        <v>0.22820379757370279</v>
      </c>
      <c r="U132" s="138">
        <f t="shared" si="40"/>
        <v>0.22759182614731713</v>
      </c>
      <c r="V132" s="138">
        <f t="shared" si="40"/>
        <v>0.22759182614731713</v>
      </c>
      <c r="W132" s="138">
        <f t="shared" si="40"/>
        <v>0.22759182614731713</v>
      </c>
    </row>
    <row r="134" spans="2:26" ht="15" customHeight="1" x14ac:dyDescent="0.2">
      <c r="B134" s="107" t="s">
        <v>1225</v>
      </c>
      <c r="C134" s="108"/>
      <c r="D134" s="108"/>
      <c r="E134" s="108"/>
      <c r="F134" s="108"/>
      <c r="G134" s="108"/>
      <c r="H134" s="108"/>
      <c r="I134" s="108"/>
      <c r="J134" s="108"/>
      <c r="K134" s="108"/>
      <c r="L134" s="108"/>
      <c r="M134" s="108"/>
      <c r="N134" s="108"/>
      <c r="O134" s="108"/>
      <c r="P134" s="108"/>
      <c r="Q134" s="108"/>
      <c r="R134" s="108"/>
      <c r="S134" s="108"/>
      <c r="T134" s="108"/>
      <c r="U134" s="108"/>
      <c r="V134" s="108"/>
      <c r="W134" s="108"/>
      <c r="X134" s="108"/>
      <c r="Y134" s="108"/>
      <c r="Z134" s="108"/>
    </row>
    <row r="135" spans="2:26" ht="15" customHeight="1" outlineLevel="1" x14ac:dyDescent="0.2">
      <c r="B135" s="109" t="s">
        <v>1226</v>
      </c>
    </row>
    <row r="136" spans="2:26" ht="15" customHeight="1" outlineLevel="2" x14ac:dyDescent="0.2">
      <c r="B136" s="137" t="s">
        <v>1195</v>
      </c>
      <c r="C136" s="112">
        <f>SUP_OVERHEAD!D38*SUP_CONTROL!$C$11</f>
        <v>0</v>
      </c>
      <c r="D136" s="112">
        <f>SUP_OVERHEAD!E38*SUP_CONTROL!$C$11</f>
        <v>15714.999999999998</v>
      </c>
      <c r="E136" s="112">
        <f>SUP_OVERHEAD!F38*SUP_CONTROL!$C$11</f>
        <v>15714.999999999998</v>
      </c>
      <c r="F136" s="112">
        <f>SUP_OVERHEAD!G38*SUP_CONTROL!$C$11</f>
        <v>15714.999999999998</v>
      </c>
      <c r="G136" s="112">
        <f>SUP_OVERHEAD!H38*SUP_CONTROL!$C$11</f>
        <v>15714.999999999998</v>
      </c>
      <c r="H136" s="112">
        <f>SUP_OVERHEAD!I38*SUP_CONTROL!$C$11</f>
        <v>17828.182747177907</v>
      </c>
      <c r="I136" s="112">
        <f>SUP_OVERHEAD!J38*SUP_CONTROL!$C$11</f>
        <v>25553.728604288335</v>
      </c>
      <c r="J136" s="112">
        <f>SUP_OVERHEAD!K38*SUP_CONTROL!$C$11</f>
        <v>34170.683598757656</v>
      </c>
      <c r="K136" s="112">
        <f>SUP_OVERHEAD!L38*SUP_CONTROL!$C$11</f>
        <v>36740.039347615646</v>
      </c>
      <c r="L136" s="112">
        <f>SUP_OVERHEAD!M38*SUP_CONTROL!$C$11</f>
        <v>38103.370969458665</v>
      </c>
      <c r="M136" s="112">
        <f>SUP_OVERHEAD!N38*SUP_CONTROL!$C$11</f>
        <v>38103.370969458665</v>
      </c>
      <c r="N136" s="112">
        <f>SUP_OVERHEAD!O38*SUP_CONTROL!$C$11</f>
        <v>38103.370969458665</v>
      </c>
      <c r="O136" s="112">
        <f>SUM(SUP_OVERHEAD!P38:AA38)*SUP_CONTROL!$C$11</f>
        <v>400085.39517931611</v>
      </c>
      <c r="P136" s="112">
        <f>SUM(SUP_OVERHEAD!AB38:AM38)*SUP_CONTROL!$C$11</f>
        <v>342930.33872512798</v>
      </c>
      <c r="Q136" s="112">
        <f>SUM(SUP_OVERHEAD!AN38:AY38)*SUP_CONTROL!$C$11</f>
        <v>314352.81049803394</v>
      </c>
      <c r="R136" s="112">
        <f>SUM(SUP_OVERHEAD!AZ38:BK38)*SUP_CONTROL!$C$11</f>
        <v>285775.28227094002</v>
      </c>
      <c r="S136" s="112">
        <f>SUM(SUP_OVERHEAD!BL38:BW38)*SUP_CONTROL!$C$11</f>
        <v>257197.75404384598</v>
      </c>
      <c r="T136" s="112">
        <f>SUM(SUP_OVERHEAD!BX38:CI38)*SUP_CONTROL!$C$11</f>
        <v>228620.22581675198</v>
      </c>
      <c r="U136" s="112">
        <f>SUM(SUP_OVERHEAD!CJ38:CU38)*SUP_CONTROL!$C$11</f>
        <v>228620.22581675198</v>
      </c>
      <c r="V136" s="112">
        <f>SUM(SUP_OVERHEAD!CV38:DG38)*SUP_CONTROL!$C$11</f>
        <v>228620.22581675198</v>
      </c>
      <c r="W136" s="112">
        <f>SUM(SUP_OVERHEAD!DH38:DS38)*SUP_CONTROL!$C$11</f>
        <v>228620.22581675198</v>
      </c>
    </row>
    <row r="137" spans="2:26" ht="15" customHeight="1" outlineLevel="2" x14ac:dyDescent="0.2">
      <c r="B137" s="137" t="s">
        <v>1153</v>
      </c>
      <c r="C137" s="112">
        <f>SUP_OVERHEAD!D39*SUP_CONTROL!$C$12</f>
        <v>0</v>
      </c>
      <c r="D137" s="112">
        <f>SUP_OVERHEAD!E39*SUP_CONTROL!$C$12</f>
        <v>0</v>
      </c>
      <c r="E137" s="112">
        <f>SUP_OVERHEAD!F39*SUP_CONTROL!$C$12</f>
        <v>0</v>
      </c>
      <c r="F137" s="112">
        <f>SUP_OVERHEAD!G39*SUP_CONTROL!$C$12</f>
        <v>0</v>
      </c>
      <c r="G137" s="112">
        <f>SUP_OVERHEAD!H39*SUP_CONTROL!$C$12</f>
        <v>0</v>
      </c>
      <c r="H137" s="112">
        <f>SUP_OVERHEAD!I39*SUP_CONTROL!$C$12</f>
        <v>0</v>
      </c>
      <c r="I137" s="112">
        <f>SUP_OVERHEAD!J39*SUP_CONTROL!$C$12</f>
        <v>0</v>
      </c>
      <c r="J137" s="112">
        <f>SUP_OVERHEAD!K39*SUP_CONTROL!$C$12</f>
        <v>0</v>
      </c>
      <c r="K137" s="112">
        <f>SUP_OVERHEAD!L39*SUP_CONTROL!$C$12</f>
        <v>0</v>
      </c>
      <c r="L137" s="112">
        <f>SUP_OVERHEAD!M39*SUP_CONTROL!$C$12</f>
        <v>0</v>
      </c>
      <c r="M137" s="112">
        <f>SUP_OVERHEAD!N39*SUP_CONTROL!$C$12</f>
        <v>0</v>
      </c>
      <c r="N137" s="112">
        <f>SUP_OVERHEAD!O39*SUP_CONTROL!$C$12</f>
        <v>0</v>
      </c>
      <c r="O137" s="112">
        <f>SUM(SUP_OVERHEAD!P39:AA39)*SUP_CONTROL!$C$12</f>
        <v>0</v>
      </c>
      <c r="P137" s="112">
        <f>SUM(SUP_OVERHEAD!AB39:AM39)*SUP_CONTROL!$C$12</f>
        <v>0</v>
      </c>
      <c r="Q137" s="112">
        <f>SUM(SUP_OVERHEAD!AN39:AY39)*SUP_CONTROL!$C$12</f>
        <v>0</v>
      </c>
      <c r="R137" s="112">
        <f>SUM(SUP_OVERHEAD!AZ39:BK39)*SUP_CONTROL!$C$12</f>
        <v>0</v>
      </c>
      <c r="S137" s="112">
        <f>SUM(SUP_OVERHEAD!BL39:BW39)*SUP_CONTROL!$C$12</f>
        <v>0</v>
      </c>
      <c r="T137" s="112">
        <f>SUM(SUP_OVERHEAD!BX39:CI39)*SUP_CONTROL!$C$12</f>
        <v>0</v>
      </c>
      <c r="U137" s="112">
        <f>SUM(SUP_OVERHEAD!CJ39:CU39)*SUP_CONTROL!$C$12</f>
        <v>0</v>
      </c>
      <c r="V137" s="112">
        <f>SUM(SUP_OVERHEAD!CV39:DG39)*SUP_CONTROL!$C$12</f>
        <v>0</v>
      </c>
      <c r="W137" s="112">
        <f>SUM(SUP_OVERHEAD!DH39:DS39)*SUP_CONTROL!$C$12</f>
        <v>0</v>
      </c>
    </row>
    <row r="138" spans="2:26" ht="15" customHeight="1" outlineLevel="2" x14ac:dyDescent="0.2">
      <c r="B138" s="137" t="s">
        <v>1227</v>
      </c>
      <c r="C138" s="112">
        <f>SUP_OVERHEAD!D40*SUP_CONTROL!$C$13</f>
        <v>0</v>
      </c>
      <c r="D138" s="112">
        <f>SUP_OVERHEAD!E40*SUP_CONTROL!$C$13</f>
        <v>0</v>
      </c>
      <c r="E138" s="112">
        <f>SUP_OVERHEAD!F40*SUP_CONTROL!$C$13</f>
        <v>0</v>
      </c>
      <c r="F138" s="112">
        <f>SUP_OVERHEAD!G40*SUP_CONTROL!$C$13</f>
        <v>0</v>
      </c>
      <c r="G138" s="112">
        <f>SUP_OVERHEAD!H40*SUP_CONTROL!$C$13</f>
        <v>0</v>
      </c>
      <c r="H138" s="112">
        <f>SUP_OVERHEAD!I40*SUP_CONTROL!$C$13</f>
        <v>0</v>
      </c>
      <c r="I138" s="112">
        <f>SUP_OVERHEAD!J40*SUP_CONTROL!$C$13</f>
        <v>0</v>
      </c>
      <c r="J138" s="112">
        <f>SUP_OVERHEAD!K40*SUP_CONTROL!$C$13</f>
        <v>0</v>
      </c>
      <c r="K138" s="112">
        <f>SUP_OVERHEAD!L40*SUP_CONTROL!$C$13</f>
        <v>0</v>
      </c>
      <c r="L138" s="112">
        <f>SUP_OVERHEAD!M40*SUP_CONTROL!$C$13</f>
        <v>0</v>
      </c>
      <c r="M138" s="112">
        <f>SUP_OVERHEAD!N40*SUP_CONTROL!$C$13</f>
        <v>0</v>
      </c>
      <c r="N138" s="112">
        <f>SUP_OVERHEAD!O40*SUP_CONTROL!$C$13</f>
        <v>0</v>
      </c>
      <c r="O138" s="112">
        <f>SUM(SUP_OVERHEAD!P40:AA40)*SUP_CONTROL!$C$13</f>
        <v>52151.804188129492</v>
      </c>
      <c r="P138" s="112">
        <f>SUM(SUP_OVERHEAD!AB40:AM40)*SUP_CONTROL!$C$13</f>
        <v>153198.81969750047</v>
      </c>
      <c r="Q138" s="112">
        <f>SUM(SUP_OVERHEAD!AN40:AY40)*SUP_CONTROL!$C$13</f>
        <v>347743.60395672108</v>
      </c>
      <c r="R138" s="112">
        <f>SUM(SUP_OVERHEAD!AZ40:BK40)*SUP_CONTROL!$C$13</f>
        <v>435232.04069390264</v>
      </c>
      <c r="S138" s="112">
        <f>SUM(SUP_OVERHEAD!BL40:BW40)*SUP_CONTROL!$C$13</f>
        <v>634536.20690567198</v>
      </c>
      <c r="T138" s="112">
        <f>SUM(SUP_OVERHEAD!BX40:CI40)*SUP_CONTROL!$C$13</f>
        <v>763243.20551996003</v>
      </c>
      <c r="U138" s="112">
        <f>SUM(SUP_OVERHEAD!CJ40:CU40)*SUP_CONTROL!$C$13</f>
        <v>787544.24210710113</v>
      </c>
      <c r="V138" s="112">
        <f>SUM(SUP_OVERHEAD!CV40:DG40)*SUP_CONTROL!$C$13</f>
        <v>787544.24210710113</v>
      </c>
      <c r="W138" s="112">
        <f>SUM(SUP_OVERHEAD!DH40:DS40)*SUP_CONTROL!$C$13</f>
        <v>787544.24210710113</v>
      </c>
    </row>
    <row r="139" spans="2:26" ht="15" customHeight="1" outlineLevel="2" x14ac:dyDescent="0.2">
      <c r="B139" s="137" t="s">
        <v>1155</v>
      </c>
      <c r="C139" s="112">
        <f>SUP_OVERHEAD!D41*SUP_CONTROL!$C$14</f>
        <v>0</v>
      </c>
      <c r="D139" s="112">
        <f>SUP_OVERHEAD!E41*SUP_CONTROL!$C$14</f>
        <v>0</v>
      </c>
      <c r="E139" s="112">
        <f>SUP_OVERHEAD!F41*SUP_CONTROL!$C$14</f>
        <v>0</v>
      </c>
      <c r="F139" s="112">
        <f>SUP_OVERHEAD!G41*SUP_CONTROL!$C$14</f>
        <v>0</v>
      </c>
      <c r="G139" s="112">
        <f>SUP_OVERHEAD!H41*SUP_CONTROL!$C$14</f>
        <v>0</v>
      </c>
      <c r="H139" s="112">
        <f>SUP_OVERHEAD!I41*SUP_CONTROL!$C$14</f>
        <v>0</v>
      </c>
      <c r="I139" s="112">
        <f>SUP_OVERHEAD!J41*SUP_CONTROL!$C$14</f>
        <v>0</v>
      </c>
      <c r="J139" s="112">
        <f>SUP_OVERHEAD!K41*SUP_CONTROL!$C$14</f>
        <v>0</v>
      </c>
      <c r="K139" s="112">
        <f>SUP_OVERHEAD!L41*SUP_CONTROL!$C$14</f>
        <v>0</v>
      </c>
      <c r="L139" s="112">
        <f>SUP_OVERHEAD!M41*SUP_CONTROL!$C$14</f>
        <v>0</v>
      </c>
      <c r="M139" s="112">
        <f>SUP_OVERHEAD!N41*SUP_CONTROL!$C$14</f>
        <v>0</v>
      </c>
      <c r="N139" s="112">
        <f>SUP_OVERHEAD!O41*SUP_CONTROL!$C$14</f>
        <v>0</v>
      </c>
      <c r="O139" s="112">
        <f>SUM(SUP_OVERHEAD!P41:AA41)*SUP_CONTROL!$C$14</f>
        <v>0</v>
      </c>
      <c r="P139" s="112">
        <f>SUM(SUP_OVERHEAD!AB41:AM41)*SUP_CONTROL!$C$14</f>
        <v>0</v>
      </c>
      <c r="Q139" s="112">
        <f>SUM(SUP_OVERHEAD!AN41:AY41)*SUP_CONTROL!$C$14</f>
        <v>0</v>
      </c>
      <c r="R139" s="112">
        <f>SUM(SUP_OVERHEAD!AZ41:BK41)*SUP_CONTROL!$C$14</f>
        <v>0</v>
      </c>
      <c r="S139" s="112">
        <f>SUM(SUP_OVERHEAD!BL41:BW41)*SUP_CONTROL!$C$14</f>
        <v>0</v>
      </c>
      <c r="T139" s="112">
        <f>SUM(SUP_OVERHEAD!BX41:CI41)*SUP_CONTROL!$C$14</f>
        <v>0</v>
      </c>
      <c r="U139" s="112">
        <f>SUM(SUP_OVERHEAD!CJ41:CU41)*SUP_CONTROL!$C$14</f>
        <v>0</v>
      </c>
      <c r="V139" s="112">
        <f>SUM(SUP_OVERHEAD!CV41:DG41)*SUP_CONTROL!$C$14</f>
        <v>0</v>
      </c>
      <c r="W139" s="112">
        <f>SUM(SUP_OVERHEAD!DH41:DS41)*SUP_CONTROL!$C$14</f>
        <v>0</v>
      </c>
    </row>
    <row r="140" spans="2:26" ht="15" customHeight="1" outlineLevel="1" x14ac:dyDescent="0.2">
      <c r="B140" s="135" t="s">
        <v>1228</v>
      </c>
      <c r="C140" s="134">
        <f t="shared" ref="C140:W140" si="41">C136+C137+C138+C139</f>
        <v>0</v>
      </c>
      <c r="D140" s="134">
        <f t="shared" si="41"/>
        <v>15714.999999999998</v>
      </c>
      <c r="E140" s="134">
        <f t="shared" si="41"/>
        <v>15714.999999999998</v>
      </c>
      <c r="F140" s="134">
        <f t="shared" si="41"/>
        <v>15714.999999999998</v>
      </c>
      <c r="G140" s="134">
        <f t="shared" si="41"/>
        <v>15714.999999999998</v>
      </c>
      <c r="H140" s="134">
        <f t="shared" si="41"/>
        <v>17828.182747177907</v>
      </c>
      <c r="I140" s="134">
        <f t="shared" si="41"/>
        <v>25553.728604288335</v>
      </c>
      <c r="J140" s="134">
        <f t="shared" si="41"/>
        <v>34170.683598757656</v>
      </c>
      <c r="K140" s="134">
        <f t="shared" si="41"/>
        <v>36740.039347615646</v>
      </c>
      <c r="L140" s="134">
        <f t="shared" si="41"/>
        <v>38103.370969458665</v>
      </c>
      <c r="M140" s="134">
        <f t="shared" si="41"/>
        <v>38103.370969458665</v>
      </c>
      <c r="N140" s="134">
        <f t="shared" si="41"/>
        <v>38103.370969458665</v>
      </c>
      <c r="O140" s="134">
        <f t="shared" si="41"/>
        <v>452237.1993674456</v>
      </c>
      <c r="P140" s="134">
        <f t="shared" si="41"/>
        <v>496129.15842262842</v>
      </c>
      <c r="Q140" s="134">
        <f t="shared" si="41"/>
        <v>662096.41445475502</v>
      </c>
      <c r="R140" s="134">
        <f t="shared" si="41"/>
        <v>721007.32296484266</v>
      </c>
      <c r="S140" s="134">
        <f t="shared" si="41"/>
        <v>891733.96094951802</v>
      </c>
      <c r="T140" s="134">
        <f t="shared" si="41"/>
        <v>991863.43133671198</v>
      </c>
      <c r="U140" s="134">
        <f t="shared" si="41"/>
        <v>1016164.4679238531</v>
      </c>
      <c r="V140" s="134">
        <f t="shared" si="41"/>
        <v>1016164.4679238531</v>
      </c>
      <c r="W140" s="134">
        <f t="shared" si="41"/>
        <v>1016164.4679238531</v>
      </c>
      <c r="X140" s="41"/>
      <c r="Y140" s="41"/>
      <c r="Z140" s="41"/>
    </row>
    <row r="142" spans="2:26" ht="15" customHeight="1" outlineLevel="1" x14ac:dyDescent="0.2">
      <c r="B142" s="109" t="s">
        <v>947</v>
      </c>
    </row>
    <row r="143" spans="2:26" ht="15" customHeight="1" outlineLevel="2" x14ac:dyDescent="0.2">
      <c r="B143" s="137" t="s">
        <v>1195</v>
      </c>
      <c r="C143" s="112">
        <f>CAPA1_PILOTO!D29*SUP_CONTROL!$C$11</f>
        <v>3197.034622222222</v>
      </c>
      <c r="D143" s="112">
        <f>CAPA1_PILOTO!E29*SUP_CONTROL!$C$11</f>
        <v>6769.0692444444439</v>
      </c>
      <c r="E143" s="112">
        <f>CAPA1_PILOTO!F29*SUP_CONTROL!$C$11</f>
        <v>9966.1038666666664</v>
      </c>
      <c r="F143" s="112">
        <f>CAPA1_PILOTO!G29*SUP_CONTROL!$C$11</f>
        <v>11895.003527083334</v>
      </c>
      <c r="G143" s="112">
        <f>CAPA1_PILOTO!H29*SUP_CONTROL!$C$11</f>
        <v>14210.18723125</v>
      </c>
      <c r="H143" s="112">
        <f>CAPA1_PILOTO!I29*SUP_CONTROL!$C$11</f>
        <v>14210.18723125</v>
      </c>
      <c r="I143" s="112">
        <f>CAPA1_PILOTO!J29*SUP_CONTROL!$C$11</f>
        <v>14210.18723125</v>
      </c>
      <c r="J143" s="112">
        <f>CAPA1_PILOTO!K29*SUP_CONTROL!$C$11</f>
        <v>14210.18723125</v>
      </c>
      <c r="K143" s="112">
        <f>CAPA1_PILOTO!L29*SUP_CONTROL!$C$11</f>
        <v>14210.18723125</v>
      </c>
      <c r="L143" s="112">
        <f>CAPA1_PILOTO!M29*SUP_CONTROL!$C$11</f>
        <v>14210.18723125</v>
      </c>
      <c r="M143" s="112">
        <f>CAPA1_PILOTO!N29*SUP_CONTROL!$C$11</f>
        <v>14210.18723125</v>
      </c>
      <c r="N143" s="112">
        <f>CAPA1_PILOTO!O29*SUP_CONTROL!$C$11</f>
        <v>14210.18723125</v>
      </c>
      <c r="O143" s="112">
        <f>SUM(CAPA1_PILOTO!P29:AA29)*SUP_CONTROL!$C$11</f>
        <v>170522.24677500001</v>
      </c>
      <c r="P143" s="112">
        <f>SUM(CAPA1_PILOTO!AB29:AM29)*SUP_CONTROL!$C$11</f>
        <v>170522.24677500001</v>
      </c>
      <c r="Q143" s="112">
        <f>SUM(CAPA1_PILOTO!AN29:AY29)*SUP_CONTROL!$C$11</f>
        <v>170522.24677500001</v>
      </c>
      <c r="R143" s="112">
        <f>SUM(CAPA1_PILOTO!AZ29:BK29)*SUP_CONTROL!$C$11</f>
        <v>170522.24677500001</v>
      </c>
      <c r="S143" s="112">
        <f>SUM(CAPA1_PILOTO!BL29:BW29)*SUP_CONTROL!$C$11</f>
        <v>170522.24677500001</v>
      </c>
      <c r="T143" s="112">
        <f>SUM(CAPA1_PILOTO!BX29:CI29)*SUP_CONTROL!$C$11</f>
        <v>170522.24677500001</v>
      </c>
      <c r="U143" s="112">
        <f>SUM(CAPA1_PILOTO!CJ29:CU29)*SUP_CONTROL!$C$11</f>
        <v>170522.24677500001</v>
      </c>
      <c r="V143" s="112">
        <f>SUM(CAPA1_PILOTO!CV29:DG29)*SUP_CONTROL!$C$11</f>
        <v>170522.24677500001</v>
      </c>
      <c r="W143" s="112">
        <f>SUM(CAPA1_PILOTO!DH29:DS29)*SUP_CONTROL!$C$11</f>
        <v>170522.24677500001</v>
      </c>
    </row>
    <row r="144" spans="2:26" ht="15" customHeight="1" outlineLevel="2" x14ac:dyDescent="0.2">
      <c r="B144" s="137" t="s">
        <v>1153</v>
      </c>
      <c r="C144" s="112">
        <f>CAPA2_FLAGSHIP!D23*SUP_CONTROL!$C$12</f>
        <v>0</v>
      </c>
      <c r="D144" s="112">
        <f>CAPA2_FLAGSHIP!E23*SUP_CONTROL!$C$12</f>
        <v>0</v>
      </c>
      <c r="E144" s="112">
        <f>CAPA2_FLAGSHIP!F23*SUP_CONTROL!$C$12</f>
        <v>0</v>
      </c>
      <c r="F144" s="112">
        <f>CAPA2_FLAGSHIP!G23*SUP_CONTROL!$C$12</f>
        <v>0</v>
      </c>
      <c r="G144" s="112">
        <f>CAPA2_FLAGSHIP!H23*SUP_CONTROL!$C$12</f>
        <v>0</v>
      </c>
      <c r="H144" s="112">
        <f>CAPA2_FLAGSHIP!I23*SUP_CONTROL!$C$12</f>
        <v>0</v>
      </c>
      <c r="I144" s="112">
        <f>CAPA2_FLAGSHIP!J23*SUP_CONTROL!$C$12</f>
        <v>0</v>
      </c>
      <c r="J144" s="112">
        <f>CAPA2_FLAGSHIP!K23*SUP_CONTROL!$C$12</f>
        <v>0</v>
      </c>
      <c r="K144" s="112">
        <f>CAPA2_FLAGSHIP!L23*SUP_CONTROL!$C$12</f>
        <v>0</v>
      </c>
      <c r="L144" s="112">
        <f>CAPA2_FLAGSHIP!M23*SUP_CONTROL!$C$12</f>
        <v>0</v>
      </c>
      <c r="M144" s="112">
        <f>CAPA2_FLAGSHIP!N23*SUP_CONTROL!$C$12</f>
        <v>0</v>
      </c>
      <c r="N144" s="112">
        <f>CAPA2_FLAGSHIP!O23*SUP_CONTROL!$C$12</f>
        <v>0</v>
      </c>
      <c r="O144" s="112">
        <f>SUM(CAPA2_FLAGSHIP!P23:AA23)*SUP_CONTROL!$C$12</f>
        <v>0</v>
      </c>
      <c r="P144" s="112">
        <f>SUM(CAPA2_FLAGSHIP!AB23:AM23)*SUP_CONTROL!$C$12</f>
        <v>0</v>
      </c>
      <c r="Q144" s="112">
        <f>SUM(CAPA2_FLAGSHIP!AN23:AY23)*SUP_CONTROL!$C$12</f>
        <v>0</v>
      </c>
      <c r="R144" s="112">
        <f>SUM(CAPA2_FLAGSHIP!AZ23:BK23)*SUP_CONTROL!$C$12</f>
        <v>0</v>
      </c>
      <c r="S144" s="112">
        <f>SUM(CAPA2_FLAGSHIP!BL23:BW23)*SUP_CONTROL!$C$12</f>
        <v>0</v>
      </c>
      <c r="T144" s="112">
        <f>SUM(CAPA2_FLAGSHIP!BX23:CI23)*SUP_CONTROL!$C$12</f>
        <v>0</v>
      </c>
      <c r="U144" s="112">
        <f>SUM(CAPA2_FLAGSHIP!CJ23:CU23)*SUP_CONTROL!$C$12</f>
        <v>0</v>
      </c>
      <c r="V144" s="112">
        <f>SUM(CAPA2_FLAGSHIP!CV23:DG23)*SUP_CONTROL!$C$12</f>
        <v>0</v>
      </c>
      <c r="W144" s="112">
        <f>SUM(CAPA2_FLAGSHIP!DH23:DS23)*SUP_CONTROL!$C$12</f>
        <v>0</v>
      </c>
    </row>
    <row r="145" spans="2:26" ht="15" customHeight="1" outlineLevel="2" x14ac:dyDescent="0.2">
      <c r="B145" s="137" t="s">
        <v>1227</v>
      </c>
      <c r="C145" s="112">
        <f>CAPA3_EXPANSION!D48*SUP_CONTROL!$C$13</f>
        <v>0</v>
      </c>
      <c r="D145" s="112">
        <f>CAPA3_EXPANSION!E48*SUP_CONTROL!$C$13</f>
        <v>0</v>
      </c>
      <c r="E145" s="112">
        <f>CAPA3_EXPANSION!F48*SUP_CONTROL!$C$13</f>
        <v>0</v>
      </c>
      <c r="F145" s="112">
        <f>CAPA3_EXPANSION!G48*SUP_CONTROL!$C$13</f>
        <v>0</v>
      </c>
      <c r="G145" s="112">
        <f>CAPA3_EXPANSION!H48*SUP_CONTROL!$C$13</f>
        <v>0</v>
      </c>
      <c r="H145" s="112">
        <f>CAPA3_EXPANSION!I48*SUP_CONTROL!$C$13</f>
        <v>0</v>
      </c>
      <c r="I145" s="112">
        <f>CAPA3_EXPANSION!J48*SUP_CONTROL!$C$13</f>
        <v>0</v>
      </c>
      <c r="J145" s="112">
        <f>CAPA3_EXPANSION!K48*SUP_CONTROL!$C$13</f>
        <v>0</v>
      </c>
      <c r="K145" s="112">
        <f>CAPA3_EXPANSION!L48*SUP_CONTROL!$C$13</f>
        <v>0</v>
      </c>
      <c r="L145" s="112">
        <f>CAPA3_EXPANSION!M48*SUP_CONTROL!$C$13</f>
        <v>0</v>
      </c>
      <c r="M145" s="112">
        <f>CAPA3_EXPANSION!N48*SUP_CONTROL!$C$13</f>
        <v>0</v>
      </c>
      <c r="N145" s="112">
        <f>CAPA3_EXPANSION!O48*SUP_CONTROL!$C$13</f>
        <v>0</v>
      </c>
      <c r="O145" s="112">
        <f>SUM(CAPA3_EXPANSION!P48:AA48)*SUP_CONTROL!$C$13</f>
        <v>24452.880366666664</v>
      </c>
      <c r="P145" s="112">
        <f>SUM(CAPA3_EXPANSION!AB48:AM48)*SUP_CONTROL!$C$13</f>
        <v>103316.6417395833</v>
      </c>
      <c r="Q145" s="112">
        <f>SUM(CAPA3_EXPANSION!AN48:AY48)*SUP_CONTROL!$C$13</f>
        <v>186822.1790645833</v>
      </c>
      <c r="R145" s="112">
        <f>SUM(CAPA3_EXPANSION!AZ48:BK48)*SUP_CONTROL!$C$13</f>
        <v>332964.59645833308</v>
      </c>
      <c r="S145" s="112">
        <f>SUM(CAPA3_EXPANSION!BL48:BW48)*SUP_CONTROL!$C$13</f>
        <v>486646.93962708313</v>
      </c>
      <c r="T145" s="112">
        <f>SUM(CAPA3_EXPANSION!BX48:CI48)*SUP_CONTROL!$C$13</f>
        <v>623240.92151666631</v>
      </c>
      <c r="U145" s="112">
        <f>SUM(CAPA3_EXPANSION!CJ48:CU48)*SUP_CONTROL!$C$13</f>
        <v>644678.6414749996</v>
      </c>
      <c r="V145" s="112">
        <f>SUM(CAPA3_EXPANSION!CV48:DG48)*SUP_CONTROL!$C$13</f>
        <v>644678.6414749996</v>
      </c>
      <c r="W145" s="112">
        <f>SUM(CAPA3_EXPANSION!DH48:DS48)*SUP_CONTROL!$C$13</f>
        <v>644678.6414749996</v>
      </c>
    </row>
    <row r="146" spans="2:26" ht="15" customHeight="1" outlineLevel="2" x14ac:dyDescent="0.2">
      <c r="B146" s="137" t="s">
        <v>1155</v>
      </c>
      <c r="C146" s="112">
        <f>CAPA4_RETAIL!D16*SUP_CONTROL!$C$14</f>
        <v>0</v>
      </c>
      <c r="D146" s="112">
        <f>CAPA4_RETAIL!E16*SUP_CONTROL!$C$14</f>
        <v>0</v>
      </c>
      <c r="E146" s="112">
        <f>CAPA4_RETAIL!F16*SUP_CONTROL!$C$14</f>
        <v>0</v>
      </c>
      <c r="F146" s="112">
        <f>CAPA4_RETAIL!G16*SUP_CONTROL!$C$14</f>
        <v>0</v>
      </c>
      <c r="G146" s="112">
        <f>CAPA4_RETAIL!H16*SUP_CONTROL!$C$14</f>
        <v>0</v>
      </c>
      <c r="H146" s="112">
        <f>CAPA4_RETAIL!I16*SUP_CONTROL!$C$14</f>
        <v>0</v>
      </c>
      <c r="I146" s="112">
        <f>CAPA4_RETAIL!J16*SUP_CONTROL!$C$14</f>
        <v>0</v>
      </c>
      <c r="J146" s="112">
        <f>CAPA4_RETAIL!K16*SUP_CONTROL!$C$14</f>
        <v>0</v>
      </c>
      <c r="K146" s="112">
        <f>CAPA4_RETAIL!L16*SUP_CONTROL!$C$14</f>
        <v>0</v>
      </c>
      <c r="L146" s="112">
        <f>CAPA4_RETAIL!M16*SUP_CONTROL!$C$14</f>
        <v>0</v>
      </c>
      <c r="M146" s="112">
        <f>CAPA4_RETAIL!N16*SUP_CONTROL!$C$14</f>
        <v>0</v>
      </c>
      <c r="N146" s="112">
        <f>CAPA4_RETAIL!O16*SUP_CONTROL!$C$14</f>
        <v>0</v>
      </c>
      <c r="O146" s="112">
        <f>SUM(CAPA4_RETAIL!P16:AA16)*SUP_CONTROL!$C$14</f>
        <v>0</v>
      </c>
      <c r="P146" s="112">
        <f>SUM(CAPA4_RETAIL!AB16:AM16)*SUP_CONTROL!$C$14</f>
        <v>0</v>
      </c>
      <c r="Q146" s="112">
        <f>SUM(CAPA4_RETAIL!AN16:AY16)*SUP_CONTROL!$C$14</f>
        <v>0</v>
      </c>
      <c r="R146" s="112">
        <f>SUM(CAPA4_RETAIL!AZ16:BK16)*SUP_CONTROL!$C$14</f>
        <v>0</v>
      </c>
      <c r="S146" s="112">
        <f>SUM(CAPA4_RETAIL!BL16:BW16)*SUP_CONTROL!$C$14</f>
        <v>0</v>
      </c>
      <c r="T146" s="112">
        <f>SUM(CAPA4_RETAIL!BX16:CI16)*SUP_CONTROL!$C$14</f>
        <v>0</v>
      </c>
      <c r="U146" s="112">
        <f>SUM(CAPA4_RETAIL!CJ16:CU16)*SUP_CONTROL!$C$14</f>
        <v>0</v>
      </c>
      <c r="V146" s="112">
        <f>SUM(CAPA4_RETAIL!CV16:DG16)*SUP_CONTROL!$C$14</f>
        <v>0</v>
      </c>
      <c r="W146" s="112">
        <f>SUM(CAPA4_RETAIL!DH16:DS16)*SUP_CONTROL!$C$14</f>
        <v>0</v>
      </c>
    </row>
    <row r="147" spans="2:26" ht="15" customHeight="1" outlineLevel="1" x14ac:dyDescent="0.2">
      <c r="B147" s="135" t="s">
        <v>1229</v>
      </c>
      <c r="C147" s="134">
        <f t="shared" ref="C147:W147" si="42">C143+C144+C145+C146</f>
        <v>3197.034622222222</v>
      </c>
      <c r="D147" s="134">
        <f t="shared" si="42"/>
        <v>6769.0692444444439</v>
      </c>
      <c r="E147" s="134">
        <f t="shared" si="42"/>
        <v>9966.1038666666664</v>
      </c>
      <c r="F147" s="134">
        <f t="shared" si="42"/>
        <v>11895.003527083334</v>
      </c>
      <c r="G147" s="134">
        <f t="shared" si="42"/>
        <v>14210.18723125</v>
      </c>
      <c r="H147" s="134">
        <f t="shared" si="42"/>
        <v>14210.18723125</v>
      </c>
      <c r="I147" s="134">
        <f t="shared" si="42"/>
        <v>14210.18723125</v>
      </c>
      <c r="J147" s="134">
        <f t="shared" si="42"/>
        <v>14210.18723125</v>
      </c>
      <c r="K147" s="134">
        <f t="shared" si="42"/>
        <v>14210.18723125</v>
      </c>
      <c r="L147" s="134">
        <f t="shared" si="42"/>
        <v>14210.18723125</v>
      </c>
      <c r="M147" s="134">
        <f t="shared" si="42"/>
        <v>14210.18723125</v>
      </c>
      <c r="N147" s="134">
        <f t="shared" si="42"/>
        <v>14210.18723125</v>
      </c>
      <c r="O147" s="134">
        <f t="shared" si="42"/>
        <v>194975.12714166666</v>
      </c>
      <c r="P147" s="134">
        <f t="shared" si="42"/>
        <v>273838.88851458329</v>
      </c>
      <c r="Q147" s="134">
        <f t="shared" si="42"/>
        <v>357344.42583958327</v>
      </c>
      <c r="R147" s="134">
        <f t="shared" si="42"/>
        <v>503486.84323333309</v>
      </c>
      <c r="S147" s="134">
        <f t="shared" si="42"/>
        <v>657169.18640208314</v>
      </c>
      <c r="T147" s="134">
        <f t="shared" si="42"/>
        <v>793763.16829166631</v>
      </c>
      <c r="U147" s="134">
        <f t="shared" si="42"/>
        <v>815200.88824999961</v>
      </c>
      <c r="V147" s="134">
        <f t="shared" si="42"/>
        <v>815200.88824999961</v>
      </c>
      <c r="W147" s="134">
        <f t="shared" si="42"/>
        <v>815200.88824999961</v>
      </c>
      <c r="X147" s="41"/>
      <c r="Y147" s="41"/>
      <c r="Z147" s="41"/>
    </row>
    <row r="149" spans="2:26" ht="15" customHeight="1" x14ac:dyDescent="0.2">
      <c r="B149" s="107" t="s">
        <v>1230</v>
      </c>
      <c r="C149" s="136">
        <f t="shared" ref="C149:W149" si="43">C131-C140-C147</f>
        <v>-3197.034622222222</v>
      </c>
      <c r="D149" s="136">
        <f t="shared" si="43"/>
        <v>-22484.069244444443</v>
      </c>
      <c r="E149" s="136">
        <f t="shared" si="43"/>
        <v>-25681.103866666665</v>
      </c>
      <c r="F149" s="136">
        <f t="shared" si="43"/>
        <v>-24817.753026119688</v>
      </c>
      <c r="G149" s="136">
        <f t="shared" si="43"/>
        <v>-8675.4586666162468</v>
      </c>
      <c r="H149" s="136">
        <f t="shared" si="43"/>
        <v>12388.979837582448</v>
      </c>
      <c r="I149" s="136">
        <f t="shared" si="43"/>
        <v>29575.155463243216</v>
      </c>
      <c r="J149" s="136">
        <f t="shared" si="43"/>
        <v>48312.04366109558</v>
      </c>
      <c r="K149" s="136">
        <f t="shared" si="43"/>
        <v>57307.038722118486</v>
      </c>
      <c r="L149" s="136">
        <f t="shared" si="43"/>
        <v>62079.89324429386</v>
      </c>
      <c r="M149" s="136">
        <f t="shared" si="43"/>
        <v>62079.89324429386</v>
      </c>
      <c r="N149" s="136">
        <f t="shared" si="43"/>
        <v>62079.89324429386</v>
      </c>
      <c r="O149" s="136">
        <f t="shared" si="43"/>
        <v>908770.69199890527</v>
      </c>
      <c r="P149" s="136">
        <f t="shared" si="43"/>
        <v>1168739.8689798363</v>
      </c>
      <c r="Q149" s="136">
        <f t="shared" si="43"/>
        <v>1876857.1786030824</v>
      </c>
      <c r="R149" s="136">
        <f t="shared" si="43"/>
        <v>2062521.000200158</v>
      </c>
      <c r="S149" s="136">
        <f t="shared" si="43"/>
        <v>2987328.7048948724</v>
      </c>
      <c r="T149" s="136">
        <f t="shared" si="43"/>
        <v>3873048.4430096522</v>
      </c>
      <c r="U149" s="136">
        <f t="shared" si="43"/>
        <v>3950402.8168463102</v>
      </c>
      <c r="V149" s="136">
        <f t="shared" si="43"/>
        <v>3950402.8168463102</v>
      </c>
      <c r="W149" s="136">
        <f t="shared" si="43"/>
        <v>3950402.8168463102</v>
      </c>
      <c r="X149" s="108"/>
      <c r="Y149" s="108"/>
      <c r="Z149" s="108"/>
    </row>
    <row r="150" spans="2:26" ht="15" customHeight="1" x14ac:dyDescent="0.2">
      <c r="B150" s="137" t="s">
        <v>1231</v>
      </c>
      <c r="C150" s="138">
        <f t="shared" ref="C150:W150" si="44">IFERROR(C149/C75,0)</f>
        <v>0</v>
      </c>
      <c r="D150" s="138">
        <f t="shared" si="44"/>
        <v>0</v>
      </c>
      <c r="E150" s="138">
        <f t="shared" si="44"/>
        <v>0</v>
      </c>
      <c r="F150" s="138">
        <f t="shared" si="44"/>
        <v>-0.40568365340623663</v>
      </c>
      <c r="G150" s="138">
        <f t="shared" si="44"/>
        <v>-6.4044794588477547E-2</v>
      </c>
      <c r="H150" s="138">
        <f t="shared" si="44"/>
        <v>5.5592788174862316E-2</v>
      </c>
      <c r="I150" s="138">
        <f t="shared" si="44"/>
        <v>9.2589714546095728E-2</v>
      </c>
      <c r="J150" s="138">
        <f t="shared" si="44"/>
        <v>0.11310758480196653</v>
      </c>
      <c r="K150" s="138">
        <f t="shared" si="44"/>
        <v>0.12478383744755051</v>
      </c>
      <c r="L150" s="138">
        <f t="shared" si="44"/>
        <v>0.13033994980455318</v>
      </c>
      <c r="M150" s="138">
        <f t="shared" si="44"/>
        <v>0.13033994980455318</v>
      </c>
      <c r="N150" s="138">
        <f t="shared" si="44"/>
        <v>0.13033994980455318</v>
      </c>
      <c r="O150" s="138">
        <f t="shared" si="44"/>
        <v>0.14066500617132266</v>
      </c>
      <c r="P150" s="138">
        <f t="shared" si="44"/>
        <v>0.14134301713235453</v>
      </c>
      <c r="Q150" s="138">
        <f t="shared" si="44"/>
        <v>0.15590953608800079</v>
      </c>
      <c r="R150" s="138">
        <f t="shared" si="44"/>
        <v>0.14303051678580039</v>
      </c>
      <c r="S150" s="138">
        <f t="shared" si="44"/>
        <v>0.1507510060255286</v>
      </c>
      <c r="T150" s="138">
        <f t="shared" si="44"/>
        <v>0.15619281125386517</v>
      </c>
      <c r="U150" s="138">
        <f t="shared" si="44"/>
        <v>0.1555024975402835</v>
      </c>
      <c r="V150" s="138">
        <f t="shared" si="44"/>
        <v>0.1555024975402835</v>
      </c>
      <c r="W150" s="138">
        <f t="shared" si="44"/>
        <v>0.1555024975402835</v>
      </c>
    </row>
    <row r="152" spans="2:26" ht="15" customHeight="1" outlineLevel="1" x14ac:dyDescent="0.2">
      <c r="B152" s="109" t="s">
        <v>1232</v>
      </c>
    </row>
    <row r="153" spans="2:26" ht="15" customHeight="1" outlineLevel="2" x14ac:dyDescent="0.2">
      <c r="B153" s="137" t="s">
        <v>1195</v>
      </c>
      <c r="C153" s="112">
        <f>CAPA1_PILOTO!D31*SUP_CONTROL!$C$11</f>
        <v>0</v>
      </c>
      <c r="D153" s="112">
        <f>CAPA1_PILOTO!E31*SUP_CONTROL!$C$11</f>
        <v>0</v>
      </c>
      <c r="E153" s="112">
        <f>CAPA1_PILOTO!F31*SUP_CONTROL!$C$11</f>
        <v>0</v>
      </c>
      <c r="F153" s="112">
        <f>CAPA1_PILOTO!G31*SUP_CONTROL!$C$11</f>
        <v>0</v>
      </c>
      <c r="G153" s="112">
        <f>CAPA1_PILOTO!H31*SUP_CONTROL!$C$11</f>
        <v>0</v>
      </c>
      <c r="H153" s="112">
        <f>CAPA1_PILOTO!I31*SUP_CONTROL!$C$11</f>
        <v>4212.2531447780293</v>
      </c>
      <c r="I153" s="112">
        <f>CAPA1_PILOTO!J31*SUP_CONTROL!$C$11</f>
        <v>10055.552857502682</v>
      </c>
      <c r="J153" s="112">
        <f>CAPA1_PILOTO!K31*SUP_CONTROL!$C$11</f>
        <v>16426.094844772484</v>
      </c>
      <c r="K153" s="112">
        <f>CAPA1_PILOTO!L31*SUP_CONTROL!$C$11</f>
        <v>19484.393165520261</v>
      </c>
      <c r="L153" s="112">
        <f>CAPA1_PILOTO!M31*SUP_CONTROL!$C$11</f>
        <v>21107.163703059912</v>
      </c>
      <c r="M153" s="112">
        <f>CAPA1_PILOTO!N31*SUP_CONTROL!$C$11</f>
        <v>21107.163703059912</v>
      </c>
      <c r="N153" s="112">
        <f>CAPA1_PILOTO!O31*SUP_CONTROL!$C$11</f>
        <v>21107.163703059912</v>
      </c>
      <c r="O153" s="112">
        <f>SUM(CAPA1_PILOTO!P31:AA31)*SUP_CONTROL!$C$11</f>
        <v>275874.92351179698</v>
      </c>
      <c r="P153" s="112">
        <f>SUM(CAPA1_PILOTO!AB31:AM31)*SUP_CONTROL!$C$11</f>
        <v>290284.36835488823</v>
      </c>
      <c r="Q153" s="112">
        <f>SUM(CAPA1_PILOTO!AN31:AY31)*SUP_CONTROL!$C$11</f>
        <v>314262.07696398848</v>
      </c>
      <c r="R153" s="112">
        <f>SUM(CAPA1_PILOTO!AZ31:BK31)*SUP_CONTROL!$C$11</f>
        <v>317071.59074940777</v>
      </c>
      <c r="S153" s="112">
        <f>SUM(CAPA1_PILOTO!BL31:BW31)*SUP_CONTROL!$C$11</f>
        <v>341588.74507409014</v>
      </c>
      <c r="T153" s="112">
        <f>SUM(CAPA1_PILOTO!BX31:CI31)*SUP_CONTROL!$C$11</f>
        <v>355524.47548709362</v>
      </c>
      <c r="U153" s="112">
        <f>SUM(CAPA1_PILOTO!CJ31:CU31)*SUP_CONTROL!$C$11</f>
        <v>354388.09157633252</v>
      </c>
      <c r="V153" s="112">
        <f>SUM(CAPA1_PILOTO!CV31:DG31)*SUP_CONTROL!$C$11</f>
        <v>354388.09157633252</v>
      </c>
      <c r="W153" s="112">
        <f>SUM(CAPA1_PILOTO!DH31:DS31)*SUP_CONTROL!$C$11</f>
        <v>354388.09157633252</v>
      </c>
    </row>
    <row r="154" spans="2:26" ht="15" customHeight="1" outlineLevel="2" x14ac:dyDescent="0.2">
      <c r="B154" s="137" t="s">
        <v>1153</v>
      </c>
      <c r="C154" s="112">
        <f>CAPA2_FLAGSHIP!D25*SUP_CONTROL!$C$12</f>
        <v>0</v>
      </c>
      <c r="D154" s="112">
        <f>CAPA2_FLAGSHIP!E25*SUP_CONTROL!$C$12</f>
        <v>0</v>
      </c>
      <c r="E154" s="112">
        <f>CAPA2_FLAGSHIP!F25*SUP_CONTROL!$C$12</f>
        <v>0</v>
      </c>
      <c r="F154" s="112">
        <f>CAPA2_FLAGSHIP!G25*SUP_CONTROL!$C$12</f>
        <v>0</v>
      </c>
      <c r="G154" s="112">
        <f>CAPA2_FLAGSHIP!H25*SUP_CONTROL!$C$12</f>
        <v>0</v>
      </c>
      <c r="H154" s="112">
        <f>CAPA2_FLAGSHIP!I25*SUP_CONTROL!$C$12</f>
        <v>0</v>
      </c>
      <c r="I154" s="112">
        <f>CAPA2_FLAGSHIP!J25*SUP_CONTROL!$C$12</f>
        <v>0</v>
      </c>
      <c r="J154" s="112">
        <f>CAPA2_FLAGSHIP!K25*SUP_CONTROL!$C$12</f>
        <v>0</v>
      </c>
      <c r="K154" s="112">
        <f>CAPA2_FLAGSHIP!L25*SUP_CONTROL!$C$12</f>
        <v>0</v>
      </c>
      <c r="L154" s="112">
        <f>CAPA2_FLAGSHIP!M25*SUP_CONTROL!$C$12</f>
        <v>0</v>
      </c>
      <c r="M154" s="112">
        <f>CAPA2_FLAGSHIP!N25*SUP_CONTROL!$C$12</f>
        <v>0</v>
      </c>
      <c r="N154" s="112">
        <f>CAPA2_FLAGSHIP!O25*SUP_CONTROL!$C$12</f>
        <v>0</v>
      </c>
      <c r="O154" s="112">
        <f>SUM(CAPA2_FLAGSHIP!P25:AA25)*SUP_CONTROL!$C$12</f>
        <v>0</v>
      </c>
      <c r="P154" s="112">
        <f>SUM(CAPA2_FLAGSHIP!AB25:AM25)*SUP_CONTROL!$C$12</f>
        <v>0</v>
      </c>
      <c r="Q154" s="112">
        <f>SUM(CAPA2_FLAGSHIP!AN25:AY25)*SUP_CONTROL!$C$12</f>
        <v>0</v>
      </c>
      <c r="R154" s="112">
        <f>SUM(CAPA2_FLAGSHIP!AZ25:BK25)*SUP_CONTROL!$C$12</f>
        <v>0</v>
      </c>
      <c r="S154" s="112">
        <f>SUM(CAPA2_FLAGSHIP!BL25:BW25)*SUP_CONTROL!$C$12</f>
        <v>0</v>
      </c>
      <c r="T154" s="112">
        <f>SUM(CAPA2_FLAGSHIP!BX25:CI25)*SUP_CONTROL!$C$12</f>
        <v>0</v>
      </c>
      <c r="U154" s="112">
        <f>SUM(CAPA2_FLAGSHIP!CJ25:CU25)*SUP_CONTROL!$C$12</f>
        <v>0</v>
      </c>
      <c r="V154" s="112">
        <f>SUM(CAPA2_FLAGSHIP!CV25:DG25)*SUP_CONTROL!$C$12</f>
        <v>0</v>
      </c>
      <c r="W154" s="112">
        <f>SUM(CAPA2_FLAGSHIP!DH25:DS25)*SUP_CONTROL!$C$12</f>
        <v>0</v>
      </c>
    </row>
    <row r="155" spans="2:26" ht="15" customHeight="1" outlineLevel="2" x14ac:dyDescent="0.2">
      <c r="B155" s="137" t="s">
        <v>1227</v>
      </c>
      <c r="C155" s="112">
        <f>CAPA3_EXPANSION!D50*SUP_CONTROL!$C$13</f>
        <v>0</v>
      </c>
      <c r="D155" s="112">
        <f>CAPA3_EXPANSION!E50*SUP_CONTROL!$C$13</f>
        <v>0</v>
      </c>
      <c r="E155" s="112">
        <f>CAPA3_EXPANSION!F50*SUP_CONTROL!$C$13</f>
        <v>0</v>
      </c>
      <c r="F155" s="112">
        <f>CAPA3_EXPANSION!G50*SUP_CONTROL!$C$13</f>
        <v>0</v>
      </c>
      <c r="G155" s="112">
        <f>CAPA3_EXPANSION!H50*SUP_CONTROL!$C$13</f>
        <v>0</v>
      </c>
      <c r="H155" s="112">
        <f>CAPA3_EXPANSION!I50*SUP_CONTROL!$C$13</f>
        <v>0</v>
      </c>
      <c r="I155" s="112">
        <f>CAPA3_EXPANSION!J50*SUP_CONTROL!$C$13</f>
        <v>0</v>
      </c>
      <c r="J155" s="112">
        <f>CAPA3_EXPANSION!K50*SUP_CONTROL!$C$13</f>
        <v>0</v>
      </c>
      <c r="K155" s="112">
        <f>CAPA3_EXPANSION!L50*SUP_CONTROL!$C$13</f>
        <v>0</v>
      </c>
      <c r="L155" s="112">
        <f>CAPA3_EXPANSION!M50*SUP_CONTROL!$C$13</f>
        <v>0</v>
      </c>
      <c r="M155" s="112">
        <f>CAPA3_EXPANSION!N50*SUP_CONTROL!$C$13</f>
        <v>0</v>
      </c>
      <c r="N155" s="112">
        <f>CAPA3_EXPANSION!O50*SUP_CONTROL!$C$13</f>
        <v>0</v>
      </c>
      <c r="O155" s="112">
        <f>SUM(CAPA3_EXPANSION!P50:AA50)*SUP_CONTROL!$C$13</f>
        <v>34156.090387163531</v>
      </c>
      <c r="P155" s="112">
        <f>SUM(CAPA3_EXPANSION!AB50:AM50)*SUP_CONTROL!$C$13</f>
        <v>107087.18709825563</v>
      </c>
      <c r="Q155" s="112">
        <f>SUM(CAPA3_EXPANSION!AN50:AY50)*SUP_CONTROL!$C$13</f>
        <v>323869.36376105936</v>
      </c>
      <c r="R155" s="112">
        <f>SUM(CAPA3_EXPANSION!AZ50:BK50)*SUP_CONTROL!$C$13</f>
        <v>384185.54931864556</v>
      </c>
      <c r="S155" s="112">
        <f>SUM(CAPA3_EXPANSION!BL50:BW50)*SUP_CONTROL!$C$13</f>
        <v>674103.01459016663</v>
      </c>
      <c r="T155" s="112">
        <f>SUM(CAPA3_EXPANSION!BX50:CI50)*SUP_CONTROL!$C$13</f>
        <v>961311.99513618776</v>
      </c>
      <c r="U155" s="112">
        <f>SUM(CAPA3_EXPANSION!CJ50:CU50)*SUP_CONTROL!$C$13</f>
        <v>988748.86615141248</v>
      </c>
      <c r="V155" s="112">
        <f>SUM(CAPA3_EXPANSION!CV50:DG50)*SUP_CONTROL!$C$13</f>
        <v>988748.86615141248</v>
      </c>
      <c r="W155" s="112">
        <f>SUM(CAPA3_EXPANSION!DH50:DS50)*SUP_CONTROL!$C$13</f>
        <v>988748.86615141248</v>
      </c>
    </row>
    <row r="156" spans="2:26" ht="15" customHeight="1" outlineLevel="2" x14ac:dyDescent="0.2">
      <c r="B156" s="137" t="s">
        <v>1155</v>
      </c>
      <c r="C156" s="112">
        <f>CAPA4_RETAIL!D18*SUP_CONTROL!$C$14</f>
        <v>0</v>
      </c>
      <c r="D156" s="112">
        <f>CAPA4_RETAIL!E18*SUP_CONTROL!$C$14</f>
        <v>0</v>
      </c>
      <c r="E156" s="112">
        <f>CAPA4_RETAIL!F18*SUP_CONTROL!$C$14</f>
        <v>0</v>
      </c>
      <c r="F156" s="112">
        <f>CAPA4_RETAIL!G18*SUP_CONTROL!$C$14</f>
        <v>0</v>
      </c>
      <c r="G156" s="112">
        <f>CAPA4_RETAIL!H18*SUP_CONTROL!$C$14</f>
        <v>0</v>
      </c>
      <c r="H156" s="112">
        <f>CAPA4_RETAIL!I18*SUP_CONTROL!$C$14</f>
        <v>0</v>
      </c>
      <c r="I156" s="112">
        <f>CAPA4_RETAIL!J18*SUP_CONTROL!$C$14</f>
        <v>0</v>
      </c>
      <c r="J156" s="112">
        <f>CAPA4_RETAIL!K18*SUP_CONTROL!$C$14</f>
        <v>0</v>
      </c>
      <c r="K156" s="112">
        <f>CAPA4_RETAIL!L18*SUP_CONTROL!$C$14</f>
        <v>0</v>
      </c>
      <c r="L156" s="112">
        <f>CAPA4_RETAIL!M18*SUP_CONTROL!$C$14</f>
        <v>0</v>
      </c>
      <c r="M156" s="112">
        <f>CAPA4_RETAIL!N18*SUP_CONTROL!$C$14</f>
        <v>0</v>
      </c>
      <c r="N156" s="112">
        <f>CAPA4_RETAIL!O18*SUP_CONTROL!$C$14</f>
        <v>0</v>
      </c>
      <c r="O156" s="112">
        <f>SUM(CAPA4_RETAIL!P18:AA18)*SUP_CONTROL!$C$14</f>
        <v>0</v>
      </c>
      <c r="P156" s="112">
        <f>SUM(CAPA4_RETAIL!AB18:AM18)*SUP_CONTROL!$C$14</f>
        <v>0</v>
      </c>
      <c r="Q156" s="112">
        <f>SUM(CAPA4_RETAIL!AN18:AY18)*SUP_CONTROL!$C$14</f>
        <v>0</v>
      </c>
      <c r="R156" s="112">
        <f>SUM(CAPA4_RETAIL!AZ18:BK18)*SUP_CONTROL!$C$14</f>
        <v>0</v>
      </c>
      <c r="S156" s="112">
        <f>SUM(CAPA4_RETAIL!BL18:BW18)*SUP_CONTROL!$C$14</f>
        <v>0</v>
      </c>
      <c r="T156" s="112">
        <f>SUM(CAPA4_RETAIL!BX18:CI18)*SUP_CONTROL!$C$14</f>
        <v>0</v>
      </c>
      <c r="U156" s="112">
        <f>SUM(CAPA4_RETAIL!CJ18:CU18)*SUP_CONTROL!$C$14</f>
        <v>0</v>
      </c>
      <c r="V156" s="112">
        <f>SUM(CAPA4_RETAIL!CV18:DG18)*SUP_CONTROL!$C$14</f>
        <v>0</v>
      </c>
      <c r="W156" s="112">
        <f>SUM(CAPA4_RETAIL!DH18:DS18)*SUP_CONTROL!$C$14</f>
        <v>0</v>
      </c>
    </row>
    <row r="157" spans="2:26" ht="15" customHeight="1" outlineLevel="1" x14ac:dyDescent="0.2">
      <c r="B157" s="135" t="s">
        <v>1233</v>
      </c>
      <c r="C157" s="134">
        <f t="shared" ref="C157:W157" si="45">C153+C154+C155+C156</f>
        <v>0</v>
      </c>
      <c r="D157" s="134">
        <f t="shared" si="45"/>
        <v>0</v>
      </c>
      <c r="E157" s="134">
        <f t="shared" si="45"/>
        <v>0</v>
      </c>
      <c r="F157" s="134">
        <f t="shared" si="45"/>
        <v>0</v>
      </c>
      <c r="G157" s="134">
        <f t="shared" si="45"/>
        <v>0</v>
      </c>
      <c r="H157" s="134">
        <f t="shared" si="45"/>
        <v>4212.2531447780293</v>
      </c>
      <c r="I157" s="134">
        <f t="shared" si="45"/>
        <v>10055.552857502682</v>
      </c>
      <c r="J157" s="134">
        <f t="shared" si="45"/>
        <v>16426.094844772484</v>
      </c>
      <c r="K157" s="134">
        <f t="shared" si="45"/>
        <v>19484.393165520261</v>
      </c>
      <c r="L157" s="134">
        <f t="shared" si="45"/>
        <v>21107.163703059912</v>
      </c>
      <c r="M157" s="134">
        <f t="shared" si="45"/>
        <v>21107.163703059912</v>
      </c>
      <c r="N157" s="134">
        <f t="shared" si="45"/>
        <v>21107.163703059912</v>
      </c>
      <c r="O157" s="134">
        <f t="shared" si="45"/>
        <v>310031.01389896049</v>
      </c>
      <c r="P157" s="134">
        <f t="shared" si="45"/>
        <v>397371.55545314384</v>
      </c>
      <c r="Q157" s="134">
        <f t="shared" si="45"/>
        <v>638131.44072504784</v>
      </c>
      <c r="R157" s="134">
        <f t="shared" si="45"/>
        <v>701257.14006805327</v>
      </c>
      <c r="S157" s="134">
        <f t="shared" si="45"/>
        <v>1015691.7596642568</v>
      </c>
      <c r="T157" s="134">
        <f t="shared" si="45"/>
        <v>1316836.4706232813</v>
      </c>
      <c r="U157" s="134">
        <f t="shared" si="45"/>
        <v>1343136.9577277449</v>
      </c>
      <c r="V157" s="134">
        <f t="shared" si="45"/>
        <v>1343136.9577277449</v>
      </c>
      <c r="W157" s="134">
        <f t="shared" si="45"/>
        <v>1343136.9577277449</v>
      </c>
      <c r="X157" s="41"/>
      <c r="Y157" s="41"/>
      <c r="Z157" s="41"/>
    </row>
    <row r="159" spans="2:26" ht="15" customHeight="1" x14ac:dyDescent="0.2">
      <c r="B159" s="107" t="s">
        <v>1234</v>
      </c>
      <c r="C159" s="136">
        <f t="shared" ref="C159:W159" si="46">C140+C147+C157</f>
        <v>3197.034622222222</v>
      </c>
      <c r="D159" s="136">
        <f t="shared" si="46"/>
        <v>22484.069244444443</v>
      </c>
      <c r="E159" s="136">
        <f t="shared" si="46"/>
        <v>25681.103866666665</v>
      </c>
      <c r="F159" s="136">
        <f t="shared" si="46"/>
        <v>27610.003527083332</v>
      </c>
      <c r="G159" s="136">
        <f t="shared" si="46"/>
        <v>29925.187231249998</v>
      </c>
      <c r="H159" s="136">
        <f t="shared" si="46"/>
        <v>36250.623123205936</v>
      </c>
      <c r="I159" s="136">
        <f t="shared" si="46"/>
        <v>49819.468693041017</v>
      </c>
      <c r="J159" s="136">
        <f t="shared" si="46"/>
        <v>64806.965674780135</v>
      </c>
      <c r="K159" s="136">
        <f t="shared" si="46"/>
        <v>70434.619744385913</v>
      </c>
      <c r="L159" s="136">
        <f t="shared" si="46"/>
        <v>73420.721903768572</v>
      </c>
      <c r="M159" s="136">
        <f t="shared" si="46"/>
        <v>73420.721903768572</v>
      </c>
      <c r="N159" s="136">
        <f t="shared" si="46"/>
        <v>73420.721903768572</v>
      </c>
      <c r="O159" s="136">
        <f t="shared" si="46"/>
        <v>957243.34040807281</v>
      </c>
      <c r="P159" s="136">
        <f t="shared" si="46"/>
        <v>1167339.6023903554</v>
      </c>
      <c r="Q159" s="136">
        <f t="shared" si="46"/>
        <v>1657572.2810193861</v>
      </c>
      <c r="R159" s="136">
        <f t="shared" si="46"/>
        <v>1925751.3062662291</v>
      </c>
      <c r="S159" s="136">
        <f t="shared" si="46"/>
        <v>2564594.9070158582</v>
      </c>
      <c r="T159" s="136">
        <f t="shared" si="46"/>
        <v>3102463.0702516595</v>
      </c>
      <c r="U159" s="136">
        <f t="shared" si="46"/>
        <v>3174502.3139015976</v>
      </c>
      <c r="V159" s="136">
        <f t="shared" si="46"/>
        <v>3174502.3139015976</v>
      </c>
      <c r="W159" s="136">
        <f t="shared" si="46"/>
        <v>3174502.3139015976</v>
      </c>
      <c r="X159" s="108"/>
      <c r="Y159" s="108"/>
      <c r="Z159" s="108"/>
    </row>
    <row r="162" spans="2:26" ht="15" customHeight="1" x14ac:dyDescent="0.2">
      <c r="B162" s="139" t="s">
        <v>1235</v>
      </c>
      <c r="C162" s="140">
        <f t="shared" ref="C162:W162" si="47">C149-C157</f>
        <v>-3197.034622222222</v>
      </c>
      <c r="D162" s="140">
        <f t="shared" si="47"/>
        <v>-22484.069244444443</v>
      </c>
      <c r="E162" s="140">
        <f t="shared" si="47"/>
        <v>-25681.103866666665</v>
      </c>
      <c r="F162" s="140">
        <f t="shared" si="47"/>
        <v>-24817.753026119688</v>
      </c>
      <c r="G162" s="140">
        <f t="shared" si="47"/>
        <v>-8675.4586666162468</v>
      </c>
      <c r="H162" s="140">
        <f t="shared" si="47"/>
        <v>8176.7266928044191</v>
      </c>
      <c r="I162" s="140">
        <f t="shared" si="47"/>
        <v>19519.602605740532</v>
      </c>
      <c r="J162" s="140">
        <f t="shared" si="47"/>
        <v>31885.948816323096</v>
      </c>
      <c r="K162" s="140">
        <f t="shared" si="47"/>
        <v>37822.645556598225</v>
      </c>
      <c r="L162" s="140">
        <f t="shared" si="47"/>
        <v>40972.729541233944</v>
      </c>
      <c r="M162" s="140">
        <f t="shared" si="47"/>
        <v>40972.729541233944</v>
      </c>
      <c r="N162" s="140">
        <f t="shared" si="47"/>
        <v>40972.729541233944</v>
      </c>
      <c r="O162" s="140">
        <f t="shared" si="47"/>
        <v>598739.67809994472</v>
      </c>
      <c r="P162" s="140">
        <f t="shared" si="47"/>
        <v>771368.31352669257</v>
      </c>
      <c r="Q162" s="140">
        <f t="shared" si="47"/>
        <v>1238725.7378780346</v>
      </c>
      <c r="R162" s="140">
        <f t="shared" si="47"/>
        <v>1361263.8601321047</v>
      </c>
      <c r="S162" s="140">
        <f t="shared" si="47"/>
        <v>1971636.9452306156</v>
      </c>
      <c r="T162" s="140">
        <f t="shared" si="47"/>
        <v>2556211.9723863709</v>
      </c>
      <c r="U162" s="140">
        <f t="shared" si="47"/>
        <v>2607265.859118565</v>
      </c>
      <c r="V162" s="140">
        <f t="shared" si="47"/>
        <v>2607265.859118565</v>
      </c>
      <c r="W162" s="140">
        <f t="shared" si="47"/>
        <v>2607265.859118565</v>
      </c>
      <c r="X162" s="11"/>
      <c r="Y162" s="11"/>
      <c r="Z162" s="11"/>
    </row>
    <row r="163" spans="2:26" ht="15" customHeight="1" x14ac:dyDescent="0.2">
      <c r="B163" s="141" t="s">
        <v>1236</v>
      </c>
      <c r="C163" s="142">
        <f t="shared" ref="C163:W163" si="48">IFERROR(C162/C75,0)</f>
        <v>0</v>
      </c>
      <c r="D163" s="142">
        <f t="shared" si="48"/>
        <v>0</v>
      </c>
      <c r="E163" s="142">
        <f t="shared" si="48"/>
        <v>0</v>
      </c>
      <c r="F163" s="142">
        <f t="shared" si="48"/>
        <v>-0.40568365340623663</v>
      </c>
      <c r="G163" s="142">
        <f t="shared" si="48"/>
        <v>-6.4044794588477547E-2</v>
      </c>
      <c r="H163" s="142">
        <f t="shared" si="48"/>
        <v>3.6691240195409147E-2</v>
      </c>
      <c r="I163" s="142">
        <f t="shared" si="48"/>
        <v>6.1109211600423215E-2</v>
      </c>
      <c r="J163" s="142">
        <f t="shared" si="48"/>
        <v>7.465100596929794E-2</v>
      </c>
      <c r="K163" s="142">
        <f t="shared" si="48"/>
        <v>8.2357332715383397E-2</v>
      </c>
      <c r="L163" s="142">
        <f t="shared" si="48"/>
        <v>8.6024366871005092E-2</v>
      </c>
      <c r="M163" s="142">
        <f t="shared" si="48"/>
        <v>8.6024366871005092E-2</v>
      </c>
      <c r="N163" s="142">
        <f t="shared" si="48"/>
        <v>8.6024366871005092E-2</v>
      </c>
      <c r="O163" s="142">
        <f t="shared" si="48"/>
        <v>9.2676536838674731E-2</v>
      </c>
      <c r="P163" s="142">
        <f t="shared" si="48"/>
        <v>9.3286391307354055E-2</v>
      </c>
      <c r="Q163" s="142">
        <f t="shared" si="48"/>
        <v>0.10290029381808054</v>
      </c>
      <c r="R163" s="142">
        <f t="shared" si="48"/>
        <v>9.4400141078628291E-2</v>
      </c>
      <c r="S163" s="142">
        <f t="shared" si="48"/>
        <v>9.9495663976848878E-2</v>
      </c>
      <c r="T163" s="142">
        <f t="shared" si="48"/>
        <v>0.10308725542755104</v>
      </c>
      <c r="U163" s="142">
        <f t="shared" si="48"/>
        <v>0.10263164837658711</v>
      </c>
      <c r="V163" s="142">
        <f t="shared" si="48"/>
        <v>0.10263164837658711</v>
      </c>
      <c r="W163" s="142">
        <f t="shared" si="48"/>
        <v>0.10263164837658711</v>
      </c>
      <c r="X163" s="11"/>
      <c r="Y163" s="11"/>
      <c r="Z163" s="11"/>
    </row>
    <row r="165" spans="2:26" ht="42" customHeight="1" x14ac:dyDescent="0.2">
      <c r="B165" s="3" t="s">
        <v>1237</v>
      </c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8" spans="2:26" ht="15" customHeight="1" x14ac:dyDescent="0.2">
      <c r="B168" s="139" t="s">
        <v>1238</v>
      </c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2:26" ht="15" customHeight="1" x14ac:dyDescent="0.2">
      <c r="B169" s="3" t="s">
        <v>1239</v>
      </c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1" spans="2:26" ht="15" customHeight="1" x14ac:dyDescent="0.2">
      <c r="B171" s="109" t="s">
        <v>1240</v>
      </c>
      <c r="C171" s="114">
        <f t="shared" ref="C171:W171" si="49">C75</f>
        <v>0</v>
      </c>
      <c r="D171" s="114">
        <f t="shared" si="49"/>
        <v>0</v>
      </c>
      <c r="E171" s="114">
        <f t="shared" si="49"/>
        <v>0</v>
      </c>
      <c r="F171" s="114">
        <f t="shared" si="49"/>
        <v>61175.136877571218</v>
      </c>
      <c r="G171" s="114">
        <f t="shared" si="49"/>
        <v>135459.23165747913</v>
      </c>
      <c r="H171" s="114">
        <f t="shared" si="49"/>
        <v>222852.28433972373</v>
      </c>
      <c r="I171" s="114">
        <f t="shared" si="49"/>
        <v>319421.60755360406</v>
      </c>
      <c r="J171" s="114">
        <f t="shared" si="49"/>
        <v>427133.54498447047</v>
      </c>
      <c r="K171" s="114">
        <f t="shared" si="49"/>
        <v>459250.49184519541</v>
      </c>
      <c r="L171" s="114">
        <f t="shared" si="49"/>
        <v>476292.13711823308</v>
      </c>
      <c r="M171" s="114">
        <f t="shared" si="49"/>
        <v>476292.13711823308</v>
      </c>
      <c r="N171" s="114">
        <f t="shared" si="49"/>
        <v>476292.13711823308</v>
      </c>
      <c r="O171" s="114">
        <f t="shared" si="49"/>
        <v>6460531.4195349328</v>
      </c>
      <c r="P171" s="114">
        <f t="shared" si="49"/>
        <v>8268819.3070438048</v>
      </c>
      <c r="Q171" s="114">
        <f t="shared" si="49"/>
        <v>12038116.626450088</v>
      </c>
      <c r="R171" s="114">
        <f t="shared" si="49"/>
        <v>14420146.459296849</v>
      </c>
      <c r="S171" s="114">
        <f t="shared" si="49"/>
        <v>19816310.243322618</v>
      </c>
      <c r="T171" s="114">
        <f t="shared" si="49"/>
        <v>24796585.783417795</v>
      </c>
      <c r="U171" s="114">
        <f t="shared" si="49"/>
        <v>25404111.69809632</v>
      </c>
      <c r="V171" s="114">
        <f t="shared" si="49"/>
        <v>25404111.69809632</v>
      </c>
      <c r="W171" s="114">
        <f t="shared" si="49"/>
        <v>25404111.69809632</v>
      </c>
    </row>
    <row r="172" spans="2:26" ht="15" customHeight="1" x14ac:dyDescent="0.2">
      <c r="B172" s="109" t="s">
        <v>1241</v>
      </c>
      <c r="C172" s="112">
        <f>CONSOLIDADO!D14</f>
        <v>0</v>
      </c>
      <c r="D172" s="112">
        <f>CONSOLIDADO!E14</f>
        <v>0</v>
      </c>
      <c r="E172" s="112">
        <f>CONSOLIDADO!F14</f>
        <v>0</v>
      </c>
      <c r="F172" s="112">
        <f>CONSOLIDADO!G14</f>
        <v>61175.13687757124</v>
      </c>
      <c r="G172" s="112">
        <f>CONSOLIDADO!H14</f>
        <v>135459.23165747919</v>
      </c>
      <c r="H172" s="112">
        <f>CONSOLIDADO!I14</f>
        <v>222852.28433972385</v>
      </c>
      <c r="I172" s="112">
        <f>CONSOLIDADO!J14</f>
        <v>319421.60755360418</v>
      </c>
      <c r="J172" s="112">
        <f>CONSOLIDADO!K14</f>
        <v>427133.5449844707</v>
      </c>
      <c r="K172" s="112">
        <f>CONSOLIDADO!L14</f>
        <v>459250.49184519553</v>
      </c>
      <c r="L172" s="112">
        <f>CONSOLIDADO!M14</f>
        <v>476292.13711823331</v>
      </c>
      <c r="M172" s="112">
        <f>CONSOLIDADO!N14</f>
        <v>476292.13711823331</v>
      </c>
      <c r="N172" s="112">
        <f>CONSOLIDADO!O14</f>
        <v>476292.13711823331</v>
      </c>
      <c r="O172" s="112">
        <f>SUM(CONSOLIDADO!P14:AA14)</f>
        <v>6460531.4195349347</v>
      </c>
      <c r="P172" s="112">
        <f>SUM(CONSOLIDADO!AB14:AM14)</f>
        <v>8268819.3070438085</v>
      </c>
      <c r="Q172" s="112">
        <f>SUM(CONSOLIDADO!AN14:AY14)</f>
        <v>12038116.62645009</v>
      </c>
      <c r="R172" s="112">
        <f>SUM(CONSOLIDADO!AZ14:BK14)</f>
        <v>14420146.459296852</v>
      </c>
      <c r="S172" s="112">
        <f>SUM(CONSOLIDADO!BL14:BW14)</f>
        <v>19816310.243322622</v>
      </c>
      <c r="T172" s="112">
        <f>SUM(CONSOLIDADO!BX14:CI14)</f>
        <v>24796585.783417795</v>
      </c>
      <c r="U172" s="112">
        <f>SUM(CONSOLIDADO!CJ14:CU14)</f>
        <v>25404111.698096316</v>
      </c>
      <c r="V172" s="112">
        <f>SUM(CONSOLIDADO!CV14:DG14)</f>
        <v>25404111.698096316</v>
      </c>
      <c r="W172" s="112">
        <f>SUM(CONSOLIDADO!DH14:DS14)</f>
        <v>25404111.698096316</v>
      </c>
    </row>
    <row r="173" spans="2:26" ht="15" customHeight="1" x14ac:dyDescent="0.2">
      <c r="B173" s="109" t="s">
        <v>1242</v>
      </c>
      <c r="C173" s="143" t="str">
        <f t="shared" ref="C173:W173" si="50">IF(ABS(C171-C172)&lt;1,"OK","REVISAR")</f>
        <v>OK</v>
      </c>
      <c r="D173" s="143" t="str">
        <f t="shared" si="50"/>
        <v>OK</v>
      </c>
      <c r="E173" s="143" t="str">
        <f t="shared" si="50"/>
        <v>OK</v>
      </c>
      <c r="F173" s="143" t="str">
        <f t="shared" si="50"/>
        <v>OK</v>
      </c>
      <c r="G173" s="143" t="str">
        <f t="shared" si="50"/>
        <v>OK</v>
      </c>
      <c r="H173" s="143" t="str">
        <f t="shared" si="50"/>
        <v>OK</v>
      </c>
      <c r="I173" s="143" t="str">
        <f t="shared" si="50"/>
        <v>OK</v>
      </c>
      <c r="J173" s="143" t="str">
        <f t="shared" si="50"/>
        <v>OK</v>
      </c>
      <c r="K173" s="143" t="str">
        <f t="shared" si="50"/>
        <v>OK</v>
      </c>
      <c r="L173" s="143" t="str">
        <f t="shared" si="50"/>
        <v>OK</v>
      </c>
      <c r="M173" s="143" t="str">
        <f t="shared" si="50"/>
        <v>OK</v>
      </c>
      <c r="N173" s="143" t="str">
        <f t="shared" si="50"/>
        <v>OK</v>
      </c>
      <c r="O173" s="143" t="str">
        <f t="shared" si="50"/>
        <v>OK</v>
      </c>
      <c r="P173" s="143" t="str">
        <f t="shared" si="50"/>
        <v>OK</v>
      </c>
      <c r="Q173" s="143" t="str">
        <f t="shared" si="50"/>
        <v>OK</v>
      </c>
      <c r="R173" s="143" t="str">
        <f t="shared" si="50"/>
        <v>OK</v>
      </c>
      <c r="S173" s="143" t="str">
        <f t="shared" si="50"/>
        <v>OK</v>
      </c>
      <c r="T173" s="143" t="str">
        <f t="shared" si="50"/>
        <v>OK</v>
      </c>
      <c r="U173" s="143" t="str">
        <f t="shared" si="50"/>
        <v>OK</v>
      </c>
      <c r="V173" s="143" t="str">
        <f t="shared" si="50"/>
        <v>OK</v>
      </c>
      <c r="W173" s="143" t="str">
        <f t="shared" si="50"/>
        <v>OK</v>
      </c>
    </row>
    <row r="175" spans="2:26" ht="15" customHeight="1" x14ac:dyDescent="0.2">
      <c r="B175" s="109" t="s">
        <v>1243</v>
      </c>
      <c r="C175" s="114">
        <f t="shared" ref="C175:W175" si="51">C162</f>
        <v>-3197.034622222222</v>
      </c>
      <c r="D175" s="114">
        <f t="shared" si="51"/>
        <v>-22484.069244444443</v>
      </c>
      <c r="E175" s="114">
        <f t="shared" si="51"/>
        <v>-25681.103866666665</v>
      </c>
      <c r="F175" s="114">
        <f t="shared" si="51"/>
        <v>-24817.753026119688</v>
      </c>
      <c r="G175" s="114">
        <f t="shared" si="51"/>
        <v>-8675.4586666162468</v>
      </c>
      <c r="H175" s="114">
        <f t="shared" si="51"/>
        <v>8176.7266928044191</v>
      </c>
      <c r="I175" s="114">
        <f t="shared" si="51"/>
        <v>19519.602605740532</v>
      </c>
      <c r="J175" s="114">
        <f t="shared" si="51"/>
        <v>31885.948816323096</v>
      </c>
      <c r="K175" s="114">
        <f t="shared" si="51"/>
        <v>37822.645556598225</v>
      </c>
      <c r="L175" s="114">
        <f t="shared" si="51"/>
        <v>40972.729541233944</v>
      </c>
      <c r="M175" s="114">
        <f t="shared" si="51"/>
        <v>40972.729541233944</v>
      </c>
      <c r="N175" s="114">
        <f t="shared" si="51"/>
        <v>40972.729541233944</v>
      </c>
      <c r="O175" s="114">
        <f t="shared" si="51"/>
        <v>598739.67809994472</v>
      </c>
      <c r="P175" s="114">
        <f t="shared" si="51"/>
        <v>771368.31352669257</v>
      </c>
      <c r="Q175" s="114">
        <f t="shared" si="51"/>
        <v>1238725.7378780346</v>
      </c>
      <c r="R175" s="114">
        <f t="shared" si="51"/>
        <v>1361263.8601321047</v>
      </c>
      <c r="S175" s="114">
        <f t="shared" si="51"/>
        <v>1971636.9452306156</v>
      </c>
      <c r="T175" s="114">
        <f t="shared" si="51"/>
        <v>2556211.9723863709</v>
      </c>
      <c r="U175" s="114">
        <f t="shared" si="51"/>
        <v>2607265.859118565</v>
      </c>
      <c r="V175" s="114">
        <f t="shared" si="51"/>
        <v>2607265.859118565</v>
      </c>
      <c r="W175" s="114">
        <f t="shared" si="51"/>
        <v>2607265.859118565</v>
      </c>
    </row>
    <row r="176" spans="2:26" ht="15" customHeight="1" x14ac:dyDescent="0.2">
      <c r="B176" s="109" t="s">
        <v>1244</v>
      </c>
      <c r="C176" s="112">
        <f>SUP_CONTROL!$C$11*(CAPA1_PILOTO!D23-CAPA1_PILOTO!D29-CAPA1_PILOTO!D31)+SUP_CONTROL!$C$12*(CAPA2_FLAGSHIP!D18-CAPA2_FLAGSHIP!D23-CAPA2_FLAGSHIP!D25)+SUP_CONTROL!$C$13*(CAPA3_EXPANSION!D46-CAPA3_EXPANSION!D48-CAPA3_EXPANSION!D50)+SUP_CONTROL!$C$14*(CAPA4_RETAIL!D12-CAPA4_RETAIL!D16-CAPA4_RETAIL!D18)</f>
        <v>-3197.034622222222</v>
      </c>
      <c r="D176" s="112">
        <f>SUP_CONTROL!$C$11*(CAPA1_PILOTO!E23-CAPA1_PILOTO!E29-CAPA1_PILOTO!E31)+SUP_CONTROL!$C$12*(CAPA2_FLAGSHIP!E18-CAPA2_FLAGSHIP!E23-CAPA2_FLAGSHIP!E25)+SUP_CONTROL!$C$13*(CAPA3_EXPANSION!E46-CAPA3_EXPANSION!E48-CAPA3_EXPANSION!E50)+SUP_CONTROL!$C$14*(CAPA4_RETAIL!E12-CAPA4_RETAIL!E16-CAPA4_RETAIL!E18)</f>
        <v>-22484.069244444443</v>
      </c>
      <c r="E176" s="112">
        <f>SUP_CONTROL!$C$11*(CAPA1_PILOTO!F23-CAPA1_PILOTO!F29-CAPA1_PILOTO!F31)+SUP_CONTROL!$C$12*(CAPA2_FLAGSHIP!F18-CAPA2_FLAGSHIP!F23-CAPA2_FLAGSHIP!F25)+SUP_CONTROL!$C$13*(CAPA3_EXPANSION!F46-CAPA3_EXPANSION!F48-CAPA3_EXPANSION!F50)+SUP_CONTROL!$C$14*(CAPA4_RETAIL!F12-CAPA4_RETAIL!F16-CAPA4_RETAIL!F18)</f>
        <v>-25681.103866666665</v>
      </c>
      <c r="F176" s="112">
        <f>SUP_CONTROL!$C$11*(CAPA1_PILOTO!G23-CAPA1_PILOTO!G29-CAPA1_PILOTO!G31)+SUP_CONTROL!$C$12*(CAPA2_FLAGSHIP!G18-CAPA2_FLAGSHIP!G23-CAPA2_FLAGSHIP!G25)+SUP_CONTROL!$C$13*(CAPA3_EXPANSION!G46-CAPA3_EXPANSION!G48-CAPA3_EXPANSION!G50)+SUP_CONTROL!$C$14*(CAPA4_RETAIL!G12-CAPA4_RETAIL!G16-CAPA4_RETAIL!G18)</f>
        <v>-24817.75302611971</v>
      </c>
      <c r="G176" s="112">
        <f>SUP_CONTROL!$C$11*(CAPA1_PILOTO!H23-CAPA1_PILOTO!H29-CAPA1_PILOTO!H31)+SUP_CONTROL!$C$12*(CAPA2_FLAGSHIP!H18-CAPA2_FLAGSHIP!H23-CAPA2_FLAGSHIP!H25)+SUP_CONTROL!$C$13*(CAPA3_EXPANSION!H46-CAPA3_EXPANSION!H48-CAPA3_EXPANSION!H50)+SUP_CONTROL!$C$14*(CAPA4_RETAIL!H12-CAPA4_RETAIL!H16-CAPA4_RETAIL!H18)</f>
        <v>-8675.4586666162631</v>
      </c>
      <c r="H176" s="112">
        <f>SUP_CONTROL!$C$11*(CAPA1_PILOTO!I23-CAPA1_PILOTO!I29-CAPA1_PILOTO!I31)+SUP_CONTROL!$C$12*(CAPA2_FLAGSHIP!I18-CAPA2_FLAGSHIP!I23-CAPA2_FLAGSHIP!I25)+SUP_CONTROL!$C$13*(CAPA3_EXPANSION!I46-CAPA3_EXPANSION!I48-CAPA3_EXPANSION!I50)+SUP_CONTROL!$C$14*(CAPA4_RETAIL!I12-CAPA4_RETAIL!I16-CAPA4_RETAIL!I18)</f>
        <v>8176.7266928044082</v>
      </c>
      <c r="I176" s="112">
        <f>SUP_CONTROL!$C$11*(CAPA1_PILOTO!J23-CAPA1_PILOTO!J29-CAPA1_PILOTO!J31)+SUP_CONTROL!$C$12*(CAPA2_FLAGSHIP!J18-CAPA2_FLAGSHIP!J23-CAPA2_FLAGSHIP!J25)+SUP_CONTROL!$C$13*(CAPA3_EXPANSION!J46-CAPA3_EXPANSION!J48-CAPA3_EXPANSION!J50)+SUP_CONTROL!$C$14*(CAPA4_RETAIL!J12-CAPA4_RETAIL!J16-CAPA4_RETAIL!J18)</f>
        <v>19519.602605740496</v>
      </c>
      <c r="J176" s="112">
        <f>SUP_CONTROL!$C$11*(CAPA1_PILOTO!K23-CAPA1_PILOTO!K29-CAPA1_PILOTO!K31)+SUP_CONTROL!$C$12*(CAPA2_FLAGSHIP!K18-CAPA2_FLAGSHIP!K23-CAPA2_FLAGSHIP!K25)+SUP_CONTROL!$C$13*(CAPA3_EXPANSION!K46-CAPA3_EXPANSION!K48-CAPA3_EXPANSION!K50)+SUP_CONTROL!$C$14*(CAPA4_RETAIL!K12-CAPA4_RETAIL!K16-CAPA4_RETAIL!K18)</f>
        <v>31885.948816323053</v>
      </c>
      <c r="K176" s="112">
        <f>SUP_CONTROL!$C$11*(CAPA1_PILOTO!L23-CAPA1_PILOTO!L29-CAPA1_PILOTO!L31)+SUP_CONTROL!$C$12*(CAPA2_FLAGSHIP!L18-CAPA2_FLAGSHIP!L23-CAPA2_FLAGSHIP!L25)+SUP_CONTROL!$C$13*(CAPA3_EXPANSION!L46-CAPA3_EXPANSION!L48-CAPA3_EXPANSION!L50)+SUP_CONTROL!$C$14*(CAPA4_RETAIL!L12-CAPA4_RETAIL!L16-CAPA4_RETAIL!L18)</f>
        <v>37822.645556598152</v>
      </c>
      <c r="L176" s="112">
        <f>SUP_CONTROL!$C$11*(CAPA1_PILOTO!M23-CAPA1_PILOTO!M29-CAPA1_PILOTO!M31)+SUP_CONTROL!$C$12*(CAPA2_FLAGSHIP!M18-CAPA2_FLAGSHIP!M23-CAPA2_FLAGSHIP!M25)+SUP_CONTROL!$C$13*(CAPA3_EXPANSION!M46-CAPA3_EXPANSION!M48-CAPA3_EXPANSION!M50)+SUP_CONTROL!$C$14*(CAPA4_RETAIL!M12-CAPA4_RETAIL!M16-CAPA4_RETAIL!M18)</f>
        <v>40972.729541233944</v>
      </c>
      <c r="M176" s="112">
        <f>SUP_CONTROL!$C$11*(CAPA1_PILOTO!N23-CAPA1_PILOTO!N29-CAPA1_PILOTO!N31)+SUP_CONTROL!$C$12*(CAPA2_FLAGSHIP!N18-CAPA2_FLAGSHIP!N23-CAPA2_FLAGSHIP!N25)+SUP_CONTROL!$C$13*(CAPA3_EXPANSION!N46-CAPA3_EXPANSION!N48-CAPA3_EXPANSION!N50)+SUP_CONTROL!$C$14*(CAPA4_RETAIL!N12-CAPA4_RETAIL!N16-CAPA4_RETAIL!N18)</f>
        <v>40972.729541233944</v>
      </c>
      <c r="N176" s="112">
        <f>SUP_CONTROL!$C$11*(CAPA1_PILOTO!O23-CAPA1_PILOTO!O29-CAPA1_PILOTO!O31)+SUP_CONTROL!$C$12*(CAPA2_FLAGSHIP!O18-CAPA2_FLAGSHIP!O23-CAPA2_FLAGSHIP!O25)+SUP_CONTROL!$C$13*(CAPA3_EXPANSION!O46-CAPA3_EXPANSION!O48-CAPA3_EXPANSION!O50)+SUP_CONTROL!$C$14*(CAPA4_RETAIL!O12-CAPA4_RETAIL!O16-CAPA4_RETAIL!O18)</f>
        <v>40972.729541233944</v>
      </c>
      <c r="O176" s="112">
        <f>SUP_CONTROL!$C$11*(SUM(CAPA1_PILOTO!P23:AA23)-SUM(CAPA1_PILOTO!P29:AA29)-SUM(CAPA1_PILOTO!P31:AA31))+SUP_CONTROL!$C$12*(SUM(CAPA2_FLAGSHIP!P18:AA18)-SUM(CAPA2_FLAGSHIP!P23:AA23)-SUM(CAPA2_FLAGSHIP!P25:AA25))+SUP_CONTROL!$C$13*(SUM(CAPA3_EXPANSION!P46:AA46)-SUM(CAPA3_EXPANSION!P48:AA48)-SUM(CAPA3_EXPANSION!P50:AA50))+SUP_CONTROL!$C$14*(SUM(CAPA4_RETAIL!P12:AA12)-SUM(CAPA4_RETAIL!P16:AA16)-SUM(CAPA4_RETAIL!P18:AA18))</f>
        <v>598739.67809994309</v>
      </c>
      <c r="P176" s="112">
        <f>SUP_CONTROL!$C$11*(SUM(CAPA1_PILOTO!AB23:AM23)-SUM(CAPA1_PILOTO!AB29:AM29)-SUM(CAPA1_PILOTO!AB31:AM31))+SUP_CONTROL!$C$12*(SUM(CAPA2_FLAGSHIP!AB18:AM18)-SUM(CAPA2_FLAGSHIP!AB23:AM23)-SUM(CAPA2_FLAGSHIP!AB25:AM25))+SUP_CONTROL!$C$13*(SUM(CAPA3_EXPANSION!AB46:AM46)-SUM(CAPA3_EXPANSION!AB48:AM48)-SUM(CAPA3_EXPANSION!AB50:AM50))+SUP_CONTROL!$C$14*(SUM(CAPA4_RETAIL!AB12:AM12)-SUM(CAPA4_RETAIL!AB16:AM16)-SUM(CAPA4_RETAIL!AB18:AM18))</f>
        <v>771368.31352669094</v>
      </c>
      <c r="Q176" s="112">
        <f>SUP_CONTROL!$C$11*(SUM(CAPA1_PILOTO!AN23:AY23)-SUM(CAPA1_PILOTO!AN29:AY29)-SUM(CAPA1_PILOTO!AN31:AY31))+SUP_CONTROL!$C$12*(SUM(CAPA2_FLAGSHIP!AN18:AY18)-SUM(CAPA2_FLAGSHIP!AN23:AY23)-SUM(CAPA2_FLAGSHIP!AN25:AY25))+SUP_CONTROL!$C$13*(SUM(CAPA3_EXPANSION!AN46:AY46)-SUM(CAPA3_EXPANSION!AN48:AY48)-SUM(CAPA3_EXPANSION!AN50:AY50))+SUP_CONTROL!$C$14*(SUM(CAPA4_RETAIL!AN12:AY12)-SUM(CAPA4_RETAIL!AN16:AY16)-SUM(CAPA4_RETAIL!AN18:AY18))</f>
        <v>1238725.7378780344</v>
      </c>
      <c r="R176" s="112">
        <f>SUP_CONTROL!$C$11*(SUM(CAPA1_PILOTO!AZ23:BK23)-SUM(CAPA1_PILOTO!AZ29:BK29)-SUM(CAPA1_PILOTO!AZ31:BK31))+SUP_CONTROL!$C$12*(SUM(CAPA2_FLAGSHIP!AZ18:BK18)-SUM(CAPA2_FLAGSHIP!AZ23:BK23)-SUM(CAPA2_FLAGSHIP!AZ25:BK25))+SUP_CONTROL!$C$13*(SUM(CAPA3_EXPANSION!AZ46:BK46)-SUM(CAPA3_EXPANSION!AZ48:BK48)-SUM(CAPA3_EXPANSION!AZ50:BK50))+SUP_CONTROL!$C$14*(SUM(CAPA4_RETAIL!AZ12:BK12)-SUM(CAPA4_RETAIL!AZ16:BK16)-SUM(CAPA4_RETAIL!AZ18:BK18))</f>
        <v>1361263.8601321036</v>
      </c>
      <c r="S176" s="112">
        <f>SUP_CONTROL!$C$11*(SUM(CAPA1_PILOTO!BL23:BW23)-SUM(CAPA1_PILOTO!BL29:BW29)-SUM(CAPA1_PILOTO!BL31:BW31))+SUP_CONTROL!$C$12*(SUM(CAPA2_FLAGSHIP!BL18:BW18)-SUM(CAPA2_FLAGSHIP!BL23:BW23)-SUM(CAPA2_FLAGSHIP!BL25:BW25))+SUP_CONTROL!$C$13*(SUM(CAPA3_EXPANSION!BL46:BW46)-SUM(CAPA3_EXPANSION!BL48:BW48)-SUM(CAPA3_EXPANSION!BL50:BW50))+SUP_CONTROL!$C$14*(SUM(CAPA4_RETAIL!BL12:BW12)-SUM(CAPA4_RETAIL!BL16:BW16)-SUM(CAPA4_RETAIL!BL18:BW18))</f>
        <v>1971636.9452306153</v>
      </c>
      <c r="T176" s="112">
        <f>SUP_CONTROL!$C$11*(SUM(CAPA1_PILOTO!BX23:CI23)-SUM(CAPA1_PILOTO!BX29:CI29)-SUM(CAPA1_PILOTO!BX31:CI31))+SUP_CONTROL!$C$12*(SUM(CAPA2_FLAGSHIP!BX18:CI18)-SUM(CAPA2_FLAGSHIP!BX23:CI23)-SUM(CAPA2_FLAGSHIP!BX25:CI25))+SUP_CONTROL!$C$13*(SUM(CAPA3_EXPANSION!BX46:CI46)-SUM(CAPA3_EXPANSION!BX48:CI48)-SUM(CAPA3_EXPANSION!BX50:CI50))+SUP_CONTROL!$C$14*(SUM(CAPA4_RETAIL!BX12:CI12)-SUM(CAPA4_RETAIL!BX16:CI16)-SUM(CAPA4_RETAIL!BX18:CI18))</f>
        <v>2556211.9723863695</v>
      </c>
      <c r="U176" s="112">
        <f>SUP_CONTROL!$C$11*(SUM(CAPA1_PILOTO!CJ23:CU23)-SUM(CAPA1_PILOTO!CJ29:CU29)-SUM(CAPA1_PILOTO!CJ31:CU31))+SUP_CONTROL!$C$12*(SUM(CAPA2_FLAGSHIP!CJ18:CU18)-SUM(CAPA2_FLAGSHIP!CJ23:CU23)-SUM(CAPA2_FLAGSHIP!CJ25:CU25))+SUP_CONTROL!$C$13*(SUM(CAPA3_EXPANSION!CJ46:CU46)-SUM(CAPA3_EXPANSION!CJ48:CU48)-SUM(CAPA3_EXPANSION!CJ50:CU50))+SUP_CONTROL!$C$14*(SUM(CAPA4_RETAIL!CJ12:CU12)-SUM(CAPA4_RETAIL!CJ16:CU16)-SUM(CAPA4_RETAIL!CJ18:CU18))</f>
        <v>2607265.8591185631</v>
      </c>
      <c r="V176" s="112">
        <f>SUP_CONTROL!$C$11*(SUM(CAPA1_PILOTO!CV23:DG23)-SUM(CAPA1_PILOTO!CV29:DG29)-SUM(CAPA1_PILOTO!CV31:DG31))+SUP_CONTROL!$C$12*(SUM(CAPA2_FLAGSHIP!CV18:DG18)-SUM(CAPA2_FLAGSHIP!CV23:DG23)-SUM(CAPA2_FLAGSHIP!CV25:DG25))+SUP_CONTROL!$C$13*(SUM(CAPA3_EXPANSION!CV46:DG46)-SUM(CAPA3_EXPANSION!CV48:DG48)-SUM(CAPA3_EXPANSION!CV50:DG50))+SUP_CONTROL!$C$14*(SUM(CAPA4_RETAIL!CV12:DG12)-SUM(CAPA4_RETAIL!CV16:DG16)-SUM(CAPA4_RETAIL!CV18:DG18))</f>
        <v>2607265.8591185631</v>
      </c>
      <c r="W176" s="112">
        <f>SUP_CONTROL!$C$11*(SUM(CAPA1_PILOTO!DH23:DS23)-SUM(CAPA1_PILOTO!DH29:DS29)-SUM(CAPA1_PILOTO!DH31:DS31))+SUP_CONTROL!$C$12*(SUM(CAPA2_FLAGSHIP!DH18:DS18)-SUM(CAPA2_FLAGSHIP!DH23:DS23)-SUM(CAPA2_FLAGSHIP!DH25:DS25))+SUP_CONTROL!$C$13*(SUM(CAPA3_EXPANSION!DH46:DS46)-SUM(CAPA3_EXPANSION!DH48:DS48)-SUM(CAPA3_EXPANSION!DH50:DS50))+SUP_CONTROL!$C$14*(SUM(CAPA4_RETAIL!DH12:DS12)-SUM(CAPA4_RETAIL!DH16:DS16)-SUM(CAPA4_RETAIL!DH18:DS18))</f>
        <v>2607265.8591185631</v>
      </c>
    </row>
    <row r="177" spans="2:23" ht="15" customHeight="1" x14ac:dyDescent="0.2">
      <c r="B177" s="109" t="s">
        <v>1245</v>
      </c>
      <c r="C177" s="143" t="str">
        <f t="shared" ref="C177:W177" si="52">IF(ABS(C175-C176)&lt;1,"OK","REVISAR")</f>
        <v>OK</v>
      </c>
      <c r="D177" s="143" t="str">
        <f t="shared" si="52"/>
        <v>OK</v>
      </c>
      <c r="E177" s="143" t="str">
        <f t="shared" si="52"/>
        <v>OK</v>
      </c>
      <c r="F177" s="143" t="str">
        <f t="shared" si="52"/>
        <v>OK</v>
      </c>
      <c r="G177" s="143" t="str">
        <f t="shared" si="52"/>
        <v>OK</v>
      </c>
      <c r="H177" s="143" t="str">
        <f t="shared" si="52"/>
        <v>OK</v>
      </c>
      <c r="I177" s="143" t="str">
        <f t="shared" si="52"/>
        <v>OK</v>
      </c>
      <c r="J177" s="143" t="str">
        <f t="shared" si="52"/>
        <v>OK</v>
      </c>
      <c r="K177" s="143" t="str">
        <f t="shared" si="52"/>
        <v>OK</v>
      </c>
      <c r="L177" s="143" t="str">
        <f t="shared" si="52"/>
        <v>OK</v>
      </c>
      <c r="M177" s="143" t="str">
        <f t="shared" si="52"/>
        <v>OK</v>
      </c>
      <c r="N177" s="143" t="str">
        <f t="shared" si="52"/>
        <v>OK</v>
      </c>
      <c r="O177" s="143" t="str">
        <f t="shared" si="52"/>
        <v>OK</v>
      </c>
      <c r="P177" s="143" t="str">
        <f t="shared" si="52"/>
        <v>OK</v>
      </c>
      <c r="Q177" s="143" t="str">
        <f t="shared" si="52"/>
        <v>OK</v>
      </c>
      <c r="R177" s="143" t="str">
        <f t="shared" si="52"/>
        <v>OK</v>
      </c>
      <c r="S177" s="143" t="str">
        <f t="shared" si="52"/>
        <v>OK</v>
      </c>
      <c r="T177" s="143" t="str">
        <f t="shared" si="52"/>
        <v>OK</v>
      </c>
      <c r="U177" s="143" t="str">
        <f t="shared" si="52"/>
        <v>OK</v>
      </c>
      <c r="V177" s="143" t="str">
        <f t="shared" si="52"/>
        <v>OK</v>
      </c>
      <c r="W177" s="143" t="str">
        <f t="shared" si="52"/>
        <v>OK</v>
      </c>
    </row>
    <row r="179" spans="2:23" ht="15" customHeight="1" x14ac:dyDescent="0.2">
      <c r="B179" s="144" t="s">
        <v>1246</v>
      </c>
      <c r="D179" s="144" t="str">
        <f>IF(COUNTIF(N173:W173,"REVISAR")+COUNTIF(N177:W177,"REVISAR")=0,"✓ TODO CUADRA","✗ HAY DESCUADRES — REVISAR ANTES DE USAR")</f>
        <v>✓ TODO CUADRA</v>
      </c>
    </row>
  </sheetData>
  <mergeCells count="4">
    <mergeCell ref="B1:W1"/>
    <mergeCell ref="B2:W2"/>
    <mergeCell ref="B165:W165"/>
    <mergeCell ref="B169:Z169"/>
  </mergeCells>
  <pageMargins left="0.75" right="0.75" top="1" bottom="1" header="0.511811023622047" footer="0.511811023622047"/>
  <pageSetup paperSize="9" orientation="portrait" horizontalDpi="300" verticalDpi="300"/>
  <legacy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7030A0"/>
  </sheetPr>
  <dimension ref="A1:L58"/>
  <sheetViews>
    <sheetView topLeftCell="A14" zoomScaleNormal="100" workbookViewId="0"/>
  </sheetViews>
  <sheetFormatPr baseColWidth="10" defaultColWidth="8.6640625" defaultRowHeight="15" x14ac:dyDescent="0.2"/>
  <cols>
    <col min="1" max="1" width="4" customWidth="1"/>
    <col min="2" max="2" width="40" customWidth="1"/>
    <col min="3" max="12" width="13" customWidth="1"/>
  </cols>
  <sheetData>
    <row r="1" spans="1:12" ht="15" customHeight="1" x14ac:dyDescent="0.2">
      <c r="A1" s="24" t="s">
        <v>1247</v>
      </c>
      <c r="B1" s="14"/>
      <c r="C1" s="14"/>
      <c r="D1" s="14"/>
      <c r="E1" s="14"/>
      <c r="F1" s="14"/>
      <c r="G1" s="14"/>
      <c r="H1" s="14"/>
      <c r="I1" s="14"/>
    </row>
    <row r="2" spans="1:12" ht="15" customHeight="1" x14ac:dyDescent="0.2">
      <c r="A2" s="23" t="s">
        <v>1248</v>
      </c>
    </row>
    <row r="3" spans="1:12" ht="15" customHeight="1" x14ac:dyDescent="0.2">
      <c r="A3" s="23" t="s">
        <v>89</v>
      </c>
    </row>
    <row r="5" spans="1:12" ht="15" customHeight="1" x14ac:dyDescent="0.2">
      <c r="A5" s="25" t="s">
        <v>1249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1:12" ht="15" customHeight="1" x14ac:dyDescent="0.2">
      <c r="B6" s="20" t="s">
        <v>1250</v>
      </c>
      <c r="D6" s="145" t="str">
        <f>SUP_CONTROL!$C$7</f>
        <v>MEDIO</v>
      </c>
    </row>
    <row r="7" spans="1:12" ht="15" customHeight="1" x14ac:dyDescent="0.2">
      <c r="B7" s="20" t="s">
        <v>1251</v>
      </c>
      <c r="D7" s="28">
        <f>CONSOLIDADO!$C$33</f>
        <v>50</v>
      </c>
    </row>
    <row r="8" spans="1:12" ht="15" customHeight="1" x14ac:dyDescent="0.2">
      <c r="B8" s="20" t="s">
        <v>1252</v>
      </c>
      <c r="D8" s="146">
        <f>CONSOLIDADO!$C$34</f>
        <v>326.24883199999988</v>
      </c>
    </row>
    <row r="9" spans="1:12" ht="15" customHeight="1" x14ac:dyDescent="0.2">
      <c r="B9" s="20" t="s">
        <v>1253</v>
      </c>
      <c r="D9" s="147">
        <f>CONSOLIDADO!$C$25</f>
        <v>1227003.2854261987</v>
      </c>
    </row>
    <row r="10" spans="1:12" ht="15" customHeight="1" x14ac:dyDescent="0.2">
      <c r="B10" s="20" t="s">
        <v>1254</v>
      </c>
      <c r="D10" s="148">
        <f>CONSOLIDADO!$C$26</f>
        <v>0.36264870678155892</v>
      </c>
    </row>
    <row r="11" spans="1:12" ht="15" customHeight="1" x14ac:dyDescent="0.2">
      <c r="B11" s="20" t="s">
        <v>1255</v>
      </c>
      <c r="D11" s="145" t="str">
        <f>CONSOLIDADO!$C$28&amp;" / "&amp;CONSOLIDADO!$C$29</f>
        <v>71 / 90</v>
      </c>
    </row>
    <row r="12" spans="1:12" ht="15" customHeight="1" x14ac:dyDescent="0.2">
      <c r="B12" s="20" t="s">
        <v>1256</v>
      </c>
      <c r="D12" s="147">
        <f>CONSOLIDADO!$C$23</f>
        <v>1959622.4677499998</v>
      </c>
    </row>
    <row r="13" spans="1:12" ht="15" customHeight="1" x14ac:dyDescent="0.2">
      <c r="B13" s="20" t="s">
        <v>1257</v>
      </c>
      <c r="D13" s="147">
        <f>CONSOLIDADO!$C$24</f>
        <v>6976116.4147499986</v>
      </c>
    </row>
    <row r="15" spans="1:12" ht="15" customHeight="1" x14ac:dyDescent="0.2">
      <c r="A15" s="25" t="s">
        <v>1258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12" ht="15" customHeight="1" x14ac:dyDescent="0.2">
      <c r="B16" s="20" t="s">
        <v>1140</v>
      </c>
      <c r="C16" s="83">
        <v>1</v>
      </c>
      <c r="D16" s="83">
        <v>2</v>
      </c>
      <c r="E16" s="83">
        <v>3</v>
      </c>
      <c r="F16" s="83">
        <v>4</v>
      </c>
      <c r="G16" s="83">
        <v>5</v>
      </c>
      <c r="H16" s="83">
        <v>6</v>
      </c>
      <c r="I16" s="83">
        <v>7</v>
      </c>
      <c r="J16" s="83">
        <v>8</v>
      </c>
      <c r="K16" s="83">
        <v>9</v>
      </c>
      <c r="L16" s="83">
        <v>10</v>
      </c>
    </row>
    <row r="17" spans="2:12" ht="15" customHeight="1" x14ac:dyDescent="0.2">
      <c r="B17" s="20" t="s">
        <v>1146</v>
      </c>
      <c r="C17" s="73">
        <f>CONSOLIDADO!D45</f>
        <v>10</v>
      </c>
      <c r="D17" s="73">
        <f>CONSOLIDADO!E45</f>
        <v>13</v>
      </c>
      <c r="E17" s="73">
        <f>CONSOLIDADO!F45</f>
        <v>21</v>
      </c>
      <c r="F17" s="73">
        <f>CONSOLIDADO!G45</f>
        <v>24</v>
      </c>
      <c r="G17" s="73">
        <f>CONSOLIDADO!H45</f>
        <v>35</v>
      </c>
      <c r="H17" s="73">
        <f>CONSOLIDADO!I45</f>
        <v>47</v>
      </c>
      <c r="I17" s="73">
        <f>CONSOLIDADO!J45</f>
        <v>50</v>
      </c>
      <c r="J17" s="73">
        <f>CONSOLIDADO!K45</f>
        <v>50</v>
      </c>
      <c r="K17" s="73">
        <f>CONSOLIDADO!L45</f>
        <v>50</v>
      </c>
      <c r="L17" s="73">
        <f>CONSOLIDADO!M45</f>
        <v>50</v>
      </c>
    </row>
    <row r="18" spans="2:12" ht="15" customHeight="1" x14ac:dyDescent="0.2">
      <c r="B18" s="20" t="s">
        <v>1141</v>
      </c>
      <c r="C18" s="85">
        <f>CONSOLIDADO!D40</f>
        <v>3054168.7086127447</v>
      </c>
      <c r="D18" s="85">
        <f>CONSOLIDADO!E40</f>
        <v>6460531.4195349347</v>
      </c>
      <c r="E18" s="85">
        <f>CONSOLIDADO!F40</f>
        <v>8268819.3070438085</v>
      </c>
      <c r="F18" s="85">
        <f>CONSOLIDADO!G40</f>
        <v>12038116.62645009</v>
      </c>
      <c r="G18" s="85">
        <f>CONSOLIDADO!H40</f>
        <v>14420146.459296852</v>
      </c>
      <c r="H18" s="85">
        <f>CONSOLIDADO!I40</f>
        <v>19816310.243322622</v>
      </c>
      <c r="I18" s="85">
        <f>CONSOLIDADO!J40</f>
        <v>24796585.783417795</v>
      </c>
      <c r="J18" s="85">
        <f>CONSOLIDADO!K40</f>
        <v>25404111.698096316</v>
      </c>
      <c r="K18" s="85">
        <f>CONSOLIDADO!L40</f>
        <v>25404111.698096316</v>
      </c>
      <c r="L18" s="85">
        <f>CONSOLIDADO!M40</f>
        <v>25404111.698096316</v>
      </c>
    </row>
    <row r="19" spans="2:12" ht="15" customHeight="1" x14ac:dyDescent="0.2">
      <c r="B19" s="20" t="s">
        <v>1142</v>
      </c>
      <c r="C19" s="85">
        <f>CONSOLIDADO!D41</f>
        <v>394476.1871012685</v>
      </c>
      <c r="D19" s="85">
        <f>CONSOLIDADO!E41</f>
        <v>1103745.81914057</v>
      </c>
      <c r="E19" s="85">
        <f>CONSOLIDADO!F41</f>
        <v>1442578.7574944182</v>
      </c>
      <c r="F19" s="85">
        <f>CONSOLIDADO!G41</f>
        <v>2234201.6044426654</v>
      </c>
      <c r="G19" s="85">
        <f>CONSOLIDADO!H41</f>
        <v>2566007.84343349</v>
      </c>
      <c r="H19" s="85">
        <f>CONSOLIDADO!I41</f>
        <v>3644497.8912969558</v>
      </c>
      <c r="I19" s="85">
        <f>CONSOLIDADO!J41</f>
        <v>4666811.6113013169</v>
      </c>
      <c r="J19" s="85">
        <f>CONSOLIDADO!K41</f>
        <v>4765603.7050963081</v>
      </c>
      <c r="K19" s="85">
        <f>CONSOLIDADO!L41</f>
        <v>4765603.7050963081</v>
      </c>
      <c r="L19" s="85">
        <f>CONSOLIDADO!M41</f>
        <v>4765603.7050963081</v>
      </c>
    </row>
    <row r="20" spans="2:12" ht="15" customHeight="1" x14ac:dyDescent="0.2">
      <c r="B20" s="20" t="s">
        <v>1143</v>
      </c>
      <c r="C20" s="85">
        <f>CONSOLIDADO!D42</f>
        <v>-1678646.065770485</v>
      </c>
      <c r="D20" s="85">
        <f>CONSOLIDADO!E42</f>
        <v>142857.58624160971</v>
      </c>
      <c r="E20" s="85">
        <f>CONSOLIDADO!F42</f>
        <v>132143.53554127435</v>
      </c>
      <c r="F20" s="85">
        <f>CONSOLIDADO!G42</f>
        <v>600126.37146761722</v>
      </c>
      <c r="G20" s="85">
        <f>CONSOLIDADO!H42</f>
        <v>163285.65686543661</v>
      </c>
      <c r="H20" s="85">
        <f>CONSOLIDADO!I42</f>
        <v>856963.23338269908</v>
      </c>
      <c r="I20" s="85">
        <f>CONSOLIDADO!J42</f>
        <v>2407031.3484280361</v>
      </c>
      <c r="J20" s="85">
        <f>CONSOLIDADO!K42</f>
        <v>3422466.7473685634</v>
      </c>
      <c r="K20" s="85">
        <f>CONSOLIDADO!L42</f>
        <v>3422466.7473685634</v>
      </c>
      <c r="L20" s="85">
        <f>CONSOLIDADO!M42</f>
        <v>3422466.7473685634</v>
      </c>
    </row>
    <row r="21" spans="2:12" ht="15" customHeight="1" x14ac:dyDescent="0.2">
      <c r="B21" s="20" t="s">
        <v>1144</v>
      </c>
      <c r="C21" s="85">
        <f>CONSOLIDADO!D43</f>
        <v>1959622.4677500001</v>
      </c>
      <c r="D21" s="85">
        <f>CONSOLIDADO!E43</f>
        <v>650857.21899999992</v>
      </c>
      <c r="E21" s="85">
        <f>CONSOLIDADO!F43</f>
        <v>913063.66649999982</v>
      </c>
      <c r="F21" s="85">
        <f>CONSOLIDADO!G43</f>
        <v>995943.79224999994</v>
      </c>
      <c r="G21" s="85">
        <f>CONSOLIDADO!H43</f>
        <v>1701465.0464999995</v>
      </c>
      <c r="H21" s="85">
        <f>CONSOLIDADO!I43</f>
        <v>1771842.8982499994</v>
      </c>
      <c r="I21" s="85">
        <f>CONSOLIDADO!J43</f>
        <v>942943.79224999994</v>
      </c>
      <c r="J21" s="85">
        <f>CONSOLIDADO!K43</f>
        <v>0</v>
      </c>
      <c r="K21" s="85">
        <f>CONSOLIDADO!L43</f>
        <v>0</v>
      </c>
      <c r="L21" s="85">
        <f>CONSOLIDADO!M43</f>
        <v>0</v>
      </c>
    </row>
    <row r="22" spans="2:12" ht="15" customHeight="1" x14ac:dyDescent="0.2">
      <c r="B22" s="20" t="s">
        <v>1145</v>
      </c>
      <c r="C22" s="32">
        <f>CONSOLIDADO!D44</f>
        <v>39.222744166666665</v>
      </c>
      <c r="D22" s="32">
        <f>CONSOLIDADO!E44</f>
        <v>82.968491666666679</v>
      </c>
      <c r="E22" s="32">
        <f>CONSOLIDADO!F44</f>
        <v>106.19118168750002</v>
      </c>
      <c r="F22" s="32">
        <f>CONSOLIDADO!G44</f>
        <v>154.59786728750001</v>
      </c>
      <c r="G22" s="32">
        <f>CONSOLIDADO!H44</f>
        <v>185.18875981666667</v>
      </c>
      <c r="H22" s="32">
        <f>CONSOLIDADO!I44</f>
        <v>254.48825561250001</v>
      </c>
      <c r="I22" s="32">
        <f>CONSOLIDADO!J44</f>
        <v>318.4467634833332</v>
      </c>
      <c r="J22" s="32">
        <f>CONSOLIDADO!K44</f>
        <v>326.24883199999988</v>
      </c>
      <c r="K22" s="32">
        <f>CONSOLIDADO!L44</f>
        <v>326.24883199999988</v>
      </c>
      <c r="L22" s="32">
        <f>CONSOLIDADO!M44</f>
        <v>326.24883199999988</v>
      </c>
    </row>
    <row r="58" spans="2:2" ht="15" customHeight="1" x14ac:dyDescent="0.2">
      <c r="B58" s="23" t="s">
        <v>1259</v>
      </c>
    </row>
  </sheetData>
  <conditionalFormatting sqref="C18:L18">
    <cfRule type="dataBar" priority="2">
      <dataBar>
        <cfvo type="num" val="0"/>
        <cfvo type="max"/>
        <color rgb="FF2E75B6"/>
      </dataBar>
      <extLst>
        <ext xmlns:x14="http://schemas.microsoft.com/office/spreadsheetml/2009/9/main" uri="{B025F937-C7B1-47D3-B67F-A62EFF666E3E}">
          <x14:id>{78E310DD-8215-4D13-829D-C15F14F0DD78}</x14:id>
        </ext>
      </extLst>
    </cfRule>
  </conditionalFormatting>
  <conditionalFormatting sqref="C22:L22">
    <cfRule type="dataBar" priority="3">
      <dataBar>
        <cfvo type="num" val="0"/>
        <cfvo type="max"/>
        <color rgb="FF00838F"/>
      </dataBar>
      <extLst>
        <ext xmlns:x14="http://schemas.microsoft.com/office/spreadsheetml/2009/9/main" uri="{B025F937-C7B1-47D3-B67F-A62EFF666E3E}">
          <x14:id>{A068DDDA-157D-4DF4-8DF7-B61A4E1C99C2}</x14:id>
        </ext>
      </extLst>
    </cfRule>
  </conditionalFormatting>
  <pageMargins left="0.75" right="0.75" top="1" bottom="1" header="0.511811023622047" footer="0.511811023622047"/>
  <pageSetup paperSize="9" orientation="portrait" horizontalDpi="300" verticalDpi="300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8E310DD-8215-4D13-829D-C15F14F0DD78}">
            <x14:dataBar axisPosition="none">
              <x14:cfvo type="num">
                <xm:f>0</xm:f>
              </x14:cfvo>
              <x14:cfvo type="max"/>
              <x14:negativeFillColor rgb="FF2E75B6"/>
            </x14:dataBar>
          </x14:cfRule>
          <xm:sqref>C18:L18</xm:sqref>
        </x14:conditionalFormatting>
        <x14:conditionalFormatting xmlns:xm="http://schemas.microsoft.com/office/excel/2006/main">
          <x14:cfRule type="dataBar" id="{A068DDDA-157D-4DF4-8DF7-B61A4E1C99C2}">
            <x14:dataBar axisPosition="none">
              <x14:cfvo type="num">
                <xm:f>0</xm:f>
              </x14:cfvo>
              <x14:cfvo type="max"/>
              <x14:negativeFillColor rgb="FF00838F"/>
            </x14:dataBar>
          </x14:cfRule>
          <xm:sqref>C22:L22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81685-F8CA-994C-A715-1F13043066F1}">
  <sheetPr>
    <tabColor rgb="FFBF8F00"/>
  </sheetPr>
  <dimension ref="B1:N42"/>
  <sheetViews>
    <sheetView showGridLines="0" workbookViewId="0"/>
  </sheetViews>
  <sheetFormatPr baseColWidth="10" defaultRowHeight="15" x14ac:dyDescent="0.2"/>
  <cols>
    <col min="1" max="1" width="2" customWidth="1"/>
    <col min="2" max="2" width="50" customWidth="1"/>
    <col min="3" max="12" width="13.6640625" customWidth="1"/>
    <col min="14" max="14" width="63.33203125" customWidth="1"/>
  </cols>
  <sheetData>
    <row r="1" spans="2:14" ht="19" x14ac:dyDescent="0.25">
      <c r="B1" s="248" t="s">
        <v>1781</v>
      </c>
    </row>
    <row r="2" spans="2:14" x14ac:dyDescent="0.2">
      <c r="B2" s="23" t="s">
        <v>1782</v>
      </c>
    </row>
    <row r="3" spans="2:14" x14ac:dyDescent="0.2">
      <c r="B3" s="249" t="s">
        <v>1783</v>
      </c>
    </row>
    <row r="5" spans="2:14" x14ac:dyDescent="0.2">
      <c r="B5" s="152" t="s">
        <v>1784</v>
      </c>
      <c r="C5" s="178"/>
      <c r="D5" s="178"/>
    </row>
    <row r="6" spans="2:14" x14ac:dyDescent="0.2">
      <c r="B6" s="150" t="s">
        <v>1785</v>
      </c>
      <c r="C6" s="250">
        <v>3076</v>
      </c>
      <c r="N6" s="23" t="s">
        <v>1786</v>
      </c>
    </row>
    <row r="7" spans="2:14" x14ac:dyDescent="0.2">
      <c r="B7" t="s">
        <v>1787</v>
      </c>
      <c r="C7" s="183">
        <f>C6*(1+SUP_VOLUMEN!$C$26)</f>
        <v>3998.8</v>
      </c>
    </row>
    <row r="8" spans="2:14" x14ac:dyDescent="0.2">
      <c r="B8" t="s">
        <v>1788</v>
      </c>
      <c r="C8" s="183">
        <f>C6*(1+SUP_VOLUMEN!$C$27)</f>
        <v>6152</v>
      </c>
    </row>
    <row r="9" spans="2:14" x14ac:dyDescent="0.2">
      <c r="B9" t="s">
        <v>1789</v>
      </c>
      <c r="C9" s="69">
        <f>C6/30.4</f>
        <v>101.18421052631579</v>
      </c>
    </row>
    <row r="11" spans="2:14" x14ac:dyDescent="0.2">
      <c r="B11" s="23" t="s">
        <v>1790</v>
      </c>
    </row>
    <row r="12" spans="2:14" x14ac:dyDescent="0.2">
      <c r="B12" t="s">
        <v>1938</v>
      </c>
      <c r="C12" s="251">
        <f>C6/SUP_VOLUMEN!$C$16</f>
        <v>1.0441276306856755</v>
      </c>
      <c r="D12" s="252" t="str">
        <f>IF(C12&gt;1,"BÁSICO queda "&amp;TEXT(C12-1,"0%")&amp;" POR DEBAJO del equilibrio → destruye valor","colchón de "&amp;TEXT(1-C12,"0%"))</f>
        <v>BÁSICO queda 4% POR DEBAJO del equilibrio → destruye valor</v>
      </c>
    </row>
    <row r="13" spans="2:14" x14ac:dyDescent="0.2">
      <c r="B13" t="s">
        <v>1939</v>
      </c>
      <c r="C13" s="251">
        <f>C6/SUP_VOLUMEN!$D$16</f>
        <v>0.91357291357291359</v>
      </c>
      <c r="D13" s="253" t="str">
        <f>"MEDIO tiene solo "&amp;TEXT(1-C13,"0%")&amp;" de colchón sobre el equilibrio"</f>
        <v>MEDIO tiene solo 9% de colchón sobre el equilibrio</v>
      </c>
    </row>
    <row r="14" spans="2:14" x14ac:dyDescent="0.2">
      <c r="B14" t="s">
        <v>1791</v>
      </c>
      <c r="C14" s="251">
        <f>C6/SUP_VOLUMEN!$E$16</f>
        <v>0.73081492040864815</v>
      </c>
      <c r="D14" s="254" t="str">
        <f>"ALTO tiene "&amp;TEXT(1-C14,"0%")&amp;" de colchón"</f>
        <v>ALTO tiene 27% de colchón</v>
      </c>
    </row>
    <row r="16" spans="2:14" x14ac:dyDescent="0.2">
      <c r="B16" s="152" t="s">
        <v>1792</v>
      </c>
      <c r="C16" s="178"/>
      <c r="D16" s="178"/>
    </row>
    <row r="17" spans="2:14" x14ac:dyDescent="0.2">
      <c r="B17" t="s">
        <v>1793</v>
      </c>
      <c r="C17" s="194">
        <f>C6*SUP_CONTROL!$C$26</f>
        <v>39919.962882474683</v>
      </c>
      <c r="N17" s="23" t="s">
        <v>1796</v>
      </c>
    </row>
    <row r="18" spans="2:14" x14ac:dyDescent="0.2">
      <c r="B18" t="s">
        <v>1794</v>
      </c>
      <c r="C18" s="194">
        <f>C7*SUP_CONTROL!$C$26</f>
        <v>51895.951747217092</v>
      </c>
    </row>
    <row r="19" spans="2:14" x14ac:dyDescent="0.2">
      <c r="B19" t="s">
        <v>1795</v>
      </c>
      <c r="C19" s="194">
        <f>C8*SUP_CONTROL!$C$26*(1+SUP_CONTROL!$C$37)</f>
        <v>83831.922053196831</v>
      </c>
    </row>
    <row r="21" spans="2:14" x14ac:dyDescent="0.2">
      <c r="B21" s="152" t="s">
        <v>1797</v>
      </c>
      <c r="C21" s="178"/>
      <c r="D21" s="178"/>
    </row>
    <row r="22" spans="2:14" x14ac:dyDescent="0.2">
      <c r="B22" t="s">
        <v>1798</v>
      </c>
      <c r="C22" s="192">
        <v>1025</v>
      </c>
      <c r="D22" s="179" t="s">
        <v>1799</v>
      </c>
    </row>
    <row r="23" spans="2:14" x14ac:dyDescent="0.2">
      <c r="B23" t="s">
        <v>1107</v>
      </c>
      <c r="C23" s="193">
        <v>0.25</v>
      </c>
      <c r="D23" s="255" t="s">
        <v>1800</v>
      </c>
    </row>
    <row r="24" spans="2:14" x14ac:dyDescent="0.2">
      <c r="B24" t="s">
        <v>1801</v>
      </c>
      <c r="C24" s="153" t="s">
        <v>1979</v>
      </c>
    </row>
    <row r="25" spans="2:14" x14ac:dyDescent="0.2">
      <c r="B25" t="s">
        <v>1802</v>
      </c>
      <c r="C25" s="153" t="s">
        <v>1841</v>
      </c>
      <c r="D25" s="179" t="s">
        <v>1803</v>
      </c>
    </row>
    <row r="26" spans="2:14" x14ac:dyDescent="0.2">
      <c r="B26" t="s">
        <v>1804</v>
      </c>
      <c r="C26" s="191">
        <v>2493896</v>
      </c>
      <c r="D26" s="179" t="s">
        <v>1805</v>
      </c>
    </row>
    <row r="27" spans="2:14" x14ac:dyDescent="0.2">
      <c r="B27" t="s">
        <v>1806</v>
      </c>
      <c r="C27" s="191">
        <v>8793596</v>
      </c>
    </row>
    <row r="28" spans="2:14" x14ac:dyDescent="0.2">
      <c r="B28" t="s">
        <v>1807</v>
      </c>
      <c r="C28" s="153" t="s">
        <v>1952</v>
      </c>
    </row>
    <row r="29" spans="2:14" x14ac:dyDescent="0.2">
      <c r="B29" t="s">
        <v>1808</v>
      </c>
      <c r="C29" s="191">
        <v>1512766</v>
      </c>
      <c r="D29" s="179" t="s">
        <v>1809</v>
      </c>
    </row>
    <row r="31" spans="2:14" x14ac:dyDescent="0.2">
      <c r="B31" s="152" t="s">
        <v>1810</v>
      </c>
      <c r="C31" s="178"/>
      <c r="D31" s="178"/>
    </row>
    <row r="32" spans="2:14" x14ac:dyDescent="0.2">
      <c r="B32" s="225" t="s">
        <v>1811</v>
      </c>
      <c r="C32" s="226">
        <v>1</v>
      </c>
      <c r="D32" s="226">
        <v>2</v>
      </c>
      <c r="E32" s="226">
        <v>3</v>
      </c>
      <c r="F32" s="226">
        <v>4</v>
      </c>
      <c r="G32" s="226">
        <v>5</v>
      </c>
      <c r="H32" s="226">
        <v>6</v>
      </c>
      <c r="I32" s="226">
        <v>7</v>
      </c>
      <c r="J32" s="226">
        <v>8</v>
      </c>
      <c r="K32" s="226">
        <v>9</v>
      </c>
      <c r="L32" s="226">
        <v>10</v>
      </c>
    </row>
    <row r="33" spans="2:12" x14ac:dyDescent="0.2">
      <c r="B33" s="256" t="s">
        <v>1146</v>
      </c>
      <c r="C33" s="199">
        <v>11</v>
      </c>
      <c r="D33" s="199">
        <v>12</v>
      </c>
      <c r="E33" s="199">
        <v>18</v>
      </c>
      <c r="F33" s="199">
        <v>25</v>
      </c>
      <c r="G33" s="199">
        <v>29</v>
      </c>
      <c r="H33" s="199">
        <v>40</v>
      </c>
      <c r="I33" s="199">
        <v>50</v>
      </c>
      <c r="J33" s="199">
        <v>50</v>
      </c>
      <c r="K33" s="199">
        <v>50</v>
      </c>
      <c r="L33" s="199">
        <v>50</v>
      </c>
    </row>
    <row r="34" spans="2:12" x14ac:dyDescent="0.2">
      <c r="B34" s="256" t="s">
        <v>1812</v>
      </c>
      <c r="C34" s="257">
        <v>3255473</v>
      </c>
      <c r="D34" s="257">
        <v>6227514</v>
      </c>
      <c r="E34" s="257">
        <v>7467961</v>
      </c>
      <c r="F34" s="257">
        <v>10376363</v>
      </c>
      <c r="G34" s="257">
        <v>12765542</v>
      </c>
      <c r="H34" s="257">
        <v>16054857</v>
      </c>
      <c r="I34" s="257">
        <v>20892818</v>
      </c>
      <c r="J34" s="257">
        <v>23773871</v>
      </c>
      <c r="K34" s="257">
        <v>23812098</v>
      </c>
      <c r="L34" s="257">
        <v>23812098</v>
      </c>
    </row>
    <row r="35" spans="2:12" x14ac:dyDescent="0.2">
      <c r="B35" s="256" t="s">
        <v>1813</v>
      </c>
      <c r="C35" s="257">
        <v>324663</v>
      </c>
      <c r="D35" s="257">
        <v>823677</v>
      </c>
      <c r="E35" s="257">
        <v>1060518</v>
      </c>
      <c r="F35" s="257">
        <v>1677385</v>
      </c>
      <c r="G35" s="257">
        <v>2087574</v>
      </c>
      <c r="H35" s="257">
        <v>2618927</v>
      </c>
      <c r="I35" s="257">
        <v>3567276</v>
      </c>
      <c r="J35" s="257">
        <v>4133194</v>
      </c>
      <c r="K35" s="257">
        <v>4145724</v>
      </c>
      <c r="L35" s="257">
        <v>4145724</v>
      </c>
    </row>
    <row r="36" spans="2:12" x14ac:dyDescent="0.2">
      <c r="B36" s="256" t="s">
        <v>1814</v>
      </c>
      <c r="C36" s="257">
        <v>2493896</v>
      </c>
      <c r="D36" s="257">
        <v>439453</v>
      </c>
      <c r="E36" s="257">
        <v>663736</v>
      </c>
      <c r="F36" s="257">
        <v>833162</v>
      </c>
      <c r="G36" s="257">
        <v>1515817</v>
      </c>
      <c r="H36" s="257">
        <v>1276294</v>
      </c>
      <c r="I36" s="257">
        <v>1573639</v>
      </c>
      <c r="J36" s="257">
        <v>-2400</v>
      </c>
      <c r="K36" s="257">
        <v>0</v>
      </c>
      <c r="L36" s="257">
        <v>0</v>
      </c>
    </row>
    <row r="37" spans="2:12" x14ac:dyDescent="0.2">
      <c r="B37" s="256" t="s">
        <v>1815</v>
      </c>
      <c r="C37" s="257">
        <v>-2262690</v>
      </c>
      <c r="D37" s="257">
        <v>162840</v>
      </c>
      <c r="E37" s="257">
        <v>125111</v>
      </c>
      <c r="F37" s="257">
        <v>394591</v>
      </c>
      <c r="G37" s="257">
        <v>17340</v>
      </c>
      <c r="H37" s="257">
        <v>658123</v>
      </c>
      <c r="I37" s="257">
        <v>1038413</v>
      </c>
      <c r="J37" s="257">
        <v>3001335</v>
      </c>
      <c r="K37" s="257">
        <v>3007205</v>
      </c>
      <c r="L37" s="257">
        <v>3007205</v>
      </c>
    </row>
    <row r="38" spans="2:12" x14ac:dyDescent="0.2">
      <c r="B38" s="258" t="s">
        <v>914</v>
      </c>
      <c r="C38" s="259">
        <f>C37</f>
        <v>-2262690</v>
      </c>
      <c r="D38" s="259">
        <f>D37+C38</f>
        <v>-2099850</v>
      </c>
      <c r="E38" s="259">
        <f>E37+D38</f>
        <v>-1974739</v>
      </c>
      <c r="F38" s="259">
        <f>F37+E38</f>
        <v>-1580148</v>
      </c>
      <c r="G38" s="259">
        <f>G37+F38</f>
        <v>-1562808</v>
      </c>
      <c r="H38" s="259">
        <f>H37+G38</f>
        <v>-904685</v>
      </c>
      <c r="I38" s="259">
        <f>I37+H38</f>
        <v>133728</v>
      </c>
      <c r="J38" s="259">
        <f>J37+I38</f>
        <v>3135063</v>
      </c>
      <c r="K38" s="259">
        <f>K37+J38</f>
        <v>6142268</v>
      </c>
      <c r="L38" s="259">
        <f>L37+K38</f>
        <v>9149473</v>
      </c>
    </row>
    <row r="39" spans="2:12" x14ac:dyDescent="0.2">
      <c r="B39" s="256" t="s">
        <v>1816</v>
      </c>
      <c r="C39" s="260">
        <v>41.5</v>
      </c>
      <c r="D39" s="260">
        <v>79.400000000000006</v>
      </c>
      <c r="E39" s="260">
        <v>95.3</v>
      </c>
      <c r="F39" s="260">
        <v>132.6</v>
      </c>
      <c r="G39" s="260">
        <v>163.30000000000001</v>
      </c>
      <c r="H39" s="260">
        <v>205.6</v>
      </c>
      <c r="I39" s="260">
        <v>267.7</v>
      </c>
      <c r="J39" s="260">
        <v>304.7</v>
      </c>
      <c r="K39" s="260">
        <v>305.2</v>
      </c>
      <c r="L39" s="260">
        <v>305.2</v>
      </c>
    </row>
    <row r="40" spans="2:12" x14ac:dyDescent="0.2">
      <c r="B40" s="261" t="s">
        <v>1817</v>
      </c>
      <c r="C40" s="262">
        <f>C39*12</f>
        <v>498</v>
      </c>
      <c r="D40" s="262">
        <f>D39*12</f>
        <v>952.80000000000007</v>
      </c>
      <c r="E40" s="262">
        <f>E39*12</f>
        <v>1143.5999999999999</v>
      </c>
      <c r="F40" s="262">
        <f>F39*12</f>
        <v>1591.1999999999998</v>
      </c>
      <c r="G40" s="262">
        <f>G39*12</f>
        <v>1959.6000000000001</v>
      </c>
      <c r="H40" s="262">
        <f>H39*12</f>
        <v>2467.1999999999998</v>
      </c>
      <c r="I40" s="262">
        <f>I39*12</f>
        <v>3212.3999999999996</v>
      </c>
      <c r="J40" s="262">
        <f>J39*12</f>
        <v>3656.3999999999996</v>
      </c>
      <c r="K40" s="262">
        <f>K39*12</f>
        <v>3662.3999999999996</v>
      </c>
      <c r="L40" s="262">
        <f>L39*12</f>
        <v>3662.3999999999996</v>
      </c>
    </row>
    <row r="42" spans="2:12" x14ac:dyDescent="0.2">
      <c r="B42" s="263" t="s">
        <v>1980</v>
      </c>
    </row>
  </sheetData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00838F"/>
  </sheetPr>
  <dimension ref="A1:DS25"/>
  <sheetViews>
    <sheetView zoomScaleNormal="100" workbookViewId="0">
      <selection activeCell="E19" sqref="E19"/>
    </sheetView>
  </sheetViews>
  <sheetFormatPr baseColWidth="10" defaultColWidth="8.6640625" defaultRowHeight="15" x14ac:dyDescent="0.2"/>
  <cols>
    <col min="1" max="1" width="4" customWidth="1"/>
    <col min="2" max="2" width="56" customWidth="1"/>
    <col min="4" max="123" width="10" customWidth="1"/>
  </cols>
  <sheetData>
    <row r="1" spans="1:123" ht="15" customHeight="1" x14ac:dyDescent="0.2">
      <c r="A1" s="24" t="s">
        <v>1260</v>
      </c>
      <c r="B1" s="14"/>
      <c r="C1" s="14"/>
      <c r="D1" s="14"/>
      <c r="E1" s="14"/>
      <c r="F1" s="14"/>
      <c r="G1" s="14"/>
      <c r="H1" s="14"/>
      <c r="I1" s="14"/>
    </row>
    <row r="2" spans="1:123" ht="15" customHeight="1" x14ac:dyDescent="0.2">
      <c r="A2" s="23" t="s">
        <v>1261</v>
      </c>
    </row>
    <row r="3" spans="1:123" ht="15" customHeight="1" x14ac:dyDescent="0.2">
      <c r="A3" s="23" t="s">
        <v>89</v>
      </c>
    </row>
    <row r="4" spans="1:123" ht="15" customHeight="1" x14ac:dyDescent="0.2">
      <c r="B4" s="20" t="s">
        <v>632</v>
      </c>
      <c r="D4" s="87">
        <v>1</v>
      </c>
      <c r="E4" s="87">
        <v>2</v>
      </c>
      <c r="F4" s="87">
        <v>3</v>
      </c>
      <c r="G4" s="87">
        <v>4</v>
      </c>
      <c r="H4" s="87">
        <v>5</v>
      </c>
      <c r="I4" s="87">
        <v>6</v>
      </c>
      <c r="J4" s="87">
        <v>7</v>
      </c>
      <c r="K4" s="87">
        <v>8</v>
      </c>
      <c r="L4" s="87">
        <v>9</v>
      </c>
      <c r="M4" s="87">
        <v>10</v>
      </c>
      <c r="N4" s="87">
        <v>11</v>
      </c>
      <c r="O4" s="87">
        <v>12</v>
      </c>
      <c r="P4" s="87">
        <v>13</v>
      </c>
      <c r="Q4" s="87">
        <v>14</v>
      </c>
      <c r="R4" s="87">
        <v>15</v>
      </c>
      <c r="S4" s="87">
        <v>16</v>
      </c>
      <c r="T4" s="87">
        <v>17</v>
      </c>
      <c r="U4" s="87">
        <v>18</v>
      </c>
      <c r="V4" s="87">
        <v>19</v>
      </c>
      <c r="W4" s="87">
        <v>20</v>
      </c>
      <c r="X4" s="87">
        <v>21</v>
      </c>
      <c r="Y4" s="87">
        <v>22</v>
      </c>
      <c r="Z4" s="87">
        <v>23</v>
      </c>
      <c r="AA4" s="87">
        <v>24</v>
      </c>
      <c r="AB4" s="87">
        <v>25</v>
      </c>
      <c r="AC4" s="87">
        <v>26</v>
      </c>
      <c r="AD4" s="87">
        <v>27</v>
      </c>
      <c r="AE4" s="87">
        <v>28</v>
      </c>
      <c r="AF4" s="87">
        <v>29</v>
      </c>
      <c r="AG4" s="87">
        <v>30</v>
      </c>
      <c r="AH4" s="87">
        <v>31</v>
      </c>
      <c r="AI4" s="87">
        <v>32</v>
      </c>
      <c r="AJ4" s="87">
        <v>33</v>
      </c>
      <c r="AK4" s="87">
        <v>34</v>
      </c>
      <c r="AL4" s="87">
        <v>35</v>
      </c>
      <c r="AM4" s="87">
        <v>36</v>
      </c>
      <c r="AN4" s="87">
        <v>37</v>
      </c>
      <c r="AO4" s="87">
        <v>38</v>
      </c>
      <c r="AP4" s="87">
        <v>39</v>
      </c>
      <c r="AQ4" s="87">
        <v>40</v>
      </c>
      <c r="AR4" s="87">
        <v>41</v>
      </c>
      <c r="AS4" s="87">
        <v>42</v>
      </c>
      <c r="AT4" s="87">
        <v>43</v>
      </c>
      <c r="AU4" s="87">
        <v>44</v>
      </c>
      <c r="AV4" s="87">
        <v>45</v>
      </c>
      <c r="AW4" s="87">
        <v>46</v>
      </c>
      <c r="AX4" s="87">
        <v>47</v>
      </c>
      <c r="AY4" s="87">
        <v>48</v>
      </c>
      <c r="AZ4" s="87">
        <v>49</v>
      </c>
      <c r="BA4" s="87">
        <v>50</v>
      </c>
      <c r="BB4" s="87">
        <v>51</v>
      </c>
      <c r="BC4" s="87">
        <v>52</v>
      </c>
      <c r="BD4" s="87">
        <v>53</v>
      </c>
      <c r="BE4" s="87">
        <v>54</v>
      </c>
      <c r="BF4" s="87">
        <v>55</v>
      </c>
      <c r="BG4" s="87">
        <v>56</v>
      </c>
      <c r="BH4" s="87">
        <v>57</v>
      </c>
      <c r="BI4" s="87">
        <v>58</v>
      </c>
      <c r="BJ4" s="87">
        <v>59</v>
      </c>
      <c r="BK4" s="87">
        <v>60</v>
      </c>
      <c r="BL4" s="87">
        <v>61</v>
      </c>
      <c r="BM4" s="87">
        <v>62</v>
      </c>
      <c r="BN4" s="87">
        <v>63</v>
      </c>
      <c r="BO4" s="87">
        <v>64</v>
      </c>
      <c r="BP4" s="87">
        <v>65</v>
      </c>
      <c r="BQ4" s="87">
        <v>66</v>
      </c>
      <c r="BR4" s="87">
        <v>67</v>
      </c>
      <c r="BS4" s="87">
        <v>68</v>
      </c>
      <c r="BT4" s="87">
        <v>69</v>
      </c>
      <c r="BU4" s="87">
        <v>70</v>
      </c>
      <c r="BV4" s="87">
        <v>71</v>
      </c>
      <c r="BW4" s="87">
        <v>72</v>
      </c>
      <c r="BX4" s="87">
        <v>73</v>
      </c>
      <c r="BY4" s="87">
        <v>74</v>
      </c>
      <c r="BZ4" s="87">
        <v>75</v>
      </c>
      <c r="CA4" s="87">
        <v>76</v>
      </c>
      <c r="CB4" s="87">
        <v>77</v>
      </c>
      <c r="CC4" s="87">
        <v>78</v>
      </c>
      <c r="CD4" s="87">
        <v>79</v>
      </c>
      <c r="CE4" s="87">
        <v>80</v>
      </c>
      <c r="CF4" s="87">
        <v>81</v>
      </c>
      <c r="CG4" s="87">
        <v>82</v>
      </c>
      <c r="CH4" s="87">
        <v>83</v>
      </c>
      <c r="CI4" s="87">
        <v>84</v>
      </c>
      <c r="CJ4" s="87">
        <v>85</v>
      </c>
      <c r="CK4" s="87">
        <v>86</v>
      </c>
      <c r="CL4" s="87">
        <v>87</v>
      </c>
      <c r="CM4" s="87">
        <v>88</v>
      </c>
      <c r="CN4" s="87">
        <v>89</v>
      </c>
      <c r="CO4" s="87">
        <v>90</v>
      </c>
      <c r="CP4" s="87">
        <v>91</v>
      </c>
      <c r="CQ4" s="87">
        <v>92</v>
      </c>
      <c r="CR4" s="87">
        <v>93</v>
      </c>
      <c r="CS4" s="87">
        <v>94</v>
      </c>
      <c r="CT4" s="87">
        <v>95</v>
      </c>
      <c r="CU4" s="87">
        <v>96</v>
      </c>
      <c r="CV4" s="87">
        <v>97</v>
      </c>
      <c r="CW4" s="87">
        <v>98</v>
      </c>
      <c r="CX4" s="87">
        <v>99</v>
      </c>
      <c r="CY4" s="87">
        <v>100</v>
      </c>
      <c r="CZ4" s="87">
        <v>101</v>
      </c>
      <c r="DA4" s="87">
        <v>102</v>
      </c>
      <c r="DB4" s="87">
        <v>103</v>
      </c>
      <c r="DC4" s="87">
        <v>104</v>
      </c>
      <c r="DD4" s="87">
        <v>105</v>
      </c>
      <c r="DE4" s="87">
        <v>106</v>
      </c>
      <c r="DF4" s="87">
        <v>107</v>
      </c>
      <c r="DG4" s="87">
        <v>108</v>
      </c>
      <c r="DH4" s="87">
        <v>109</v>
      </c>
      <c r="DI4" s="87">
        <v>110</v>
      </c>
      <c r="DJ4" s="87">
        <v>111</v>
      </c>
      <c r="DK4" s="87">
        <v>112</v>
      </c>
      <c r="DL4" s="87">
        <v>113</v>
      </c>
      <c r="DM4" s="87">
        <v>114</v>
      </c>
      <c r="DN4" s="87">
        <v>115</v>
      </c>
      <c r="DO4" s="87">
        <v>116</v>
      </c>
      <c r="DP4" s="87">
        <v>117</v>
      </c>
      <c r="DQ4" s="87">
        <v>118</v>
      </c>
      <c r="DR4" s="87">
        <v>119</v>
      </c>
      <c r="DS4" s="87">
        <v>120</v>
      </c>
    </row>
    <row r="6" spans="1:123" ht="15" customHeight="1" x14ac:dyDescent="0.2">
      <c r="B6" s="37" t="s">
        <v>1262</v>
      </c>
      <c r="D6" s="88">
        <f>SUP_CONTROL!$C$11*CAPA1_PILOTO!D16</f>
        <v>0</v>
      </c>
      <c r="E6" s="88">
        <f>SUP_CONTROL!$C$11*CAPA1_PILOTO!E16</f>
        <v>0</v>
      </c>
      <c r="F6" s="88">
        <f>SUP_CONTROL!$C$11*CAPA1_PILOTO!F16</f>
        <v>0</v>
      </c>
      <c r="G6" s="88">
        <f>SUP_CONTROL!$C$11*CAPA1_PILOTO!G16</f>
        <v>9427.5999999999985</v>
      </c>
      <c r="H6" s="88">
        <f>SUP_CONTROL!$C$11*CAPA1_PILOTO!H16</f>
        <v>20875.399999999998</v>
      </c>
      <c r="I6" s="88">
        <f>SUP_CONTROL!$C$11*CAPA1_PILOTO!I16</f>
        <v>34343.4</v>
      </c>
      <c r="J6" s="88">
        <f>SUP_CONTROL!$C$11*CAPA1_PILOTO!J16</f>
        <v>49225.54</v>
      </c>
      <c r="K6" s="88">
        <f>SUP_CONTROL!$C$11*CAPA1_PILOTO!K16</f>
        <v>65824.850000000006</v>
      </c>
      <c r="L6" s="88">
        <f>SUP_CONTROL!$C$11*CAPA1_PILOTO!L16</f>
        <v>70774.34</v>
      </c>
      <c r="M6" s="88">
        <f>SUP_CONTROL!$C$11*CAPA1_PILOTO!M16</f>
        <v>73400.600000000006</v>
      </c>
      <c r="N6" s="88">
        <f>SUP_CONTROL!$C$11*CAPA1_PILOTO!N16</f>
        <v>73400.600000000006</v>
      </c>
      <c r="O6" s="88">
        <f>SUP_CONTROL!$C$11*CAPA1_PILOTO!O16</f>
        <v>73400.600000000006</v>
      </c>
      <c r="P6" s="88">
        <f>SUP_CONTROL!$C$11*CAPA1_PILOTO!P16</f>
        <v>73400.600000000006</v>
      </c>
      <c r="Q6" s="88">
        <f>SUP_CONTROL!$C$11*CAPA1_PILOTO!Q16</f>
        <v>73400.600000000006</v>
      </c>
      <c r="R6" s="88">
        <f>SUP_CONTROL!$C$11*CAPA1_PILOTO!R16</f>
        <v>73400.600000000006</v>
      </c>
      <c r="S6" s="88">
        <f>SUP_CONTROL!$C$11*CAPA1_PILOTO!S16</f>
        <v>73400.600000000006</v>
      </c>
      <c r="T6" s="88">
        <f>SUP_CONTROL!$C$11*CAPA1_PILOTO!T16</f>
        <v>73400.600000000006</v>
      </c>
      <c r="U6" s="88">
        <f>SUP_CONTROL!$C$11*CAPA1_PILOTO!U16</f>
        <v>73400.600000000006</v>
      </c>
      <c r="V6" s="88">
        <f>SUP_CONTROL!$C$11*CAPA1_PILOTO!V16</f>
        <v>73400.600000000006</v>
      </c>
      <c r="W6" s="88">
        <f>SUP_CONTROL!$C$11*CAPA1_PILOTO!W16</f>
        <v>73400.600000000006</v>
      </c>
      <c r="X6" s="88">
        <f>SUP_CONTROL!$C$11*CAPA1_PILOTO!X16</f>
        <v>73400.600000000006</v>
      </c>
      <c r="Y6" s="88">
        <f>SUP_CONTROL!$C$11*CAPA1_PILOTO!Y16</f>
        <v>73400.600000000006</v>
      </c>
      <c r="Z6" s="88">
        <f>SUP_CONTROL!$C$11*CAPA1_PILOTO!Z16</f>
        <v>73400.600000000006</v>
      </c>
      <c r="AA6" s="88">
        <f>SUP_CONTROL!$C$11*CAPA1_PILOTO!AA16</f>
        <v>73400.600000000006</v>
      </c>
      <c r="AB6" s="88">
        <f>SUP_CONTROL!$C$11*CAPA1_PILOTO!AB16</f>
        <v>73400.600000000006</v>
      </c>
      <c r="AC6" s="88">
        <f>SUP_CONTROL!$C$11*CAPA1_PILOTO!AC16</f>
        <v>73400.600000000006</v>
      </c>
      <c r="AD6" s="88">
        <f>SUP_CONTROL!$C$11*CAPA1_PILOTO!AD16</f>
        <v>73400.600000000006</v>
      </c>
      <c r="AE6" s="88">
        <f>SUP_CONTROL!$C$11*CAPA1_PILOTO!AE16</f>
        <v>73400.600000000006</v>
      </c>
      <c r="AF6" s="88">
        <f>SUP_CONTROL!$C$11*CAPA1_PILOTO!AF16</f>
        <v>73400.600000000006</v>
      </c>
      <c r="AG6" s="88">
        <f>SUP_CONTROL!$C$11*CAPA1_PILOTO!AG16</f>
        <v>73400.600000000006</v>
      </c>
      <c r="AH6" s="88">
        <f>SUP_CONTROL!$C$11*CAPA1_PILOTO!AH16</f>
        <v>73400.600000000006</v>
      </c>
      <c r="AI6" s="88">
        <f>SUP_CONTROL!$C$11*CAPA1_PILOTO!AI16</f>
        <v>73400.600000000006</v>
      </c>
      <c r="AJ6" s="88">
        <f>SUP_CONTROL!$C$11*CAPA1_PILOTO!AJ16</f>
        <v>73400.600000000006</v>
      </c>
      <c r="AK6" s="88">
        <f>SUP_CONTROL!$C$11*CAPA1_PILOTO!AK16</f>
        <v>73400.600000000006</v>
      </c>
      <c r="AL6" s="88">
        <f>SUP_CONTROL!$C$11*CAPA1_PILOTO!AL16</f>
        <v>73400.600000000006</v>
      </c>
      <c r="AM6" s="88">
        <f>SUP_CONTROL!$C$11*CAPA1_PILOTO!AM16</f>
        <v>73400.600000000006</v>
      </c>
      <c r="AN6" s="88">
        <f>SUP_CONTROL!$C$11*CAPA1_PILOTO!AN16</f>
        <v>73400.600000000006</v>
      </c>
      <c r="AO6" s="88">
        <f>SUP_CONTROL!$C$11*CAPA1_PILOTO!AO16</f>
        <v>73400.600000000006</v>
      </c>
      <c r="AP6" s="88">
        <f>SUP_CONTROL!$C$11*CAPA1_PILOTO!AP16</f>
        <v>73400.600000000006</v>
      </c>
      <c r="AQ6" s="88">
        <f>SUP_CONTROL!$C$11*CAPA1_PILOTO!AQ16</f>
        <v>73400.600000000006</v>
      </c>
      <c r="AR6" s="88">
        <f>SUP_CONTROL!$C$11*CAPA1_PILOTO!AR16</f>
        <v>73400.600000000006</v>
      </c>
      <c r="AS6" s="88">
        <f>SUP_CONTROL!$C$11*CAPA1_PILOTO!AS16</f>
        <v>73400.600000000006</v>
      </c>
      <c r="AT6" s="88">
        <f>SUP_CONTROL!$C$11*CAPA1_PILOTO!AT16</f>
        <v>73400.600000000006</v>
      </c>
      <c r="AU6" s="88">
        <f>SUP_CONTROL!$C$11*CAPA1_PILOTO!AU16</f>
        <v>73400.600000000006</v>
      </c>
      <c r="AV6" s="88">
        <f>SUP_CONTROL!$C$11*CAPA1_PILOTO!AV16</f>
        <v>73400.600000000006</v>
      </c>
      <c r="AW6" s="88">
        <f>SUP_CONTROL!$C$11*CAPA1_PILOTO!AW16</f>
        <v>73400.600000000006</v>
      </c>
      <c r="AX6" s="88">
        <f>SUP_CONTROL!$C$11*CAPA1_PILOTO!AX16</f>
        <v>73400.600000000006</v>
      </c>
      <c r="AY6" s="88">
        <f>SUP_CONTROL!$C$11*CAPA1_PILOTO!AY16</f>
        <v>73400.600000000006</v>
      </c>
      <c r="AZ6" s="88">
        <f>SUP_CONTROL!$C$11*CAPA1_PILOTO!AZ16</f>
        <v>73400.600000000006</v>
      </c>
      <c r="BA6" s="88">
        <f>SUP_CONTROL!$C$11*CAPA1_PILOTO!BA16</f>
        <v>73400.600000000006</v>
      </c>
      <c r="BB6" s="88">
        <f>SUP_CONTROL!$C$11*CAPA1_PILOTO!BB16</f>
        <v>73400.600000000006</v>
      </c>
      <c r="BC6" s="88">
        <f>SUP_CONTROL!$C$11*CAPA1_PILOTO!BC16</f>
        <v>73400.600000000006</v>
      </c>
      <c r="BD6" s="88">
        <f>SUP_CONTROL!$C$11*CAPA1_PILOTO!BD16</f>
        <v>73400.600000000006</v>
      </c>
      <c r="BE6" s="88">
        <f>SUP_CONTROL!$C$11*CAPA1_PILOTO!BE16</f>
        <v>73400.600000000006</v>
      </c>
      <c r="BF6" s="88">
        <f>SUP_CONTROL!$C$11*CAPA1_PILOTO!BF16</f>
        <v>73400.600000000006</v>
      </c>
      <c r="BG6" s="88">
        <f>SUP_CONTROL!$C$11*CAPA1_PILOTO!BG16</f>
        <v>73400.600000000006</v>
      </c>
      <c r="BH6" s="88">
        <f>SUP_CONTROL!$C$11*CAPA1_PILOTO!BH16</f>
        <v>73400.600000000006</v>
      </c>
      <c r="BI6" s="88">
        <f>SUP_CONTROL!$C$11*CAPA1_PILOTO!BI16</f>
        <v>73400.600000000006</v>
      </c>
      <c r="BJ6" s="88">
        <f>SUP_CONTROL!$C$11*CAPA1_PILOTO!BJ16</f>
        <v>73400.600000000006</v>
      </c>
      <c r="BK6" s="88">
        <f>SUP_CONTROL!$C$11*CAPA1_PILOTO!BK16</f>
        <v>73400.600000000006</v>
      </c>
      <c r="BL6" s="88">
        <f>SUP_CONTROL!$C$11*CAPA1_PILOTO!BL16</f>
        <v>73400.600000000006</v>
      </c>
      <c r="BM6" s="88">
        <f>SUP_CONTROL!$C$11*CAPA1_PILOTO!BM16</f>
        <v>73400.600000000006</v>
      </c>
      <c r="BN6" s="88">
        <f>SUP_CONTROL!$C$11*CAPA1_PILOTO!BN16</f>
        <v>73400.600000000006</v>
      </c>
      <c r="BO6" s="88">
        <f>SUP_CONTROL!$C$11*CAPA1_PILOTO!BO16</f>
        <v>73400.600000000006</v>
      </c>
      <c r="BP6" s="88">
        <f>SUP_CONTROL!$C$11*CAPA1_PILOTO!BP16</f>
        <v>73400.600000000006</v>
      </c>
      <c r="BQ6" s="88">
        <f>SUP_CONTROL!$C$11*CAPA1_PILOTO!BQ16</f>
        <v>73400.600000000006</v>
      </c>
      <c r="BR6" s="88">
        <f>SUP_CONTROL!$C$11*CAPA1_PILOTO!BR16</f>
        <v>73400.600000000006</v>
      </c>
      <c r="BS6" s="88">
        <f>SUP_CONTROL!$C$11*CAPA1_PILOTO!BS16</f>
        <v>73400.600000000006</v>
      </c>
      <c r="BT6" s="88">
        <f>SUP_CONTROL!$C$11*CAPA1_PILOTO!BT16</f>
        <v>73400.600000000006</v>
      </c>
      <c r="BU6" s="88">
        <f>SUP_CONTROL!$C$11*CAPA1_PILOTO!BU16</f>
        <v>73400.600000000006</v>
      </c>
      <c r="BV6" s="88">
        <f>SUP_CONTROL!$C$11*CAPA1_PILOTO!BV16</f>
        <v>73400.600000000006</v>
      </c>
      <c r="BW6" s="88">
        <f>SUP_CONTROL!$C$11*CAPA1_PILOTO!BW16</f>
        <v>73400.600000000006</v>
      </c>
      <c r="BX6" s="88">
        <f>SUP_CONTROL!$C$11*CAPA1_PILOTO!BX16</f>
        <v>73400.600000000006</v>
      </c>
      <c r="BY6" s="88">
        <f>SUP_CONTROL!$C$11*CAPA1_PILOTO!BY16</f>
        <v>73400.600000000006</v>
      </c>
      <c r="BZ6" s="88">
        <f>SUP_CONTROL!$C$11*CAPA1_PILOTO!BZ16</f>
        <v>73400.600000000006</v>
      </c>
      <c r="CA6" s="88">
        <f>SUP_CONTROL!$C$11*CAPA1_PILOTO!CA16</f>
        <v>73400.600000000006</v>
      </c>
      <c r="CB6" s="88">
        <f>SUP_CONTROL!$C$11*CAPA1_PILOTO!CB16</f>
        <v>73400.600000000006</v>
      </c>
      <c r="CC6" s="88">
        <f>SUP_CONTROL!$C$11*CAPA1_PILOTO!CC16</f>
        <v>73400.600000000006</v>
      </c>
      <c r="CD6" s="88">
        <f>SUP_CONTROL!$C$11*CAPA1_PILOTO!CD16</f>
        <v>73400.600000000006</v>
      </c>
      <c r="CE6" s="88">
        <f>SUP_CONTROL!$C$11*CAPA1_PILOTO!CE16</f>
        <v>73400.600000000006</v>
      </c>
      <c r="CF6" s="88">
        <f>SUP_CONTROL!$C$11*CAPA1_PILOTO!CF16</f>
        <v>73400.600000000006</v>
      </c>
      <c r="CG6" s="88">
        <f>SUP_CONTROL!$C$11*CAPA1_PILOTO!CG16</f>
        <v>73400.600000000006</v>
      </c>
      <c r="CH6" s="88">
        <f>SUP_CONTROL!$C$11*CAPA1_PILOTO!CH16</f>
        <v>73400.600000000006</v>
      </c>
      <c r="CI6" s="88">
        <f>SUP_CONTROL!$C$11*CAPA1_PILOTO!CI16</f>
        <v>73400.600000000006</v>
      </c>
      <c r="CJ6" s="88">
        <f>SUP_CONTROL!$C$11*CAPA1_PILOTO!CJ16</f>
        <v>73400.600000000006</v>
      </c>
      <c r="CK6" s="88">
        <f>SUP_CONTROL!$C$11*CAPA1_PILOTO!CK16</f>
        <v>73400.600000000006</v>
      </c>
      <c r="CL6" s="88">
        <f>SUP_CONTROL!$C$11*CAPA1_PILOTO!CL16</f>
        <v>73400.600000000006</v>
      </c>
      <c r="CM6" s="88">
        <f>SUP_CONTROL!$C$11*CAPA1_PILOTO!CM16</f>
        <v>73400.600000000006</v>
      </c>
      <c r="CN6" s="88">
        <f>SUP_CONTROL!$C$11*CAPA1_PILOTO!CN16</f>
        <v>73400.600000000006</v>
      </c>
      <c r="CO6" s="88">
        <f>SUP_CONTROL!$C$11*CAPA1_PILOTO!CO16</f>
        <v>73400.600000000006</v>
      </c>
      <c r="CP6" s="88">
        <f>SUP_CONTROL!$C$11*CAPA1_PILOTO!CP16</f>
        <v>73400.600000000006</v>
      </c>
      <c r="CQ6" s="88">
        <f>SUP_CONTROL!$C$11*CAPA1_PILOTO!CQ16</f>
        <v>73400.600000000006</v>
      </c>
      <c r="CR6" s="88">
        <f>SUP_CONTROL!$C$11*CAPA1_PILOTO!CR16</f>
        <v>73400.600000000006</v>
      </c>
      <c r="CS6" s="88">
        <f>SUP_CONTROL!$C$11*CAPA1_PILOTO!CS16</f>
        <v>73400.600000000006</v>
      </c>
      <c r="CT6" s="88">
        <f>SUP_CONTROL!$C$11*CAPA1_PILOTO!CT16</f>
        <v>73400.600000000006</v>
      </c>
      <c r="CU6" s="88">
        <f>SUP_CONTROL!$C$11*CAPA1_PILOTO!CU16</f>
        <v>73400.600000000006</v>
      </c>
      <c r="CV6" s="88">
        <f>SUP_CONTROL!$C$11*CAPA1_PILOTO!CV16</f>
        <v>73400.600000000006</v>
      </c>
      <c r="CW6" s="88">
        <f>SUP_CONTROL!$C$11*CAPA1_PILOTO!CW16</f>
        <v>73400.600000000006</v>
      </c>
      <c r="CX6" s="88">
        <f>SUP_CONTROL!$C$11*CAPA1_PILOTO!CX16</f>
        <v>73400.600000000006</v>
      </c>
      <c r="CY6" s="88">
        <f>SUP_CONTROL!$C$11*CAPA1_PILOTO!CY16</f>
        <v>73400.600000000006</v>
      </c>
      <c r="CZ6" s="88">
        <f>SUP_CONTROL!$C$11*CAPA1_PILOTO!CZ16</f>
        <v>73400.600000000006</v>
      </c>
      <c r="DA6" s="88">
        <f>SUP_CONTROL!$C$11*CAPA1_PILOTO!DA16</f>
        <v>73400.600000000006</v>
      </c>
      <c r="DB6" s="88">
        <f>SUP_CONTROL!$C$11*CAPA1_PILOTO!DB16</f>
        <v>73400.600000000006</v>
      </c>
      <c r="DC6" s="88">
        <f>SUP_CONTROL!$C$11*CAPA1_PILOTO!DC16</f>
        <v>73400.600000000006</v>
      </c>
      <c r="DD6" s="88">
        <f>SUP_CONTROL!$C$11*CAPA1_PILOTO!DD16</f>
        <v>73400.600000000006</v>
      </c>
      <c r="DE6" s="88">
        <f>SUP_CONTROL!$C$11*CAPA1_PILOTO!DE16</f>
        <v>73400.600000000006</v>
      </c>
      <c r="DF6" s="88">
        <f>SUP_CONTROL!$C$11*CAPA1_PILOTO!DF16</f>
        <v>73400.600000000006</v>
      </c>
      <c r="DG6" s="88">
        <f>SUP_CONTROL!$C$11*CAPA1_PILOTO!DG16</f>
        <v>73400.600000000006</v>
      </c>
      <c r="DH6" s="88">
        <f>SUP_CONTROL!$C$11*CAPA1_PILOTO!DH16</f>
        <v>73400.600000000006</v>
      </c>
      <c r="DI6" s="88">
        <f>SUP_CONTROL!$C$11*CAPA1_PILOTO!DI16</f>
        <v>73400.600000000006</v>
      </c>
      <c r="DJ6" s="88">
        <f>SUP_CONTROL!$C$11*CAPA1_PILOTO!DJ16</f>
        <v>73400.600000000006</v>
      </c>
      <c r="DK6" s="88">
        <f>SUP_CONTROL!$C$11*CAPA1_PILOTO!DK16</f>
        <v>73400.600000000006</v>
      </c>
      <c r="DL6" s="88">
        <f>SUP_CONTROL!$C$11*CAPA1_PILOTO!DL16</f>
        <v>73400.600000000006</v>
      </c>
      <c r="DM6" s="88">
        <f>SUP_CONTROL!$C$11*CAPA1_PILOTO!DM16</f>
        <v>73400.600000000006</v>
      </c>
      <c r="DN6" s="88">
        <f>SUP_CONTROL!$C$11*CAPA1_PILOTO!DN16</f>
        <v>73400.600000000006</v>
      </c>
      <c r="DO6" s="88">
        <f>SUP_CONTROL!$C$11*CAPA1_PILOTO!DO16</f>
        <v>73400.600000000006</v>
      </c>
      <c r="DP6" s="88">
        <f>SUP_CONTROL!$C$11*CAPA1_PILOTO!DP16</f>
        <v>73400.600000000006</v>
      </c>
      <c r="DQ6" s="88">
        <f>SUP_CONTROL!$C$11*CAPA1_PILOTO!DQ16</f>
        <v>73400.600000000006</v>
      </c>
      <c r="DR6" s="88">
        <f>SUP_CONTROL!$C$11*CAPA1_PILOTO!DR16</f>
        <v>73400.600000000006</v>
      </c>
      <c r="DS6" s="88">
        <f>SUP_CONTROL!$C$11*CAPA1_PILOTO!DS16</f>
        <v>73400.600000000006</v>
      </c>
    </row>
    <row r="7" spans="1:123" ht="15" customHeight="1" x14ac:dyDescent="0.2">
      <c r="B7" s="37" t="s">
        <v>1263</v>
      </c>
      <c r="D7" s="88">
        <f>SUP_CONTROL!$C$12*CAPA2_FLAGSHIP!D12</f>
        <v>0</v>
      </c>
      <c r="E7" s="88">
        <f>SUP_CONTROL!$C$12*CAPA2_FLAGSHIP!E12</f>
        <v>0</v>
      </c>
      <c r="F7" s="88">
        <f>SUP_CONTROL!$C$12*CAPA2_FLAGSHIP!F12</f>
        <v>0</v>
      </c>
      <c r="G7" s="88">
        <f>SUP_CONTROL!$C$12*CAPA2_FLAGSHIP!G12</f>
        <v>0</v>
      </c>
      <c r="H7" s="88">
        <f>SUP_CONTROL!$C$12*CAPA2_FLAGSHIP!H12</f>
        <v>0</v>
      </c>
      <c r="I7" s="88">
        <f>SUP_CONTROL!$C$12*CAPA2_FLAGSHIP!I12</f>
        <v>0</v>
      </c>
      <c r="J7" s="88">
        <f>SUP_CONTROL!$C$12*CAPA2_FLAGSHIP!J12</f>
        <v>0</v>
      </c>
      <c r="K7" s="88">
        <f>SUP_CONTROL!$C$12*CAPA2_FLAGSHIP!K12</f>
        <v>0</v>
      </c>
      <c r="L7" s="88">
        <f>SUP_CONTROL!$C$12*CAPA2_FLAGSHIP!L12</f>
        <v>0</v>
      </c>
      <c r="M7" s="88">
        <f>SUP_CONTROL!$C$12*CAPA2_FLAGSHIP!M12</f>
        <v>0</v>
      </c>
      <c r="N7" s="88">
        <f>SUP_CONTROL!$C$12*CAPA2_FLAGSHIP!N12</f>
        <v>0</v>
      </c>
      <c r="O7" s="88">
        <f>SUP_CONTROL!$C$12*CAPA2_FLAGSHIP!O12</f>
        <v>0</v>
      </c>
      <c r="P7" s="88">
        <f>SUP_CONTROL!$C$12*CAPA2_FLAGSHIP!P12</f>
        <v>0</v>
      </c>
      <c r="Q7" s="88">
        <f>SUP_CONTROL!$C$12*CAPA2_FLAGSHIP!Q12</f>
        <v>0</v>
      </c>
      <c r="R7" s="88">
        <f>SUP_CONTROL!$C$12*CAPA2_FLAGSHIP!R12</f>
        <v>0</v>
      </c>
      <c r="S7" s="88">
        <f>SUP_CONTROL!$C$12*CAPA2_FLAGSHIP!S12</f>
        <v>0</v>
      </c>
      <c r="T7" s="88">
        <f>SUP_CONTROL!$C$12*CAPA2_FLAGSHIP!T12</f>
        <v>0</v>
      </c>
      <c r="U7" s="88">
        <f>SUP_CONTROL!$C$12*CAPA2_FLAGSHIP!U12</f>
        <v>0</v>
      </c>
      <c r="V7" s="88">
        <f>SUP_CONTROL!$C$12*CAPA2_FLAGSHIP!V12</f>
        <v>0</v>
      </c>
      <c r="W7" s="88">
        <f>SUP_CONTROL!$C$12*CAPA2_FLAGSHIP!W12</f>
        <v>0</v>
      </c>
      <c r="X7" s="88">
        <f>SUP_CONTROL!$C$12*CAPA2_FLAGSHIP!X12</f>
        <v>0</v>
      </c>
      <c r="Y7" s="88">
        <f>SUP_CONTROL!$C$12*CAPA2_FLAGSHIP!Y12</f>
        <v>0</v>
      </c>
      <c r="Z7" s="88">
        <f>SUP_CONTROL!$C$12*CAPA2_FLAGSHIP!Z12</f>
        <v>0</v>
      </c>
      <c r="AA7" s="88">
        <f>SUP_CONTROL!$C$12*CAPA2_FLAGSHIP!AA12</f>
        <v>0</v>
      </c>
      <c r="AB7" s="88">
        <f>SUP_CONTROL!$C$12*CAPA2_FLAGSHIP!AB12</f>
        <v>0</v>
      </c>
      <c r="AC7" s="88">
        <f>SUP_CONTROL!$C$12*CAPA2_FLAGSHIP!AC12</f>
        <v>0</v>
      </c>
      <c r="AD7" s="88">
        <f>SUP_CONTROL!$C$12*CAPA2_FLAGSHIP!AD12</f>
        <v>0</v>
      </c>
      <c r="AE7" s="88">
        <f>SUP_CONTROL!$C$12*CAPA2_FLAGSHIP!AE12</f>
        <v>0</v>
      </c>
      <c r="AF7" s="88">
        <f>SUP_CONTROL!$C$12*CAPA2_FLAGSHIP!AF12</f>
        <v>0</v>
      </c>
      <c r="AG7" s="88">
        <f>SUP_CONTROL!$C$12*CAPA2_FLAGSHIP!AG12</f>
        <v>0</v>
      </c>
      <c r="AH7" s="88">
        <f>SUP_CONTROL!$C$12*CAPA2_FLAGSHIP!AH12</f>
        <v>0</v>
      </c>
      <c r="AI7" s="88">
        <f>SUP_CONTROL!$C$12*CAPA2_FLAGSHIP!AI12</f>
        <v>0</v>
      </c>
      <c r="AJ7" s="88">
        <f>SUP_CONTROL!$C$12*CAPA2_FLAGSHIP!AJ12</f>
        <v>0</v>
      </c>
      <c r="AK7" s="88">
        <f>SUP_CONTROL!$C$12*CAPA2_FLAGSHIP!AK12</f>
        <v>0</v>
      </c>
      <c r="AL7" s="88">
        <f>SUP_CONTROL!$C$12*CAPA2_FLAGSHIP!AL12</f>
        <v>0</v>
      </c>
      <c r="AM7" s="88">
        <f>SUP_CONTROL!$C$12*CAPA2_FLAGSHIP!AM12</f>
        <v>0</v>
      </c>
      <c r="AN7" s="88">
        <f>SUP_CONTROL!$C$12*CAPA2_FLAGSHIP!AN12</f>
        <v>0</v>
      </c>
      <c r="AO7" s="88">
        <f>SUP_CONTROL!$C$12*CAPA2_FLAGSHIP!AO12</f>
        <v>0</v>
      </c>
      <c r="AP7" s="88">
        <f>SUP_CONTROL!$C$12*CAPA2_FLAGSHIP!AP12</f>
        <v>0</v>
      </c>
      <c r="AQ7" s="88">
        <f>SUP_CONTROL!$C$12*CAPA2_FLAGSHIP!AQ12</f>
        <v>0</v>
      </c>
      <c r="AR7" s="88">
        <f>SUP_CONTROL!$C$12*CAPA2_FLAGSHIP!AR12</f>
        <v>0</v>
      </c>
      <c r="AS7" s="88">
        <f>SUP_CONTROL!$C$12*CAPA2_FLAGSHIP!AS12</f>
        <v>0</v>
      </c>
      <c r="AT7" s="88">
        <f>SUP_CONTROL!$C$12*CAPA2_FLAGSHIP!AT12</f>
        <v>0</v>
      </c>
      <c r="AU7" s="88">
        <f>SUP_CONTROL!$C$12*CAPA2_FLAGSHIP!AU12</f>
        <v>0</v>
      </c>
      <c r="AV7" s="88">
        <f>SUP_CONTROL!$C$12*CAPA2_FLAGSHIP!AV12</f>
        <v>0</v>
      </c>
      <c r="AW7" s="88">
        <f>SUP_CONTROL!$C$12*CAPA2_FLAGSHIP!AW12</f>
        <v>0</v>
      </c>
      <c r="AX7" s="88">
        <f>SUP_CONTROL!$C$12*CAPA2_FLAGSHIP!AX12</f>
        <v>0</v>
      </c>
      <c r="AY7" s="88">
        <f>SUP_CONTROL!$C$12*CAPA2_FLAGSHIP!AY12</f>
        <v>0</v>
      </c>
      <c r="AZ7" s="88">
        <f>SUP_CONTROL!$C$12*CAPA2_FLAGSHIP!AZ12</f>
        <v>0</v>
      </c>
      <c r="BA7" s="88">
        <f>SUP_CONTROL!$C$12*CAPA2_FLAGSHIP!BA12</f>
        <v>0</v>
      </c>
      <c r="BB7" s="88">
        <f>SUP_CONTROL!$C$12*CAPA2_FLAGSHIP!BB12</f>
        <v>0</v>
      </c>
      <c r="BC7" s="88">
        <f>SUP_CONTROL!$C$12*CAPA2_FLAGSHIP!BC12</f>
        <v>0</v>
      </c>
      <c r="BD7" s="88">
        <f>SUP_CONTROL!$C$12*CAPA2_FLAGSHIP!BD12</f>
        <v>0</v>
      </c>
      <c r="BE7" s="88">
        <f>SUP_CONTROL!$C$12*CAPA2_FLAGSHIP!BE12</f>
        <v>0</v>
      </c>
      <c r="BF7" s="88">
        <f>SUP_CONTROL!$C$12*CAPA2_FLAGSHIP!BF12</f>
        <v>0</v>
      </c>
      <c r="BG7" s="88">
        <f>SUP_CONTROL!$C$12*CAPA2_FLAGSHIP!BG12</f>
        <v>0</v>
      </c>
      <c r="BH7" s="88">
        <f>SUP_CONTROL!$C$12*CAPA2_FLAGSHIP!BH12</f>
        <v>0</v>
      </c>
      <c r="BI7" s="88">
        <f>SUP_CONTROL!$C$12*CAPA2_FLAGSHIP!BI12</f>
        <v>0</v>
      </c>
      <c r="BJ7" s="88">
        <f>SUP_CONTROL!$C$12*CAPA2_FLAGSHIP!BJ12</f>
        <v>0</v>
      </c>
      <c r="BK7" s="88">
        <f>SUP_CONTROL!$C$12*CAPA2_FLAGSHIP!BK12</f>
        <v>0</v>
      </c>
      <c r="BL7" s="88">
        <f>SUP_CONTROL!$C$12*CAPA2_FLAGSHIP!BL12</f>
        <v>0</v>
      </c>
      <c r="BM7" s="88">
        <f>SUP_CONTROL!$C$12*CAPA2_FLAGSHIP!BM12</f>
        <v>0</v>
      </c>
      <c r="BN7" s="88">
        <f>SUP_CONTROL!$C$12*CAPA2_FLAGSHIP!BN12</f>
        <v>0</v>
      </c>
      <c r="BO7" s="88">
        <f>SUP_CONTROL!$C$12*CAPA2_FLAGSHIP!BO12</f>
        <v>0</v>
      </c>
      <c r="BP7" s="88">
        <f>SUP_CONTROL!$C$12*CAPA2_FLAGSHIP!BP12</f>
        <v>0</v>
      </c>
      <c r="BQ7" s="88">
        <f>SUP_CONTROL!$C$12*CAPA2_FLAGSHIP!BQ12</f>
        <v>0</v>
      </c>
      <c r="BR7" s="88">
        <f>SUP_CONTROL!$C$12*CAPA2_FLAGSHIP!BR12</f>
        <v>0</v>
      </c>
      <c r="BS7" s="88">
        <f>SUP_CONTROL!$C$12*CAPA2_FLAGSHIP!BS12</f>
        <v>0</v>
      </c>
      <c r="BT7" s="88">
        <f>SUP_CONTROL!$C$12*CAPA2_FLAGSHIP!BT12</f>
        <v>0</v>
      </c>
      <c r="BU7" s="88">
        <f>SUP_CONTROL!$C$12*CAPA2_FLAGSHIP!BU12</f>
        <v>0</v>
      </c>
      <c r="BV7" s="88">
        <f>SUP_CONTROL!$C$12*CAPA2_FLAGSHIP!BV12</f>
        <v>0</v>
      </c>
      <c r="BW7" s="88">
        <f>SUP_CONTROL!$C$12*CAPA2_FLAGSHIP!BW12</f>
        <v>0</v>
      </c>
      <c r="BX7" s="88">
        <f>SUP_CONTROL!$C$12*CAPA2_FLAGSHIP!BX12</f>
        <v>0</v>
      </c>
      <c r="BY7" s="88">
        <f>SUP_CONTROL!$C$12*CAPA2_FLAGSHIP!BY12</f>
        <v>0</v>
      </c>
      <c r="BZ7" s="88">
        <f>SUP_CONTROL!$C$12*CAPA2_FLAGSHIP!BZ12</f>
        <v>0</v>
      </c>
      <c r="CA7" s="88">
        <f>SUP_CONTROL!$C$12*CAPA2_FLAGSHIP!CA12</f>
        <v>0</v>
      </c>
      <c r="CB7" s="88">
        <f>SUP_CONTROL!$C$12*CAPA2_FLAGSHIP!CB12</f>
        <v>0</v>
      </c>
      <c r="CC7" s="88">
        <f>SUP_CONTROL!$C$12*CAPA2_FLAGSHIP!CC12</f>
        <v>0</v>
      </c>
      <c r="CD7" s="88">
        <f>SUP_CONTROL!$C$12*CAPA2_FLAGSHIP!CD12</f>
        <v>0</v>
      </c>
      <c r="CE7" s="88">
        <f>SUP_CONTROL!$C$12*CAPA2_FLAGSHIP!CE12</f>
        <v>0</v>
      </c>
      <c r="CF7" s="88">
        <f>SUP_CONTROL!$C$12*CAPA2_FLAGSHIP!CF12</f>
        <v>0</v>
      </c>
      <c r="CG7" s="88">
        <f>SUP_CONTROL!$C$12*CAPA2_FLAGSHIP!CG12</f>
        <v>0</v>
      </c>
      <c r="CH7" s="88">
        <f>SUP_CONTROL!$C$12*CAPA2_FLAGSHIP!CH12</f>
        <v>0</v>
      </c>
      <c r="CI7" s="88">
        <f>SUP_CONTROL!$C$12*CAPA2_FLAGSHIP!CI12</f>
        <v>0</v>
      </c>
      <c r="CJ7" s="88">
        <f>SUP_CONTROL!$C$12*CAPA2_FLAGSHIP!CJ12</f>
        <v>0</v>
      </c>
      <c r="CK7" s="88">
        <f>SUP_CONTROL!$C$12*CAPA2_FLAGSHIP!CK12</f>
        <v>0</v>
      </c>
      <c r="CL7" s="88">
        <f>SUP_CONTROL!$C$12*CAPA2_FLAGSHIP!CL12</f>
        <v>0</v>
      </c>
      <c r="CM7" s="88">
        <f>SUP_CONTROL!$C$12*CAPA2_FLAGSHIP!CM12</f>
        <v>0</v>
      </c>
      <c r="CN7" s="88">
        <f>SUP_CONTROL!$C$12*CAPA2_FLAGSHIP!CN12</f>
        <v>0</v>
      </c>
      <c r="CO7" s="88">
        <f>SUP_CONTROL!$C$12*CAPA2_FLAGSHIP!CO12</f>
        <v>0</v>
      </c>
      <c r="CP7" s="88">
        <f>SUP_CONTROL!$C$12*CAPA2_FLAGSHIP!CP12</f>
        <v>0</v>
      </c>
      <c r="CQ7" s="88">
        <f>SUP_CONTROL!$C$12*CAPA2_FLAGSHIP!CQ12</f>
        <v>0</v>
      </c>
      <c r="CR7" s="88">
        <f>SUP_CONTROL!$C$12*CAPA2_FLAGSHIP!CR12</f>
        <v>0</v>
      </c>
      <c r="CS7" s="88">
        <f>SUP_CONTROL!$C$12*CAPA2_FLAGSHIP!CS12</f>
        <v>0</v>
      </c>
      <c r="CT7" s="88">
        <f>SUP_CONTROL!$C$12*CAPA2_FLAGSHIP!CT12</f>
        <v>0</v>
      </c>
      <c r="CU7" s="88">
        <f>SUP_CONTROL!$C$12*CAPA2_FLAGSHIP!CU12</f>
        <v>0</v>
      </c>
      <c r="CV7" s="88">
        <f>SUP_CONTROL!$C$12*CAPA2_FLAGSHIP!CV12</f>
        <v>0</v>
      </c>
      <c r="CW7" s="88">
        <f>SUP_CONTROL!$C$12*CAPA2_FLAGSHIP!CW12</f>
        <v>0</v>
      </c>
      <c r="CX7" s="88">
        <f>SUP_CONTROL!$C$12*CAPA2_FLAGSHIP!CX12</f>
        <v>0</v>
      </c>
      <c r="CY7" s="88">
        <f>SUP_CONTROL!$C$12*CAPA2_FLAGSHIP!CY12</f>
        <v>0</v>
      </c>
      <c r="CZ7" s="88">
        <f>SUP_CONTROL!$C$12*CAPA2_FLAGSHIP!CZ12</f>
        <v>0</v>
      </c>
      <c r="DA7" s="88">
        <f>SUP_CONTROL!$C$12*CAPA2_FLAGSHIP!DA12</f>
        <v>0</v>
      </c>
      <c r="DB7" s="88">
        <f>SUP_CONTROL!$C$12*CAPA2_FLAGSHIP!DB12</f>
        <v>0</v>
      </c>
      <c r="DC7" s="88">
        <f>SUP_CONTROL!$C$12*CAPA2_FLAGSHIP!DC12</f>
        <v>0</v>
      </c>
      <c r="DD7" s="88">
        <f>SUP_CONTROL!$C$12*CAPA2_FLAGSHIP!DD12</f>
        <v>0</v>
      </c>
      <c r="DE7" s="88">
        <f>SUP_CONTROL!$C$12*CAPA2_FLAGSHIP!DE12</f>
        <v>0</v>
      </c>
      <c r="DF7" s="88">
        <f>SUP_CONTROL!$C$12*CAPA2_FLAGSHIP!DF12</f>
        <v>0</v>
      </c>
      <c r="DG7" s="88">
        <f>SUP_CONTROL!$C$12*CAPA2_FLAGSHIP!DG12</f>
        <v>0</v>
      </c>
      <c r="DH7" s="88">
        <f>SUP_CONTROL!$C$12*CAPA2_FLAGSHIP!DH12</f>
        <v>0</v>
      </c>
      <c r="DI7" s="88">
        <f>SUP_CONTROL!$C$12*CAPA2_FLAGSHIP!DI12</f>
        <v>0</v>
      </c>
      <c r="DJ7" s="88">
        <f>SUP_CONTROL!$C$12*CAPA2_FLAGSHIP!DJ12</f>
        <v>0</v>
      </c>
      <c r="DK7" s="88">
        <f>SUP_CONTROL!$C$12*CAPA2_FLAGSHIP!DK12</f>
        <v>0</v>
      </c>
      <c r="DL7" s="88">
        <f>SUP_CONTROL!$C$12*CAPA2_FLAGSHIP!DL12</f>
        <v>0</v>
      </c>
      <c r="DM7" s="88">
        <f>SUP_CONTROL!$C$12*CAPA2_FLAGSHIP!DM12</f>
        <v>0</v>
      </c>
      <c r="DN7" s="88">
        <f>SUP_CONTROL!$C$12*CAPA2_FLAGSHIP!DN12</f>
        <v>0</v>
      </c>
      <c r="DO7" s="88">
        <f>SUP_CONTROL!$C$12*CAPA2_FLAGSHIP!DO12</f>
        <v>0</v>
      </c>
      <c r="DP7" s="88">
        <f>SUP_CONTROL!$C$12*CAPA2_FLAGSHIP!DP12</f>
        <v>0</v>
      </c>
      <c r="DQ7" s="88">
        <f>SUP_CONTROL!$C$12*CAPA2_FLAGSHIP!DQ12</f>
        <v>0</v>
      </c>
      <c r="DR7" s="88">
        <f>SUP_CONTROL!$C$12*CAPA2_FLAGSHIP!DR12</f>
        <v>0</v>
      </c>
      <c r="DS7" s="88">
        <f>SUP_CONTROL!$C$12*CAPA2_FLAGSHIP!DS12</f>
        <v>0</v>
      </c>
    </row>
    <row r="8" spans="1:123" ht="15" customHeight="1" x14ac:dyDescent="0.2">
      <c r="B8" s="37" t="s">
        <v>1264</v>
      </c>
      <c r="D8" s="88">
        <f>SUP_CONTROL!$C$13*CAPA3_EXPANSION!D41</f>
        <v>0</v>
      </c>
      <c r="E8" s="88">
        <f>SUP_CONTROL!$C$13*CAPA3_EXPANSION!E41</f>
        <v>0</v>
      </c>
      <c r="F8" s="88">
        <f>SUP_CONTROL!$C$13*CAPA3_EXPANSION!F41</f>
        <v>0</v>
      </c>
      <c r="G8" s="88">
        <f>SUP_CONTROL!$C$13*CAPA3_EXPANSION!G41</f>
        <v>0</v>
      </c>
      <c r="H8" s="88">
        <f>SUP_CONTROL!$C$13*CAPA3_EXPANSION!H41</f>
        <v>0</v>
      </c>
      <c r="I8" s="88">
        <f>SUP_CONTROL!$C$13*CAPA3_EXPANSION!I41</f>
        <v>0</v>
      </c>
      <c r="J8" s="88">
        <f>SUP_CONTROL!$C$13*CAPA3_EXPANSION!J41</f>
        <v>0</v>
      </c>
      <c r="K8" s="88">
        <f>SUP_CONTROL!$C$13*CAPA3_EXPANSION!K41</f>
        <v>0</v>
      </c>
      <c r="L8" s="88">
        <f>SUP_CONTROL!$C$13*CAPA3_EXPANSION!L41</f>
        <v>0</v>
      </c>
      <c r="M8" s="88">
        <f>SUP_CONTROL!$C$13*CAPA3_EXPANSION!M41</f>
        <v>0</v>
      </c>
      <c r="N8" s="88">
        <f>SUP_CONTROL!$C$13*CAPA3_EXPANSION!N41</f>
        <v>0</v>
      </c>
      <c r="O8" s="88">
        <f>SUP_CONTROL!$C$13*CAPA3_EXPANSION!O41</f>
        <v>0</v>
      </c>
      <c r="P8" s="88">
        <f>SUP_CONTROL!$C$13*CAPA3_EXPANSION!P41</f>
        <v>0</v>
      </c>
      <c r="Q8" s="88">
        <f>SUP_CONTROL!$C$13*CAPA3_EXPANSION!Q41</f>
        <v>0</v>
      </c>
      <c r="R8" s="88">
        <f>SUP_CONTROL!$C$13*CAPA3_EXPANSION!R41</f>
        <v>0</v>
      </c>
      <c r="S8" s="88">
        <f>SUP_CONTROL!$C$13*CAPA3_EXPANSION!S41</f>
        <v>0</v>
      </c>
      <c r="T8" s="88">
        <f>SUP_CONTROL!$C$13*CAPA3_EXPANSION!T41</f>
        <v>4377.1000000000004</v>
      </c>
      <c r="U8" s="88">
        <f>SUP_CONTROL!$C$13*CAPA3_EXPANSION!U41</f>
        <v>5387.2000000000007</v>
      </c>
      <c r="V8" s="88">
        <f>SUP_CONTROL!$C$13*CAPA3_EXPANSION!V41</f>
        <v>10437.700000000001</v>
      </c>
      <c r="W8" s="88">
        <f>SUP_CONTROL!$C$13*CAPA3_EXPANSION!W41</f>
        <v>16498.300000000003</v>
      </c>
      <c r="X8" s="88">
        <f>SUP_CONTROL!$C$13*CAPA3_EXPANSION!X41</f>
        <v>18181.800000000003</v>
      </c>
      <c r="Y8" s="88">
        <f>SUP_CONTROL!$C$13*CAPA3_EXPANSION!Y41</f>
        <v>19528.599999999999</v>
      </c>
      <c r="Z8" s="88">
        <f>SUP_CONTROL!$C$13*CAPA3_EXPANSION!Z41</f>
        <v>20202</v>
      </c>
      <c r="AA8" s="88">
        <f>SUP_CONTROL!$C$13*CAPA3_EXPANSION!AA41</f>
        <v>20202</v>
      </c>
      <c r="AB8" s="88">
        <f>SUP_CONTROL!$C$13*CAPA3_EXPANSION!AB41</f>
        <v>20202</v>
      </c>
      <c r="AC8" s="88">
        <f>SUP_CONTROL!$C$13*CAPA3_EXPANSION!AC41</f>
        <v>20202</v>
      </c>
      <c r="AD8" s="88">
        <f>SUP_CONTROL!$C$13*CAPA3_EXPANSION!AD41</f>
        <v>19595.939999999999</v>
      </c>
      <c r="AE8" s="88">
        <f>SUP_CONTROL!$C$13*CAPA3_EXPANSION!AE41</f>
        <v>19595.939999999999</v>
      </c>
      <c r="AF8" s="88">
        <f>SUP_CONTROL!$C$13*CAPA3_EXPANSION!AF41</f>
        <v>25115.463100000001</v>
      </c>
      <c r="AG8" s="88">
        <f>SUP_CONTROL!$C$13*CAPA3_EXPANSION!AG41</f>
        <v>30634.986199999999</v>
      </c>
      <c r="AH8" s="88">
        <f>SUP_CONTROL!$C$13*CAPA3_EXPANSION!AH41</f>
        <v>32463.940600000002</v>
      </c>
      <c r="AI8" s="88">
        <f>SUP_CONTROL!$C$13*CAPA3_EXPANSION!AI41</f>
        <v>38212.082999999999</v>
      </c>
      <c r="AJ8" s="88">
        <f>SUP_CONTROL!$C$13*CAPA3_EXPANSION!AJ41</f>
        <v>44090.865000000005</v>
      </c>
      <c r="AK8" s="88">
        <f>SUP_CONTROL!$C$13*CAPA3_EXPANSION!AK41</f>
        <v>45723.86</v>
      </c>
      <c r="AL8" s="88">
        <f>SUP_CONTROL!$C$13*CAPA3_EXPANSION!AL41</f>
        <v>45818.135999999999</v>
      </c>
      <c r="AM8" s="88">
        <f>SUP_CONTROL!$C$13*CAPA3_EXPANSION!AM41</f>
        <v>51831.766349999998</v>
      </c>
      <c r="AN8" s="88">
        <f>SUP_CONTROL!$C$13*CAPA3_EXPANSION!AN41</f>
        <v>57209.033699999993</v>
      </c>
      <c r="AO8" s="88">
        <f>SUP_CONTROL!$C$13*CAPA3_EXPANSION!AO41</f>
        <v>63127.209599999995</v>
      </c>
      <c r="AP8" s="88">
        <f>SUP_CONTROL!$C$13*CAPA3_EXPANSION!AP41</f>
        <v>69681.748500000002</v>
      </c>
      <c r="AQ8" s="88">
        <f>SUP_CONTROL!$C$13*CAPA3_EXPANSION!AQ41</f>
        <v>71909.018999999986</v>
      </c>
      <c r="AR8" s="88">
        <f>SUP_CONTROL!$C$13*CAPA3_EXPANSION!AR41</f>
        <v>78559.01234999999</v>
      </c>
      <c r="AS8" s="88">
        <f>SUP_CONTROL!$C$13*CAPA3_EXPANSION!AS41</f>
        <v>80436.283199999991</v>
      </c>
      <c r="AT8" s="88">
        <f>SUP_CONTROL!$C$13*CAPA3_EXPANSION!AT41</f>
        <v>85399.914600000004</v>
      </c>
      <c r="AU8" s="88">
        <f>SUP_CONTROL!$C$13*CAPA3_EXPANSION!AU41</f>
        <v>91318.090499999991</v>
      </c>
      <c r="AV8" s="88">
        <f>SUP_CONTROL!$C$13*CAPA3_EXPANSION!AV41</f>
        <v>92908.997999999978</v>
      </c>
      <c r="AW8" s="88">
        <f>SUP_CONTROL!$C$13*CAPA3_EXPANSION!AW41</f>
        <v>94181.723999999987</v>
      </c>
      <c r="AX8" s="88">
        <f>SUP_CONTROL!$C$13*CAPA3_EXPANSION!AX41</f>
        <v>94818.087</v>
      </c>
      <c r="AY8" s="88">
        <f>SUP_CONTROL!$C$13*CAPA3_EXPANSION!AY41</f>
        <v>94818.087</v>
      </c>
      <c r="AZ8" s="88">
        <f>SUP_CONTROL!$C$13*CAPA3_EXPANSION!AZ41</f>
        <v>94818.087</v>
      </c>
      <c r="BA8" s="88">
        <f>SUP_CONTROL!$C$13*CAPA3_EXPANSION!BA41</f>
        <v>92309.672000000006</v>
      </c>
      <c r="BB8" s="88">
        <f>SUP_CONTROL!$C$13*CAPA3_EXPANSION!BB41</f>
        <v>92309.672000000006</v>
      </c>
      <c r="BC8" s="88">
        <f>SUP_CONTROL!$C$13*CAPA3_EXPANSION!BC41</f>
        <v>92309.672000000006</v>
      </c>
      <c r="BD8" s="88">
        <f>SUP_CONTROL!$C$13*CAPA3_EXPANSION!BD41</f>
        <v>100363.53600000001</v>
      </c>
      <c r="BE8" s="88">
        <f>SUP_CONTROL!$C$13*CAPA3_EXPANSION!BE41</f>
        <v>106249.05200000001</v>
      </c>
      <c r="BF8" s="88">
        <f>SUP_CONTROL!$C$13*CAPA3_EXPANSION!BF41</f>
        <v>111181.70699999999</v>
      </c>
      <c r="BG8" s="88">
        <f>SUP_CONTROL!$C$13*CAPA3_EXPANSION!BG41</f>
        <v>118121.094</v>
      </c>
      <c r="BH8" s="88">
        <f>SUP_CONTROL!$C$13*CAPA3_EXPANSION!BH41</f>
        <v>124363.512</v>
      </c>
      <c r="BI8" s="88">
        <f>SUP_CONTROL!$C$13*CAPA3_EXPANSION!BI41</f>
        <v>130605.93</v>
      </c>
      <c r="BJ8" s="88">
        <f>SUP_CONTROL!$C$13*CAPA3_EXPANSION!BJ41</f>
        <v>137848.34700000001</v>
      </c>
      <c r="BK8" s="88">
        <f>SUP_CONTROL!$C$13*CAPA3_EXPANSION!BK41</f>
        <v>140977.63679999998</v>
      </c>
      <c r="BL8" s="88">
        <f>SUP_CONTROL!$C$13*CAPA3_EXPANSION!BL41</f>
        <v>147081.33439999999</v>
      </c>
      <c r="BM8" s="88">
        <f>SUP_CONTROL!$C$13*CAPA3_EXPANSION!BM41</f>
        <v>153185.03200000001</v>
      </c>
      <c r="BN8" s="88">
        <f>SUP_CONTROL!$C$13*CAPA3_EXPANSION!BN41</f>
        <v>160266.50640000001</v>
      </c>
      <c r="BO8" s="88">
        <f>SUP_CONTROL!$C$13*CAPA3_EXPANSION!BO41</f>
        <v>166459.09280000004</v>
      </c>
      <c r="BP8" s="88">
        <f>SUP_CONTROL!$C$13*CAPA3_EXPANSION!BP41</f>
        <v>169621.37920000005</v>
      </c>
      <c r="BQ8" s="88">
        <f>SUP_CONTROL!$C$13*CAPA3_EXPANSION!BQ41</f>
        <v>175621.03650000005</v>
      </c>
      <c r="BR8" s="88">
        <f>SUP_CONTROL!$C$13*CAPA3_EXPANSION!BR41</f>
        <v>182581.80395000006</v>
      </c>
      <c r="BS8" s="88">
        <f>SUP_CONTROL!$C$13*CAPA3_EXPANSION!BS41</f>
        <v>192455.02640000006</v>
      </c>
      <c r="BT8" s="88">
        <f>SUP_CONTROL!$C$13*CAPA3_EXPANSION!BT41</f>
        <v>199328.42020000005</v>
      </c>
      <c r="BU8" s="88">
        <f>SUP_CONTROL!$C$13*CAPA3_EXPANSION!BU41</f>
        <v>202339.86499999996</v>
      </c>
      <c r="BV8" s="88">
        <f>SUP_CONTROL!$C$13*CAPA3_EXPANSION!BV41</f>
        <v>208636.15499999997</v>
      </c>
      <c r="BW8" s="88">
        <f>SUP_CONTROL!$C$13*CAPA3_EXPANSION!BW41</f>
        <v>215476.21549999996</v>
      </c>
      <c r="BX8" s="88">
        <f>SUP_CONTROL!$C$13*CAPA3_EXPANSION!BX41</f>
        <v>221457.69099999996</v>
      </c>
      <c r="BY8" s="88">
        <f>SUP_CONTROL!$C$13*CAPA3_EXPANSION!BY41</f>
        <v>227353.30799999993</v>
      </c>
      <c r="BZ8" s="88">
        <f>SUP_CONTROL!$C$13*CAPA3_EXPANSION!BZ41</f>
        <v>234181.58399999992</v>
      </c>
      <c r="CA8" s="88">
        <f>SUP_CONTROL!$C$13*CAPA3_EXPANSION!CA41</f>
        <v>241789.65719999993</v>
      </c>
      <c r="CB8" s="88">
        <f>SUP_CONTROL!$C$13*CAPA3_EXPANSION!CB41</f>
        <v>248266.41839999994</v>
      </c>
      <c r="CC8" s="88">
        <f>SUP_CONTROL!$C$13*CAPA3_EXPANSION!CC41</f>
        <v>250981.5671999999</v>
      </c>
      <c r="CD8" s="88">
        <f>SUP_CONTROL!$C$13*CAPA3_EXPANSION!CD41</f>
        <v>252282.57599999991</v>
      </c>
      <c r="CE8" s="88">
        <f>SUP_CONTROL!$C$13*CAPA3_EXPANSION!CE41</f>
        <v>252848.2319999999</v>
      </c>
      <c r="CF8" s="88">
        <f>SUP_CONTROL!$C$13*CAPA3_EXPANSION!CF41</f>
        <v>252848.2319999999</v>
      </c>
      <c r="CG8" s="88">
        <f>SUP_CONTROL!$C$13*CAPA3_EXPANSION!CG41</f>
        <v>252848.2319999999</v>
      </c>
      <c r="CH8" s="88">
        <f>SUP_CONTROL!$C$13*CAPA3_EXPANSION!CH41</f>
        <v>252848.2319999999</v>
      </c>
      <c r="CI8" s="88">
        <f>SUP_CONTROL!$C$13*CAPA3_EXPANSION!CI41</f>
        <v>252848.2319999999</v>
      </c>
      <c r="CJ8" s="88">
        <f>SUP_CONTROL!$C$13*CAPA3_EXPANSION!CJ41</f>
        <v>252848.2319999999</v>
      </c>
      <c r="CK8" s="88">
        <f>SUP_CONTROL!$C$13*CAPA3_EXPANSION!CK41</f>
        <v>252848.2319999999</v>
      </c>
      <c r="CL8" s="88">
        <f>SUP_CONTROL!$C$13*CAPA3_EXPANSION!CL41</f>
        <v>252848.2319999999</v>
      </c>
      <c r="CM8" s="88">
        <f>SUP_CONTROL!$C$13*CAPA3_EXPANSION!CM41</f>
        <v>252848.2319999999</v>
      </c>
      <c r="CN8" s="88">
        <f>SUP_CONTROL!$C$13*CAPA3_EXPANSION!CN41</f>
        <v>252848.2319999999</v>
      </c>
      <c r="CO8" s="88">
        <f>SUP_CONTROL!$C$13*CAPA3_EXPANSION!CO41</f>
        <v>252848.2319999999</v>
      </c>
      <c r="CP8" s="88">
        <f>SUP_CONTROL!$C$13*CAPA3_EXPANSION!CP41</f>
        <v>252848.2319999999</v>
      </c>
      <c r="CQ8" s="88">
        <f>SUP_CONTROL!$C$13*CAPA3_EXPANSION!CQ41</f>
        <v>252848.2319999999</v>
      </c>
      <c r="CR8" s="88">
        <f>SUP_CONTROL!$C$13*CAPA3_EXPANSION!CR41</f>
        <v>252848.2319999999</v>
      </c>
      <c r="CS8" s="88">
        <f>SUP_CONTROL!$C$13*CAPA3_EXPANSION!CS41</f>
        <v>252848.2319999999</v>
      </c>
      <c r="CT8" s="88">
        <f>SUP_CONTROL!$C$13*CAPA3_EXPANSION!CT41</f>
        <v>252848.2319999999</v>
      </c>
      <c r="CU8" s="88">
        <f>SUP_CONTROL!$C$13*CAPA3_EXPANSION!CU41</f>
        <v>252848.2319999999</v>
      </c>
      <c r="CV8" s="88">
        <f>SUP_CONTROL!$C$13*CAPA3_EXPANSION!CV41</f>
        <v>252848.2319999999</v>
      </c>
      <c r="CW8" s="88">
        <f>SUP_CONTROL!$C$13*CAPA3_EXPANSION!CW41</f>
        <v>252848.2319999999</v>
      </c>
      <c r="CX8" s="88">
        <f>SUP_CONTROL!$C$13*CAPA3_EXPANSION!CX41</f>
        <v>252848.2319999999</v>
      </c>
      <c r="CY8" s="88">
        <f>SUP_CONTROL!$C$13*CAPA3_EXPANSION!CY41</f>
        <v>252848.2319999999</v>
      </c>
      <c r="CZ8" s="88">
        <f>SUP_CONTROL!$C$13*CAPA3_EXPANSION!CZ41</f>
        <v>252848.2319999999</v>
      </c>
      <c r="DA8" s="88">
        <f>SUP_CONTROL!$C$13*CAPA3_EXPANSION!DA41</f>
        <v>252848.2319999999</v>
      </c>
      <c r="DB8" s="88">
        <f>SUP_CONTROL!$C$13*CAPA3_EXPANSION!DB41</f>
        <v>252848.2319999999</v>
      </c>
      <c r="DC8" s="88">
        <f>SUP_CONTROL!$C$13*CAPA3_EXPANSION!DC41</f>
        <v>252848.2319999999</v>
      </c>
      <c r="DD8" s="88">
        <f>SUP_CONTROL!$C$13*CAPA3_EXPANSION!DD41</f>
        <v>252848.2319999999</v>
      </c>
      <c r="DE8" s="88">
        <f>SUP_CONTROL!$C$13*CAPA3_EXPANSION!DE41</f>
        <v>252848.2319999999</v>
      </c>
      <c r="DF8" s="88">
        <f>SUP_CONTROL!$C$13*CAPA3_EXPANSION!DF41</f>
        <v>252848.2319999999</v>
      </c>
      <c r="DG8" s="88">
        <f>SUP_CONTROL!$C$13*CAPA3_EXPANSION!DG41</f>
        <v>252848.2319999999</v>
      </c>
      <c r="DH8" s="88">
        <f>SUP_CONTROL!$C$13*CAPA3_EXPANSION!DH41</f>
        <v>252848.2319999999</v>
      </c>
      <c r="DI8" s="88">
        <f>SUP_CONTROL!$C$13*CAPA3_EXPANSION!DI41</f>
        <v>252848.2319999999</v>
      </c>
      <c r="DJ8" s="88">
        <f>SUP_CONTROL!$C$13*CAPA3_EXPANSION!DJ41</f>
        <v>252848.2319999999</v>
      </c>
      <c r="DK8" s="88">
        <f>SUP_CONTROL!$C$13*CAPA3_EXPANSION!DK41</f>
        <v>252848.2319999999</v>
      </c>
      <c r="DL8" s="88">
        <f>SUP_CONTROL!$C$13*CAPA3_EXPANSION!DL41</f>
        <v>252848.2319999999</v>
      </c>
      <c r="DM8" s="88">
        <f>SUP_CONTROL!$C$13*CAPA3_EXPANSION!DM41</f>
        <v>252848.2319999999</v>
      </c>
      <c r="DN8" s="88">
        <f>SUP_CONTROL!$C$13*CAPA3_EXPANSION!DN41</f>
        <v>252848.2319999999</v>
      </c>
      <c r="DO8" s="88">
        <f>SUP_CONTROL!$C$13*CAPA3_EXPANSION!DO41</f>
        <v>252848.2319999999</v>
      </c>
      <c r="DP8" s="88">
        <f>SUP_CONTROL!$C$13*CAPA3_EXPANSION!DP41</f>
        <v>252848.2319999999</v>
      </c>
      <c r="DQ8" s="88">
        <f>SUP_CONTROL!$C$13*CAPA3_EXPANSION!DQ41</f>
        <v>252848.2319999999</v>
      </c>
      <c r="DR8" s="88">
        <f>SUP_CONTROL!$C$13*CAPA3_EXPANSION!DR41</f>
        <v>252848.2319999999</v>
      </c>
      <c r="DS8" s="88">
        <f>SUP_CONTROL!$C$13*CAPA3_EXPANSION!DS41</f>
        <v>252848.2319999999</v>
      </c>
    </row>
    <row r="9" spans="1:123" ht="15" customHeight="1" x14ac:dyDescent="0.2">
      <c r="B9" s="37" t="s">
        <v>1265</v>
      </c>
      <c r="D9" s="88">
        <f>SUP_CONTROL!$C$14*CAPA4_RETAIL!D7*1000</f>
        <v>0</v>
      </c>
      <c r="E9" s="88">
        <f>SUP_CONTROL!$C$14*CAPA4_RETAIL!E7*1000</f>
        <v>0</v>
      </c>
      <c r="F9" s="88">
        <f>SUP_CONTROL!$C$14*CAPA4_RETAIL!F7*1000</f>
        <v>0</v>
      </c>
      <c r="G9" s="88">
        <f>SUP_CONTROL!$C$14*CAPA4_RETAIL!G7*1000</f>
        <v>0</v>
      </c>
      <c r="H9" s="88">
        <f>SUP_CONTROL!$C$14*CAPA4_RETAIL!H7*1000</f>
        <v>0</v>
      </c>
      <c r="I9" s="88">
        <f>SUP_CONTROL!$C$14*CAPA4_RETAIL!I7*1000</f>
        <v>0</v>
      </c>
      <c r="J9" s="88">
        <f>SUP_CONTROL!$C$14*CAPA4_RETAIL!J7*1000</f>
        <v>0</v>
      </c>
      <c r="K9" s="88">
        <f>SUP_CONTROL!$C$14*CAPA4_RETAIL!K7*1000</f>
        <v>0</v>
      </c>
      <c r="L9" s="88">
        <f>SUP_CONTROL!$C$14*CAPA4_RETAIL!L7*1000</f>
        <v>0</v>
      </c>
      <c r="M9" s="88">
        <f>SUP_CONTROL!$C$14*CAPA4_RETAIL!M7*1000</f>
        <v>0</v>
      </c>
      <c r="N9" s="88">
        <f>SUP_CONTROL!$C$14*CAPA4_RETAIL!N7*1000</f>
        <v>0</v>
      </c>
      <c r="O9" s="88">
        <f>SUP_CONTROL!$C$14*CAPA4_RETAIL!O7*1000</f>
        <v>0</v>
      </c>
      <c r="P9" s="88">
        <f>SUP_CONTROL!$C$14*CAPA4_RETAIL!P7*1000</f>
        <v>0</v>
      </c>
      <c r="Q9" s="88">
        <f>SUP_CONTROL!$C$14*CAPA4_RETAIL!Q7*1000</f>
        <v>0</v>
      </c>
      <c r="R9" s="88">
        <f>SUP_CONTROL!$C$14*CAPA4_RETAIL!R7*1000</f>
        <v>0</v>
      </c>
      <c r="S9" s="88">
        <f>SUP_CONTROL!$C$14*CAPA4_RETAIL!S7*1000</f>
        <v>0</v>
      </c>
      <c r="T9" s="88">
        <f>SUP_CONTROL!$C$14*CAPA4_RETAIL!T7*1000</f>
        <v>0</v>
      </c>
      <c r="U9" s="88">
        <f>SUP_CONTROL!$C$14*CAPA4_RETAIL!U7*1000</f>
        <v>0</v>
      </c>
      <c r="V9" s="88">
        <f>SUP_CONTROL!$C$14*CAPA4_RETAIL!V7*1000</f>
        <v>0</v>
      </c>
      <c r="W9" s="88">
        <f>SUP_CONTROL!$C$14*CAPA4_RETAIL!W7*1000</f>
        <v>0</v>
      </c>
      <c r="X9" s="88">
        <f>SUP_CONTROL!$C$14*CAPA4_RETAIL!X7*1000</f>
        <v>0</v>
      </c>
      <c r="Y9" s="88">
        <f>SUP_CONTROL!$C$14*CAPA4_RETAIL!Y7*1000</f>
        <v>0</v>
      </c>
      <c r="Z9" s="88">
        <f>SUP_CONTROL!$C$14*CAPA4_RETAIL!Z7*1000</f>
        <v>0</v>
      </c>
      <c r="AA9" s="88">
        <f>SUP_CONTROL!$C$14*CAPA4_RETAIL!AA7*1000</f>
        <v>0</v>
      </c>
      <c r="AB9" s="88">
        <f>SUP_CONTROL!$C$14*CAPA4_RETAIL!AB7*1000</f>
        <v>0</v>
      </c>
      <c r="AC9" s="88">
        <f>SUP_CONTROL!$C$14*CAPA4_RETAIL!AC7*1000</f>
        <v>0</v>
      </c>
      <c r="AD9" s="88">
        <f>SUP_CONTROL!$C$14*CAPA4_RETAIL!AD7*1000</f>
        <v>0</v>
      </c>
      <c r="AE9" s="88">
        <f>SUP_CONTROL!$C$14*CAPA4_RETAIL!AE7*1000</f>
        <v>0</v>
      </c>
      <c r="AF9" s="88">
        <f>SUP_CONTROL!$C$14*CAPA4_RETAIL!AF7*1000</f>
        <v>0</v>
      </c>
      <c r="AG9" s="88">
        <f>SUP_CONTROL!$C$14*CAPA4_RETAIL!AG7*1000</f>
        <v>0</v>
      </c>
      <c r="AH9" s="88">
        <f>SUP_CONTROL!$C$14*CAPA4_RETAIL!AH7*1000</f>
        <v>0</v>
      </c>
      <c r="AI9" s="88">
        <f>SUP_CONTROL!$C$14*CAPA4_RETAIL!AI7*1000</f>
        <v>0</v>
      </c>
      <c r="AJ9" s="88">
        <f>SUP_CONTROL!$C$14*CAPA4_RETAIL!AJ7*1000</f>
        <v>0</v>
      </c>
      <c r="AK9" s="88">
        <f>SUP_CONTROL!$C$14*CAPA4_RETAIL!AK7*1000</f>
        <v>0</v>
      </c>
      <c r="AL9" s="88">
        <f>SUP_CONTROL!$C$14*CAPA4_RETAIL!AL7*1000</f>
        <v>0</v>
      </c>
      <c r="AM9" s="88">
        <f>SUP_CONTROL!$C$14*CAPA4_RETAIL!AM7*1000</f>
        <v>0</v>
      </c>
      <c r="AN9" s="88">
        <f>SUP_CONTROL!$C$14*CAPA4_RETAIL!AN7*1000</f>
        <v>0</v>
      </c>
      <c r="AO9" s="88">
        <f>SUP_CONTROL!$C$14*CAPA4_RETAIL!AO7*1000</f>
        <v>0</v>
      </c>
      <c r="AP9" s="88">
        <f>SUP_CONTROL!$C$14*CAPA4_RETAIL!AP7*1000</f>
        <v>0</v>
      </c>
      <c r="AQ9" s="88">
        <f>SUP_CONTROL!$C$14*CAPA4_RETAIL!AQ7*1000</f>
        <v>0</v>
      </c>
      <c r="AR9" s="88">
        <f>SUP_CONTROL!$C$14*CAPA4_RETAIL!AR7*1000</f>
        <v>0</v>
      </c>
      <c r="AS9" s="88">
        <f>SUP_CONTROL!$C$14*CAPA4_RETAIL!AS7*1000</f>
        <v>0</v>
      </c>
      <c r="AT9" s="88">
        <f>SUP_CONTROL!$C$14*CAPA4_RETAIL!AT7*1000</f>
        <v>0</v>
      </c>
      <c r="AU9" s="88">
        <f>SUP_CONTROL!$C$14*CAPA4_RETAIL!AU7*1000</f>
        <v>0</v>
      </c>
      <c r="AV9" s="88">
        <f>SUP_CONTROL!$C$14*CAPA4_RETAIL!AV7*1000</f>
        <v>0</v>
      </c>
      <c r="AW9" s="88">
        <f>SUP_CONTROL!$C$14*CAPA4_RETAIL!AW7*1000</f>
        <v>0</v>
      </c>
      <c r="AX9" s="88">
        <f>SUP_CONTROL!$C$14*CAPA4_RETAIL!AX7*1000</f>
        <v>0</v>
      </c>
      <c r="AY9" s="88">
        <f>SUP_CONTROL!$C$14*CAPA4_RETAIL!AY7*1000</f>
        <v>0</v>
      </c>
      <c r="AZ9" s="88">
        <f>SUP_CONTROL!$C$14*CAPA4_RETAIL!AZ7*1000</f>
        <v>0</v>
      </c>
      <c r="BA9" s="88">
        <f>SUP_CONTROL!$C$14*CAPA4_RETAIL!BA7*1000</f>
        <v>0</v>
      </c>
      <c r="BB9" s="88">
        <f>SUP_CONTROL!$C$14*CAPA4_RETAIL!BB7*1000</f>
        <v>0</v>
      </c>
      <c r="BC9" s="88">
        <f>SUP_CONTROL!$C$14*CAPA4_RETAIL!BC7*1000</f>
        <v>0</v>
      </c>
      <c r="BD9" s="88">
        <f>SUP_CONTROL!$C$14*CAPA4_RETAIL!BD7*1000</f>
        <v>0</v>
      </c>
      <c r="BE9" s="88">
        <f>SUP_CONTROL!$C$14*CAPA4_RETAIL!BE7*1000</f>
        <v>0</v>
      </c>
      <c r="BF9" s="88">
        <f>SUP_CONTROL!$C$14*CAPA4_RETAIL!BF7*1000</f>
        <v>0</v>
      </c>
      <c r="BG9" s="88">
        <f>SUP_CONTROL!$C$14*CAPA4_RETAIL!BG7*1000</f>
        <v>0</v>
      </c>
      <c r="BH9" s="88">
        <f>SUP_CONTROL!$C$14*CAPA4_RETAIL!BH7*1000</f>
        <v>0</v>
      </c>
      <c r="BI9" s="88">
        <f>SUP_CONTROL!$C$14*CAPA4_RETAIL!BI7*1000</f>
        <v>0</v>
      </c>
      <c r="BJ9" s="88">
        <f>SUP_CONTROL!$C$14*CAPA4_RETAIL!BJ7*1000</f>
        <v>0</v>
      </c>
      <c r="BK9" s="88">
        <f>SUP_CONTROL!$C$14*CAPA4_RETAIL!BK7*1000</f>
        <v>0</v>
      </c>
      <c r="BL9" s="88">
        <f>SUP_CONTROL!$C$14*CAPA4_RETAIL!BL7*1000</f>
        <v>0</v>
      </c>
      <c r="BM9" s="88">
        <f>SUP_CONTROL!$C$14*CAPA4_RETAIL!BM7*1000</f>
        <v>0</v>
      </c>
      <c r="BN9" s="88">
        <f>SUP_CONTROL!$C$14*CAPA4_RETAIL!BN7*1000</f>
        <v>0</v>
      </c>
      <c r="BO9" s="88">
        <f>SUP_CONTROL!$C$14*CAPA4_RETAIL!BO7*1000</f>
        <v>0</v>
      </c>
      <c r="BP9" s="88">
        <f>SUP_CONTROL!$C$14*CAPA4_RETAIL!BP7*1000</f>
        <v>0</v>
      </c>
      <c r="BQ9" s="88">
        <f>SUP_CONTROL!$C$14*CAPA4_RETAIL!BQ7*1000</f>
        <v>0</v>
      </c>
      <c r="BR9" s="88">
        <f>SUP_CONTROL!$C$14*CAPA4_RETAIL!BR7*1000</f>
        <v>0</v>
      </c>
      <c r="BS9" s="88">
        <f>SUP_CONTROL!$C$14*CAPA4_RETAIL!BS7*1000</f>
        <v>0</v>
      </c>
      <c r="BT9" s="88">
        <f>SUP_CONTROL!$C$14*CAPA4_RETAIL!BT7*1000</f>
        <v>0</v>
      </c>
      <c r="BU9" s="88">
        <f>SUP_CONTROL!$C$14*CAPA4_RETAIL!BU7*1000</f>
        <v>0</v>
      </c>
      <c r="BV9" s="88">
        <f>SUP_CONTROL!$C$14*CAPA4_RETAIL!BV7*1000</f>
        <v>0</v>
      </c>
      <c r="BW9" s="88">
        <f>SUP_CONTROL!$C$14*CAPA4_RETAIL!BW7*1000</f>
        <v>0</v>
      </c>
      <c r="BX9" s="88">
        <f>SUP_CONTROL!$C$14*CAPA4_RETAIL!BX7*1000</f>
        <v>0</v>
      </c>
      <c r="BY9" s="88">
        <f>SUP_CONTROL!$C$14*CAPA4_RETAIL!BY7*1000</f>
        <v>0</v>
      </c>
      <c r="BZ9" s="88">
        <f>SUP_CONTROL!$C$14*CAPA4_RETAIL!BZ7*1000</f>
        <v>0</v>
      </c>
      <c r="CA9" s="88">
        <f>SUP_CONTROL!$C$14*CAPA4_RETAIL!CA7*1000</f>
        <v>0</v>
      </c>
      <c r="CB9" s="88">
        <f>SUP_CONTROL!$C$14*CAPA4_RETAIL!CB7*1000</f>
        <v>0</v>
      </c>
      <c r="CC9" s="88">
        <f>SUP_CONTROL!$C$14*CAPA4_RETAIL!CC7*1000</f>
        <v>0</v>
      </c>
      <c r="CD9" s="88">
        <f>SUP_CONTROL!$C$14*CAPA4_RETAIL!CD7*1000</f>
        <v>0</v>
      </c>
      <c r="CE9" s="88">
        <f>SUP_CONTROL!$C$14*CAPA4_RETAIL!CE7*1000</f>
        <v>0</v>
      </c>
      <c r="CF9" s="88">
        <f>SUP_CONTROL!$C$14*CAPA4_RETAIL!CF7*1000</f>
        <v>0</v>
      </c>
      <c r="CG9" s="88">
        <f>SUP_CONTROL!$C$14*CAPA4_RETAIL!CG7*1000</f>
        <v>0</v>
      </c>
      <c r="CH9" s="88">
        <f>SUP_CONTROL!$C$14*CAPA4_RETAIL!CH7*1000</f>
        <v>0</v>
      </c>
      <c r="CI9" s="88">
        <f>SUP_CONTROL!$C$14*CAPA4_RETAIL!CI7*1000</f>
        <v>0</v>
      </c>
      <c r="CJ9" s="88">
        <f>SUP_CONTROL!$C$14*CAPA4_RETAIL!CJ7*1000</f>
        <v>0</v>
      </c>
      <c r="CK9" s="88">
        <f>SUP_CONTROL!$C$14*CAPA4_RETAIL!CK7*1000</f>
        <v>0</v>
      </c>
      <c r="CL9" s="88">
        <f>SUP_CONTROL!$C$14*CAPA4_RETAIL!CL7*1000</f>
        <v>0</v>
      </c>
      <c r="CM9" s="88">
        <f>SUP_CONTROL!$C$14*CAPA4_RETAIL!CM7*1000</f>
        <v>0</v>
      </c>
      <c r="CN9" s="88">
        <f>SUP_CONTROL!$C$14*CAPA4_RETAIL!CN7*1000</f>
        <v>0</v>
      </c>
      <c r="CO9" s="88">
        <f>SUP_CONTROL!$C$14*CAPA4_RETAIL!CO7*1000</f>
        <v>0</v>
      </c>
      <c r="CP9" s="88">
        <f>SUP_CONTROL!$C$14*CAPA4_RETAIL!CP7*1000</f>
        <v>0</v>
      </c>
      <c r="CQ9" s="88">
        <f>SUP_CONTROL!$C$14*CAPA4_RETAIL!CQ7*1000</f>
        <v>0</v>
      </c>
      <c r="CR9" s="88">
        <f>SUP_CONTROL!$C$14*CAPA4_RETAIL!CR7*1000</f>
        <v>0</v>
      </c>
      <c r="CS9" s="88">
        <f>SUP_CONTROL!$C$14*CAPA4_RETAIL!CS7*1000</f>
        <v>0</v>
      </c>
      <c r="CT9" s="88">
        <f>SUP_CONTROL!$C$14*CAPA4_RETAIL!CT7*1000</f>
        <v>0</v>
      </c>
      <c r="CU9" s="88">
        <f>SUP_CONTROL!$C$14*CAPA4_RETAIL!CU7*1000</f>
        <v>0</v>
      </c>
      <c r="CV9" s="88">
        <f>SUP_CONTROL!$C$14*CAPA4_RETAIL!CV7*1000</f>
        <v>0</v>
      </c>
      <c r="CW9" s="88">
        <f>SUP_CONTROL!$C$14*CAPA4_RETAIL!CW7*1000</f>
        <v>0</v>
      </c>
      <c r="CX9" s="88">
        <f>SUP_CONTROL!$C$14*CAPA4_RETAIL!CX7*1000</f>
        <v>0</v>
      </c>
      <c r="CY9" s="88">
        <f>SUP_CONTROL!$C$14*CAPA4_RETAIL!CY7*1000</f>
        <v>0</v>
      </c>
      <c r="CZ9" s="88">
        <f>SUP_CONTROL!$C$14*CAPA4_RETAIL!CZ7*1000</f>
        <v>0</v>
      </c>
      <c r="DA9" s="88">
        <f>SUP_CONTROL!$C$14*CAPA4_RETAIL!DA7*1000</f>
        <v>0</v>
      </c>
      <c r="DB9" s="88">
        <f>SUP_CONTROL!$C$14*CAPA4_RETAIL!DB7*1000</f>
        <v>0</v>
      </c>
      <c r="DC9" s="88">
        <f>SUP_CONTROL!$C$14*CAPA4_RETAIL!DC7*1000</f>
        <v>0</v>
      </c>
      <c r="DD9" s="88">
        <f>SUP_CONTROL!$C$14*CAPA4_RETAIL!DD7*1000</f>
        <v>0</v>
      </c>
      <c r="DE9" s="88">
        <f>SUP_CONTROL!$C$14*CAPA4_RETAIL!DE7*1000</f>
        <v>0</v>
      </c>
      <c r="DF9" s="88">
        <f>SUP_CONTROL!$C$14*CAPA4_RETAIL!DF7*1000</f>
        <v>0</v>
      </c>
      <c r="DG9" s="88">
        <f>SUP_CONTROL!$C$14*CAPA4_RETAIL!DG7*1000</f>
        <v>0</v>
      </c>
      <c r="DH9" s="88">
        <f>SUP_CONTROL!$C$14*CAPA4_RETAIL!DH7*1000</f>
        <v>0</v>
      </c>
      <c r="DI9" s="88">
        <f>SUP_CONTROL!$C$14*CAPA4_RETAIL!DI7*1000</f>
        <v>0</v>
      </c>
      <c r="DJ9" s="88">
        <f>SUP_CONTROL!$C$14*CAPA4_RETAIL!DJ7*1000</f>
        <v>0</v>
      </c>
      <c r="DK9" s="88">
        <f>SUP_CONTROL!$C$14*CAPA4_RETAIL!DK7*1000</f>
        <v>0</v>
      </c>
      <c r="DL9" s="88">
        <f>SUP_CONTROL!$C$14*CAPA4_RETAIL!DL7*1000</f>
        <v>0</v>
      </c>
      <c r="DM9" s="88">
        <f>SUP_CONTROL!$C$14*CAPA4_RETAIL!DM7*1000</f>
        <v>0</v>
      </c>
      <c r="DN9" s="88">
        <f>SUP_CONTROL!$C$14*CAPA4_RETAIL!DN7*1000</f>
        <v>0</v>
      </c>
      <c r="DO9" s="88">
        <f>SUP_CONTROL!$C$14*CAPA4_RETAIL!DO7*1000</f>
        <v>0</v>
      </c>
      <c r="DP9" s="88">
        <f>SUP_CONTROL!$C$14*CAPA4_RETAIL!DP7*1000</f>
        <v>0</v>
      </c>
      <c r="DQ9" s="88">
        <f>SUP_CONTROL!$C$14*CAPA4_RETAIL!DQ7*1000</f>
        <v>0</v>
      </c>
      <c r="DR9" s="88">
        <f>SUP_CONTROL!$C$14*CAPA4_RETAIL!DR7*1000</f>
        <v>0</v>
      </c>
      <c r="DS9" s="88">
        <f>SUP_CONTROL!$C$14*CAPA4_RETAIL!DS7*1000</f>
        <v>0</v>
      </c>
    </row>
    <row r="10" spans="1:123" ht="15" customHeight="1" x14ac:dyDescent="0.2">
      <c r="B10" s="20" t="s">
        <v>1266</v>
      </c>
      <c r="D10" s="83">
        <f t="shared" ref="D10:AI10" si="0">SUM(D6:D9)</f>
        <v>0</v>
      </c>
      <c r="E10" s="83">
        <f t="shared" si="0"/>
        <v>0</v>
      </c>
      <c r="F10" s="83">
        <f t="shared" si="0"/>
        <v>0</v>
      </c>
      <c r="G10" s="83">
        <f t="shared" si="0"/>
        <v>9427.5999999999985</v>
      </c>
      <c r="H10" s="83">
        <f t="shared" si="0"/>
        <v>20875.399999999998</v>
      </c>
      <c r="I10" s="83">
        <f t="shared" si="0"/>
        <v>34343.4</v>
      </c>
      <c r="J10" s="83">
        <f t="shared" si="0"/>
        <v>49225.54</v>
      </c>
      <c r="K10" s="83">
        <f t="shared" si="0"/>
        <v>65824.850000000006</v>
      </c>
      <c r="L10" s="83">
        <f t="shared" si="0"/>
        <v>70774.34</v>
      </c>
      <c r="M10" s="83">
        <f t="shared" si="0"/>
        <v>73400.600000000006</v>
      </c>
      <c r="N10" s="83">
        <f t="shared" si="0"/>
        <v>73400.600000000006</v>
      </c>
      <c r="O10" s="83">
        <f t="shared" si="0"/>
        <v>73400.600000000006</v>
      </c>
      <c r="P10" s="83">
        <f t="shared" si="0"/>
        <v>73400.600000000006</v>
      </c>
      <c r="Q10" s="83">
        <f t="shared" si="0"/>
        <v>73400.600000000006</v>
      </c>
      <c r="R10" s="83">
        <f t="shared" si="0"/>
        <v>73400.600000000006</v>
      </c>
      <c r="S10" s="83">
        <f t="shared" si="0"/>
        <v>73400.600000000006</v>
      </c>
      <c r="T10" s="83">
        <f t="shared" si="0"/>
        <v>77777.700000000012</v>
      </c>
      <c r="U10" s="83">
        <f t="shared" si="0"/>
        <v>78787.8</v>
      </c>
      <c r="V10" s="83">
        <f t="shared" si="0"/>
        <v>83838.3</v>
      </c>
      <c r="W10" s="83">
        <f t="shared" si="0"/>
        <v>89898.900000000009</v>
      </c>
      <c r="X10" s="83">
        <f t="shared" si="0"/>
        <v>91582.400000000009</v>
      </c>
      <c r="Y10" s="83">
        <f t="shared" si="0"/>
        <v>92929.200000000012</v>
      </c>
      <c r="Z10" s="83">
        <f t="shared" si="0"/>
        <v>93602.6</v>
      </c>
      <c r="AA10" s="83">
        <f t="shared" si="0"/>
        <v>93602.6</v>
      </c>
      <c r="AB10" s="83">
        <f t="shared" si="0"/>
        <v>93602.6</v>
      </c>
      <c r="AC10" s="83">
        <f t="shared" si="0"/>
        <v>93602.6</v>
      </c>
      <c r="AD10" s="83">
        <f t="shared" si="0"/>
        <v>92996.540000000008</v>
      </c>
      <c r="AE10" s="83">
        <f t="shared" si="0"/>
        <v>92996.540000000008</v>
      </c>
      <c r="AF10" s="83">
        <f t="shared" si="0"/>
        <v>98516.063099999999</v>
      </c>
      <c r="AG10" s="83">
        <f t="shared" si="0"/>
        <v>104035.58620000001</v>
      </c>
      <c r="AH10" s="83">
        <f t="shared" si="0"/>
        <v>105864.54060000001</v>
      </c>
      <c r="AI10" s="83">
        <f t="shared" si="0"/>
        <v>111612.683</v>
      </c>
      <c r="AJ10" s="83">
        <f t="shared" ref="AJ10:BO10" si="1">SUM(AJ6:AJ9)</f>
        <v>117491.46500000001</v>
      </c>
      <c r="AK10" s="83">
        <f t="shared" si="1"/>
        <v>119124.46</v>
      </c>
      <c r="AL10" s="83">
        <f t="shared" si="1"/>
        <v>119218.736</v>
      </c>
      <c r="AM10" s="83">
        <f t="shared" si="1"/>
        <v>125232.36635</v>
      </c>
      <c r="AN10" s="83">
        <f t="shared" si="1"/>
        <v>130609.63370000001</v>
      </c>
      <c r="AO10" s="83">
        <f t="shared" si="1"/>
        <v>136527.80960000001</v>
      </c>
      <c r="AP10" s="83">
        <f t="shared" si="1"/>
        <v>143082.34850000002</v>
      </c>
      <c r="AQ10" s="83">
        <f t="shared" si="1"/>
        <v>145309.61900000001</v>
      </c>
      <c r="AR10" s="83">
        <f t="shared" si="1"/>
        <v>151959.61235000001</v>
      </c>
      <c r="AS10" s="83">
        <f t="shared" si="1"/>
        <v>153836.88319999998</v>
      </c>
      <c r="AT10" s="83">
        <f t="shared" si="1"/>
        <v>158800.51459999999</v>
      </c>
      <c r="AU10" s="83">
        <f t="shared" si="1"/>
        <v>164718.6905</v>
      </c>
      <c r="AV10" s="83">
        <f t="shared" si="1"/>
        <v>166309.598</v>
      </c>
      <c r="AW10" s="83">
        <f t="shared" si="1"/>
        <v>167582.32399999999</v>
      </c>
      <c r="AX10" s="83">
        <f t="shared" si="1"/>
        <v>168218.68700000001</v>
      </c>
      <c r="AY10" s="83">
        <f t="shared" si="1"/>
        <v>168218.68700000001</v>
      </c>
      <c r="AZ10" s="83">
        <f t="shared" si="1"/>
        <v>168218.68700000001</v>
      </c>
      <c r="BA10" s="83">
        <f t="shared" si="1"/>
        <v>165710.272</v>
      </c>
      <c r="BB10" s="83">
        <f t="shared" si="1"/>
        <v>165710.272</v>
      </c>
      <c r="BC10" s="83">
        <f t="shared" si="1"/>
        <v>165710.272</v>
      </c>
      <c r="BD10" s="83">
        <f t="shared" si="1"/>
        <v>173764.136</v>
      </c>
      <c r="BE10" s="83">
        <f t="shared" si="1"/>
        <v>179649.652</v>
      </c>
      <c r="BF10" s="83">
        <f t="shared" si="1"/>
        <v>184582.307</v>
      </c>
      <c r="BG10" s="83">
        <f t="shared" si="1"/>
        <v>191521.69400000002</v>
      </c>
      <c r="BH10" s="83">
        <f t="shared" si="1"/>
        <v>197764.11200000002</v>
      </c>
      <c r="BI10" s="83">
        <f t="shared" si="1"/>
        <v>204006.53</v>
      </c>
      <c r="BJ10" s="83">
        <f t="shared" si="1"/>
        <v>211248.94700000001</v>
      </c>
      <c r="BK10" s="83">
        <f t="shared" si="1"/>
        <v>214378.23679999998</v>
      </c>
      <c r="BL10" s="83">
        <f t="shared" si="1"/>
        <v>220481.9344</v>
      </c>
      <c r="BM10" s="83">
        <f t="shared" si="1"/>
        <v>226585.63200000001</v>
      </c>
      <c r="BN10" s="83">
        <f t="shared" si="1"/>
        <v>233667.10640000002</v>
      </c>
      <c r="BO10" s="83">
        <f t="shared" si="1"/>
        <v>239859.69280000005</v>
      </c>
      <c r="BP10" s="83">
        <f t="shared" ref="BP10:CU10" si="2">SUM(BP6:BP9)</f>
        <v>243021.97920000006</v>
      </c>
      <c r="BQ10" s="83">
        <f t="shared" si="2"/>
        <v>249021.63650000005</v>
      </c>
      <c r="BR10" s="83">
        <f t="shared" si="2"/>
        <v>255982.40395000007</v>
      </c>
      <c r="BS10" s="83">
        <f t="shared" si="2"/>
        <v>265855.62640000007</v>
      </c>
      <c r="BT10" s="83">
        <f t="shared" si="2"/>
        <v>272729.02020000003</v>
      </c>
      <c r="BU10" s="83">
        <f t="shared" si="2"/>
        <v>275740.46499999997</v>
      </c>
      <c r="BV10" s="83">
        <f t="shared" si="2"/>
        <v>282036.755</v>
      </c>
      <c r="BW10" s="83">
        <f t="shared" si="2"/>
        <v>288876.81549999997</v>
      </c>
      <c r="BX10" s="83">
        <f t="shared" si="2"/>
        <v>294858.29099999997</v>
      </c>
      <c r="BY10" s="83">
        <f t="shared" si="2"/>
        <v>300753.90799999994</v>
      </c>
      <c r="BZ10" s="83">
        <f t="shared" si="2"/>
        <v>307582.18399999989</v>
      </c>
      <c r="CA10" s="83">
        <f t="shared" si="2"/>
        <v>315190.25719999993</v>
      </c>
      <c r="CB10" s="83">
        <f t="shared" si="2"/>
        <v>321667.01839999994</v>
      </c>
      <c r="CC10" s="83">
        <f t="shared" si="2"/>
        <v>324382.16719999991</v>
      </c>
      <c r="CD10" s="83">
        <f t="shared" si="2"/>
        <v>325683.17599999992</v>
      </c>
      <c r="CE10" s="83">
        <f t="shared" si="2"/>
        <v>326248.83199999994</v>
      </c>
      <c r="CF10" s="83">
        <f t="shared" si="2"/>
        <v>326248.83199999994</v>
      </c>
      <c r="CG10" s="83">
        <f t="shared" si="2"/>
        <v>326248.83199999994</v>
      </c>
      <c r="CH10" s="83">
        <f t="shared" si="2"/>
        <v>326248.83199999994</v>
      </c>
      <c r="CI10" s="83">
        <f t="shared" si="2"/>
        <v>326248.83199999994</v>
      </c>
      <c r="CJ10" s="83">
        <f t="shared" si="2"/>
        <v>326248.83199999994</v>
      </c>
      <c r="CK10" s="83">
        <f t="shared" si="2"/>
        <v>326248.83199999994</v>
      </c>
      <c r="CL10" s="83">
        <f t="shared" si="2"/>
        <v>326248.83199999994</v>
      </c>
      <c r="CM10" s="83">
        <f t="shared" si="2"/>
        <v>326248.83199999994</v>
      </c>
      <c r="CN10" s="83">
        <f t="shared" si="2"/>
        <v>326248.83199999994</v>
      </c>
      <c r="CO10" s="83">
        <f t="shared" si="2"/>
        <v>326248.83199999994</v>
      </c>
      <c r="CP10" s="83">
        <f t="shared" si="2"/>
        <v>326248.83199999994</v>
      </c>
      <c r="CQ10" s="83">
        <f t="shared" si="2"/>
        <v>326248.83199999994</v>
      </c>
      <c r="CR10" s="83">
        <f t="shared" si="2"/>
        <v>326248.83199999994</v>
      </c>
      <c r="CS10" s="83">
        <f t="shared" si="2"/>
        <v>326248.83199999994</v>
      </c>
      <c r="CT10" s="83">
        <f t="shared" si="2"/>
        <v>326248.83199999994</v>
      </c>
      <c r="CU10" s="83">
        <f t="shared" si="2"/>
        <v>326248.83199999994</v>
      </c>
      <c r="CV10" s="83">
        <f t="shared" ref="CV10:EA10" si="3">SUM(CV6:CV9)</f>
        <v>326248.83199999994</v>
      </c>
      <c r="CW10" s="83">
        <f t="shared" si="3"/>
        <v>326248.83199999994</v>
      </c>
      <c r="CX10" s="83">
        <f t="shared" si="3"/>
        <v>326248.83199999994</v>
      </c>
      <c r="CY10" s="83">
        <f t="shared" si="3"/>
        <v>326248.83199999994</v>
      </c>
      <c r="CZ10" s="83">
        <f t="shared" si="3"/>
        <v>326248.83199999994</v>
      </c>
      <c r="DA10" s="83">
        <f t="shared" si="3"/>
        <v>326248.83199999994</v>
      </c>
      <c r="DB10" s="83">
        <f t="shared" si="3"/>
        <v>326248.83199999994</v>
      </c>
      <c r="DC10" s="83">
        <f t="shared" si="3"/>
        <v>326248.83199999994</v>
      </c>
      <c r="DD10" s="83">
        <f t="shared" si="3"/>
        <v>326248.83199999994</v>
      </c>
      <c r="DE10" s="83">
        <f t="shared" si="3"/>
        <v>326248.83199999994</v>
      </c>
      <c r="DF10" s="83">
        <f t="shared" si="3"/>
        <v>326248.83199999994</v>
      </c>
      <c r="DG10" s="83">
        <f t="shared" si="3"/>
        <v>326248.83199999994</v>
      </c>
      <c r="DH10" s="83">
        <f t="shared" si="3"/>
        <v>326248.83199999994</v>
      </c>
      <c r="DI10" s="83">
        <f t="shared" si="3"/>
        <v>326248.83199999994</v>
      </c>
      <c r="DJ10" s="83">
        <f t="shared" si="3"/>
        <v>326248.83199999994</v>
      </c>
      <c r="DK10" s="83">
        <f t="shared" si="3"/>
        <v>326248.83199999994</v>
      </c>
      <c r="DL10" s="83">
        <f t="shared" si="3"/>
        <v>326248.83199999994</v>
      </c>
      <c r="DM10" s="83">
        <f t="shared" si="3"/>
        <v>326248.83199999994</v>
      </c>
      <c r="DN10" s="83">
        <f t="shared" si="3"/>
        <v>326248.83199999994</v>
      </c>
      <c r="DO10" s="83">
        <f t="shared" si="3"/>
        <v>326248.83199999994</v>
      </c>
      <c r="DP10" s="83">
        <f t="shared" si="3"/>
        <v>326248.83199999994</v>
      </c>
      <c r="DQ10" s="83">
        <f t="shared" si="3"/>
        <v>326248.83199999994</v>
      </c>
      <c r="DR10" s="83">
        <f t="shared" si="3"/>
        <v>326248.83199999994</v>
      </c>
      <c r="DS10" s="83">
        <f t="shared" si="3"/>
        <v>326248.83199999994</v>
      </c>
    </row>
    <row r="11" spans="1:123" ht="15" customHeight="1" x14ac:dyDescent="0.2">
      <c r="B11" s="20" t="s">
        <v>1267</v>
      </c>
      <c r="D11" s="149">
        <f t="shared" ref="D11:AI11" si="4">D10/1000</f>
        <v>0</v>
      </c>
      <c r="E11" s="149">
        <f t="shared" si="4"/>
        <v>0</v>
      </c>
      <c r="F11" s="149">
        <f t="shared" si="4"/>
        <v>0</v>
      </c>
      <c r="G11" s="149">
        <f t="shared" si="4"/>
        <v>9.4275999999999982</v>
      </c>
      <c r="H11" s="149">
        <f t="shared" si="4"/>
        <v>20.875399999999999</v>
      </c>
      <c r="I11" s="149">
        <f t="shared" si="4"/>
        <v>34.343400000000003</v>
      </c>
      <c r="J11" s="149">
        <f t="shared" si="4"/>
        <v>49.225540000000002</v>
      </c>
      <c r="K11" s="149">
        <f t="shared" si="4"/>
        <v>65.824850000000012</v>
      </c>
      <c r="L11" s="149">
        <f t="shared" si="4"/>
        <v>70.774339999999995</v>
      </c>
      <c r="M11" s="149">
        <f t="shared" si="4"/>
        <v>73.400600000000011</v>
      </c>
      <c r="N11" s="149">
        <f t="shared" si="4"/>
        <v>73.400600000000011</v>
      </c>
      <c r="O11" s="149">
        <f t="shared" si="4"/>
        <v>73.400600000000011</v>
      </c>
      <c r="P11" s="149">
        <f t="shared" si="4"/>
        <v>73.400600000000011</v>
      </c>
      <c r="Q11" s="149">
        <f t="shared" si="4"/>
        <v>73.400600000000011</v>
      </c>
      <c r="R11" s="149">
        <f t="shared" si="4"/>
        <v>73.400600000000011</v>
      </c>
      <c r="S11" s="149">
        <f t="shared" si="4"/>
        <v>73.400600000000011</v>
      </c>
      <c r="T11" s="149">
        <f t="shared" si="4"/>
        <v>77.77770000000001</v>
      </c>
      <c r="U11" s="149">
        <f t="shared" si="4"/>
        <v>78.787800000000004</v>
      </c>
      <c r="V11" s="149">
        <f t="shared" si="4"/>
        <v>83.838300000000004</v>
      </c>
      <c r="W11" s="149">
        <f t="shared" si="4"/>
        <v>89.898900000000012</v>
      </c>
      <c r="X11" s="149">
        <f t="shared" si="4"/>
        <v>91.582400000000007</v>
      </c>
      <c r="Y11" s="149">
        <f t="shared" si="4"/>
        <v>92.929200000000009</v>
      </c>
      <c r="Z11" s="149">
        <f t="shared" si="4"/>
        <v>93.60260000000001</v>
      </c>
      <c r="AA11" s="149">
        <f t="shared" si="4"/>
        <v>93.60260000000001</v>
      </c>
      <c r="AB11" s="149">
        <f t="shared" si="4"/>
        <v>93.60260000000001</v>
      </c>
      <c r="AC11" s="149">
        <f t="shared" si="4"/>
        <v>93.60260000000001</v>
      </c>
      <c r="AD11" s="149">
        <f t="shared" si="4"/>
        <v>92.99654000000001</v>
      </c>
      <c r="AE11" s="149">
        <f t="shared" si="4"/>
        <v>92.99654000000001</v>
      </c>
      <c r="AF11" s="149">
        <f t="shared" si="4"/>
        <v>98.516063099999997</v>
      </c>
      <c r="AG11" s="149">
        <f t="shared" si="4"/>
        <v>104.03558620000001</v>
      </c>
      <c r="AH11" s="149">
        <f t="shared" si="4"/>
        <v>105.86454060000001</v>
      </c>
      <c r="AI11" s="149">
        <f t="shared" si="4"/>
        <v>111.612683</v>
      </c>
      <c r="AJ11" s="149">
        <f t="shared" ref="AJ11:BO11" si="5">AJ10/1000</f>
        <v>117.49146500000001</v>
      </c>
      <c r="AK11" s="149">
        <f t="shared" si="5"/>
        <v>119.12446000000001</v>
      </c>
      <c r="AL11" s="149">
        <f t="shared" si="5"/>
        <v>119.21873600000001</v>
      </c>
      <c r="AM11" s="149">
        <f t="shared" si="5"/>
        <v>125.23236634999999</v>
      </c>
      <c r="AN11" s="149">
        <f t="shared" si="5"/>
        <v>130.60963370000002</v>
      </c>
      <c r="AO11" s="149">
        <f t="shared" si="5"/>
        <v>136.52780960000001</v>
      </c>
      <c r="AP11" s="149">
        <f t="shared" si="5"/>
        <v>143.08234850000002</v>
      </c>
      <c r="AQ11" s="149">
        <f t="shared" si="5"/>
        <v>145.309619</v>
      </c>
      <c r="AR11" s="149">
        <f t="shared" si="5"/>
        <v>151.95961235000001</v>
      </c>
      <c r="AS11" s="149">
        <f t="shared" si="5"/>
        <v>153.83688319999999</v>
      </c>
      <c r="AT11" s="149">
        <f t="shared" si="5"/>
        <v>158.80051459999999</v>
      </c>
      <c r="AU11" s="149">
        <f t="shared" si="5"/>
        <v>164.71869050000001</v>
      </c>
      <c r="AV11" s="149">
        <f t="shared" si="5"/>
        <v>166.30959799999999</v>
      </c>
      <c r="AW11" s="149">
        <f t="shared" si="5"/>
        <v>167.582324</v>
      </c>
      <c r="AX11" s="149">
        <f t="shared" si="5"/>
        <v>168.21868700000002</v>
      </c>
      <c r="AY11" s="149">
        <f t="shared" si="5"/>
        <v>168.21868700000002</v>
      </c>
      <c r="AZ11" s="149">
        <f t="shared" si="5"/>
        <v>168.21868700000002</v>
      </c>
      <c r="BA11" s="149">
        <f t="shared" si="5"/>
        <v>165.710272</v>
      </c>
      <c r="BB11" s="149">
        <f t="shared" si="5"/>
        <v>165.710272</v>
      </c>
      <c r="BC11" s="149">
        <f t="shared" si="5"/>
        <v>165.710272</v>
      </c>
      <c r="BD11" s="149">
        <f t="shared" si="5"/>
        <v>173.76413600000001</v>
      </c>
      <c r="BE11" s="149">
        <f t="shared" si="5"/>
        <v>179.649652</v>
      </c>
      <c r="BF11" s="149">
        <f t="shared" si="5"/>
        <v>184.58230700000001</v>
      </c>
      <c r="BG11" s="149">
        <f t="shared" si="5"/>
        <v>191.52169400000002</v>
      </c>
      <c r="BH11" s="149">
        <f t="shared" si="5"/>
        <v>197.76411200000001</v>
      </c>
      <c r="BI11" s="149">
        <f t="shared" si="5"/>
        <v>204.00653</v>
      </c>
      <c r="BJ11" s="149">
        <f t="shared" si="5"/>
        <v>211.24894700000002</v>
      </c>
      <c r="BK11" s="149">
        <f t="shared" si="5"/>
        <v>214.3782368</v>
      </c>
      <c r="BL11" s="149">
        <f t="shared" si="5"/>
        <v>220.4819344</v>
      </c>
      <c r="BM11" s="149">
        <f t="shared" si="5"/>
        <v>226.585632</v>
      </c>
      <c r="BN11" s="149">
        <f t="shared" si="5"/>
        <v>233.66710640000002</v>
      </c>
      <c r="BO11" s="149">
        <f t="shared" si="5"/>
        <v>239.85969280000006</v>
      </c>
      <c r="BP11" s="149">
        <f t="shared" ref="BP11:CU11" si="6">BP10/1000</f>
        <v>243.02197920000006</v>
      </c>
      <c r="BQ11" s="149">
        <f t="shared" si="6"/>
        <v>249.02163650000006</v>
      </c>
      <c r="BR11" s="149">
        <f t="shared" si="6"/>
        <v>255.98240395000008</v>
      </c>
      <c r="BS11" s="149">
        <f t="shared" si="6"/>
        <v>265.85562640000006</v>
      </c>
      <c r="BT11" s="149">
        <f t="shared" si="6"/>
        <v>272.72902020000004</v>
      </c>
      <c r="BU11" s="149">
        <f t="shared" si="6"/>
        <v>275.74046499999997</v>
      </c>
      <c r="BV11" s="149">
        <f t="shared" si="6"/>
        <v>282.03675500000003</v>
      </c>
      <c r="BW11" s="149">
        <f t="shared" si="6"/>
        <v>288.87681549999996</v>
      </c>
      <c r="BX11" s="149">
        <f t="shared" si="6"/>
        <v>294.85829099999995</v>
      </c>
      <c r="BY11" s="149">
        <f t="shared" si="6"/>
        <v>300.75390799999991</v>
      </c>
      <c r="BZ11" s="149">
        <f t="shared" si="6"/>
        <v>307.58218399999987</v>
      </c>
      <c r="CA11" s="149">
        <f t="shared" si="6"/>
        <v>315.19025719999996</v>
      </c>
      <c r="CB11" s="149">
        <f t="shared" si="6"/>
        <v>321.66701839999996</v>
      </c>
      <c r="CC11" s="149">
        <f t="shared" si="6"/>
        <v>324.38216719999991</v>
      </c>
      <c r="CD11" s="149">
        <f t="shared" si="6"/>
        <v>325.68317599999995</v>
      </c>
      <c r="CE11" s="149">
        <f t="shared" si="6"/>
        <v>326.24883199999994</v>
      </c>
      <c r="CF11" s="149">
        <f t="shared" si="6"/>
        <v>326.24883199999994</v>
      </c>
      <c r="CG11" s="149">
        <f t="shared" si="6"/>
        <v>326.24883199999994</v>
      </c>
      <c r="CH11" s="149">
        <f t="shared" si="6"/>
        <v>326.24883199999994</v>
      </c>
      <c r="CI11" s="149">
        <f t="shared" si="6"/>
        <v>326.24883199999994</v>
      </c>
      <c r="CJ11" s="149">
        <f t="shared" si="6"/>
        <v>326.24883199999994</v>
      </c>
      <c r="CK11" s="149">
        <f t="shared" si="6"/>
        <v>326.24883199999994</v>
      </c>
      <c r="CL11" s="149">
        <f t="shared" si="6"/>
        <v>326.24883199999994</v>
      </c>
      <c r="CM11" s="149">
        <f t="shared" si="6"/>
        <v>326.24883199999994</v>
      </c>
      <c r="CN11" s="149">
        <f t="shared" si="6"/>
        <v>326.24883199999994</v>
      </c>
      <c r="CO11" s="149">
        <f t="shared" si="6"/>
        <v>326.24883199999994</v>
      </c>
      <c r="CP11" s="149">
        <f t="shared" si="6"/>
        <v>326.24883199999994</v>
      </c>
      <c r="CQ11" s="149">
        <f t="shared" si="6"/>
        <v>326.24883199999994</v>
      </c>
      <c r="CR11" s="149">
        <f t="shared" si="6"/>
        <v>326.24883199999994</v>
      </c>
      <c r="CS11" s="149">
        <f t="shared" si="6"/>
        <v>326.24883199999994</v>
      </c>
      <c r="CT11" s="149">
        <f t="shared" si="6"/>
        <v>326.24883199999994</v>
      </c>
      <c r="CU11" s="149">
        <f t="shared" si="6"/>
        <v>326.24883199999994</v>
      </c>
      <c r="CV11" s="149">
        <f t="shared" ref="CV11:EA11" si="7">CV10/1000</f>
        <v>326.24883199999994</v>
      </c>
      <c r="CW11" s="149">
        <f t="shared" si="7"/>
        <v>326.24883199999994</v>
      </c>
      <c r="CX11" s="149">
        <f t="shared" si="7"/>
        <v>326.24883199999994</v>
      </c>
      <c r="CY11" s="149">
        <f t="shared" si="7"/>
        <v>326.24883199999994</v>
      </c>
      <c r="CZ11" s="149">
        <f t="shared" si="7"/>
        <v>326.24883199999994</v>
      </c>
      <c r="DA11" s="149">
        <f t="shared" si="7"/>
        <v>326.24883199999994</v>
      </c>
      <c r="DB11" s="149">
        <f t="shared" si="7"/>
        <v>326.24883199999994</v>
      </c>
      <c r="DC11" s="149">
        <f t="shared" si="7"/>
        <v>326.24883199999994</v>
      </c>
      <c r="DD11" s="149">
        <f t="shared" si="7"/>
        <v>326.24883199999994</v>
      </c>
      <c r="DE11" s="149">
        <f t="shared" si="7"/>
        <v>326.24883199999994</v>
      </c>
      <c r="DF11" s="149">
        <f t="shared" si="7"/>
        <v>326.24883199999994</v>
      </c>
      <c r="DG11" s="149">
        <f t="shared" si="7"/>
        <v>326.24883199999994</v>
      </c>
      <c r="DH11" s="149">
        <f t="shared" si="7"/>
        <v>326.24883199999994</v>
      </c>
      <c r="DI11" s="149">
        <f t="shared" si="7"/>
        <v>326.24883199999994</v>
      </c>
      <c r="DJ11" s="149">
        <f t="shared" si="7"/>
        <v>326.24883199999994</v>
      </c>
      <c r="DK11" s="149">
        <f t="shared" si="7"/>
        <v>326.24883199999994</v>
      </c>
      <c r="DL11" s="149">
        <f t="shared" si="7"/>
        <v>326.24883199999994</v>
      </c>
      <c r="DM11" s="149">
        <f t="shared" si="7"/>
        <v>326.24883199999994</v>
      </c>
      <c r="DN11" s="149">
        <f t="shared" si="7"/>
        <v>326.24883199999994</v>
      </c>
      <c r="DO11" s="149">
        <f t="shared" si="7"/>
        <v>326.24883199999994</v>
      </c>
      <c r="DP11" s="149">
        <f t="shared" si="7"/>
        <v>326.24883199999994</v>
      </c>
      <c r="DQ11" s="149">
        <f t="shared" si="7"/>
        <v>326.24883199999994</v>
      </c>
      <c r="DR11" s="149">
        <f t="shared" si="7"/>
        <v>326.24883199999994</v>
      </c>
      <c r="DS11" s="149">
        <f t="shared" si="7"/>
        <v>326.24883199999994</v>
      </c>
    </row>
    <row r="12" spans="1:123" ht="15" customHeight="1" x14ac:dyDescent="0.2">
      <c r="B12" s="37" t="s">
        <v>1268</v>
      </c>
      <c r="D12" s="99">
        <f>IF(SUM(CAPA3_EXPANSION!$C$21:D$21)&gt;0,SUP_PRODUCCION!$C$42,IF(SUM(CAPA3_EXPANSION!$C$20:D$20)&gt;0,SUP_PRODUCCION!$C$40,IF(SUM(CAPA3_EXPANSION!$C$19:D$19)&gt;0,SUP_PRODUCCION!$C$38,SUP_PRODUCCION!$C$34)))</f>
        <v>91.65</v>
      </c>
      <c r="E12" s="99">
        <f>IF(SUM(CAPA3_EXPANSION!$C$21:E$21)&gt;0,SUP_PRODUCCION!$C$42,IF(SUM(CAPA3_EXPANSION!$C$20:E$20)&gt;0,SUP_PRODUCCION!$C$40,IF(SUM(CAPA3_EXPANSION!$C$19:E$19)&gt;0,SUP_PRODUCCION!$C$38,SUP_PRODUCCION!$C$34)))</f>
        <v>91.65</v>
      </c>
      <c r="F12" s="99">
        <f>IF(SUM(CAPA3_EXPANSION!$C$21:F$21)&gt;0,SUP_PRODUCCION!$C$42,IF(SUM(CAPA3_EXPANSION!$C$20:F$20)&gt;0,SUP_PRODUCCION!$C$40,IF(SUM(CAPA3_EXPANSION!$C$19:F$19)&gt;0,SUP_PRODUCCION!$C$38,SUP_PRODUCCION!$C$34)))</f>
        <v>91.65</v>
      </c>
      <c r="G12" s="99">
        <f>IF(SUM(CAPA3_EXPANSION!$C$21:G$21)&gt;0,SUP_PRODUCCION!$C$42,IF(SUM(CAPA3_EXPANSION!$C$20:G$20)&gt;0,SUP_PRODUCCION!$C$40,IF(SUM(CAPA3_EXPANSION!$C$19:G$19)&gt;0,SUP_PRODUCCION!$C$38,SUP_PRODUCCION!$C$34)))</f>
        <v>91.65</v>
      </c>
      <c r="H12" s="99">
        <f>IF(SUM(CAPA3_EXPANSION!$C$21:H$21)&gt;0,SUP_PRODUCCION!$C$42,IF(SUM(CAPA3_EXPANSION!$C$20:H$20)&gt;0,SUP_PRODUCCION!$C$40,IF(SUM(CAPA3_EXPANSION!$C$19:H$19)&gt;0,SUP_PRODUCCION!$C$38,SUP_PRODUCCION!$C$34)))</f>
        <v>91.65</v>
      </c>
      <c r="I12" s="99">
        <f>IF(SUM(CAPA3_EXPANSION!$C$21:I$21)&gt;0,SUP_PRODUCCION!$C$42,IF(SUM(CAPA3_EXPANSION!$C$20:I$20)&gt;0,SUP_PRODUCCION!$C$40,IF(SUM(CAPA3_EXPANSION!$C$19:I$19)&gt;0,SUP_PRODUCCION!$C$38,SUP_PRODUCCION!$C$34)))</f>
        <v>91.65</v>
      </c>
      <c r="J12" s="99">
        <f>IF(SUM(CAPA3_EXPANSION!$C$21:J$21)&gt;0,SUP_PRODUCCION!$C$42,IF(SUM(CAPA3_EXPANSION!$C$20:J$20)&gt;0,SUP_PRODUCCION!$C$40,IF(SUM(CAPA3_EXPANSION!$C$19:J$19)&gt;0,SUP_PRODUCCION!$C$38,SUP_PRODUCCION!$C$34)))</f>
        <v>91.65</v>
      </c>
      <c r="K12" s="99">
        <f>IF(SUM(CAPA3_EXPANSION!$C$21:K$21)&gt;0,SUP_PRODUCCION!$C$42,IF(SUM(CAPA3_EXPANSION!$C$20:K$20)&gt;0,SUP_PRODUCCION!$C$40,IF(SUM(CAPA3_EXPANSION!$C$19:K$19)&gt;0,SUP_PRODUCCION!$C$38,SUP_PRODUCCION!$C$34)))</f>
        <v>91.65</v>
      </c>
      <c r="L12" s="99">
        <f>IF(SUM(CAPA3_EXPANSION!$C$21:L$21)&gt;0,SUP_PRODUCCION!$C$42,IF(SUM(CAPA3_EXPANSION!$C$20:L$20)&gt;0,SUP_PRODUCCION!$C$40,IF(SUM(CAPA3_EXPANSION!$C$19:L$19)&gt;0,SUP_PRODUCCION!$C$38,SUP_PRODUCCION!$C$34)))</f>
        <v>91.65</v>
      </c>
      <c r="M12" s="99">
        <f>IF(SUM(CAPA3_EXPANSION!$C$21:M$21)&gt;0,SUP_PRODUCCION!$C$42,IF(SUM(CAPA3_EXPANSION!$C$20:M$20)&gt;0,SUP_PRODUCCION!$C$40,IF(SUM(CAPA3_EXPANSION!$C$19:M$19)&gt;0,SUP_PRODUCCION!$C$38,SUP_PRODUCCION!$C$34)))</f>
        <v>91.65</v>
      </c>
      <c r="N12" s="99">
        <f>IF(SUM(CAPA3_EXPANSION!$C$21:N$21)&gt;0,SUP_PRODUCCION!$C$42,IF(SUM(CAPA3_EXPANSION!$C$20:N$20)&gt;0,SUP_PRODUCCION!$C$40,IF(SUM(CAPA3_EXPANSION!$C$19:N$19)&gt;0,SUP_PRODUCCION!$C$38,SUP_PRODUCCION!$C$34)))</f>
        <v>91.65</v>
      </c>
      <c r="O12" s="99">
        <f>IF(SUM(CAPA3_EXPANSION!$C$21:O$21)&gt;0,SUP_PRODUCCION!$C$42,IF(SUM(CAPA3_EXPANSION!$C$20:O$20)&gt;0,SUP_PRODUCCION!$C$40,IF(SUM(CAPA3_EXPANSION!$C$19:O$19)&gt;0,SUP_PRODUCCION!$C$38,SUP_PRODUCCION!$C$34)))</f>
        <v>91.65</v>
      </c>
      <c r="P12" s="99">
        <f>IF(SUM(CAPA3_EXPANSION!$C$21:P$21)&gt;0,SUP_PRODUCCION!$C$42,IF(SUM(CAPA3_EXPANSION!$C$20:P$20)&gt;0,SUP_PRODUCCION!$C$40,IF(SUM(CAPA3_EXPANSION!$C$19:P$19)&gt;0,SUP_PRODUCCION!$C$38,SUP_PRODUCCION!$C$34)))</f>
        <v>91.65</v>
      </c>
      <c r="Q12" s="99">
        <f>IF(SUM(CAPA3_EXPANSION!$C$21:Q$21)&gt;0,SUP_PRODUCCION!$C$42,IF(SUM(CAPA3_EXPANSION!$C$20:Q$20)&gt;0,SUP_PRODUCCION!$C$40,IF(SUM(CAPA3_EXPANSION!$C$19:Q$19)&gt;0,SUP_PRODUCCION!$C$38,SUP_PRODUCCION!$C$34)))</f>
        <v>91.65</v>
      </c>
      <c r="R12" s="99">
        <f>IF(SUM(CAPA3_EXPANSION!$C$21:R$21)&gt;0,SUP_PRODUCCION!$C$42,IF(SUM(CAPA3_EXPANSION!$C$20:R$20)&gt;0,SUP_PRODUCCION!$C$40,IF(SUM(CAPA3_EXPANSION!$C$19:R$19)&gt;0,SUP_PRODUCCION!$C$38,SUP_PRODUCCION!$C$34)))</f>
        <v>91.65</v>
      </c>
      <c r="S12" s="99">
        <f>IF(SUM(CAPA3_EXPANSION!$C$21:S$21)&gt;0,SUP_PRODUCCION!$C$42,IF(SUM(CAPA3_EXPANSION!$C$20:S$20)&gt;0,SUP_PRODUCCION!$C$40,IF(SUM(CAPA3_EXPANSION!$C$19:S$19)&gt;0,SUP_PRODUCCION!$C$38,SUP_PRODUCCION!$C$34)))</f>
        <v>91.65</v>
      </c>
      <c r="T12" s="99">
        <f>IF(SUM(CAPA3_EXPANSION!$C$21:T$21)&gt;0,SUP_PRODUCCION!$C$42,IF(SUM(CAPA3_EXPANSION!$C$20:T$20)&gt;0,SUP_PRODUCCION!$C$40,IF(SUM(CAPA3_EXPANSION!$C$19:T$19)&gt;0,SUP_PRODUCCION!$C$38,SUP_PRODUCCION!$C$34)))</f>
        <v>91.65</v>
      </c>
      <c r="U12" s="99">
        <f>IF(SUM(CAPA3_EXPANSION!$C$21:U$21)&gt;0,SUP_PRODUCCION!$C$42,IF(SUM(CAPA3_EXPANSION!$C$20:U$20)&gt;0,SUP_PRODUCCION!$C$40,IF(SUM(CAPA3_EXPANSION!$C$19:U$19)&gt;0,SUP_PRODUCCION!$C$38,SUP_PRODUCCION!$C$34)))</f>
        <v>91.65</v>
      </c>
      <c r="V12" s="99">
        <f>IF(SUM(CAPA3_EXPANSION!$C$21:V$21)&gt;0,SUP_PRODUCCION!$C$42,IF(SUM(CAPA3_EXPANSION!$C$20:V$20)&gt;0,SUP_PRODUCCION!$C$40,IF(SUM(CAPA3_EXPANSION!$C$19:V$19)&gt;0,SUP_PRODUCCION!$C$38,SUP_PRODUCCION!$C$34)))</f>
        <v>91.65</v>
      </c>
      <c r="W12" s="99">
        <f>IF(SUM(CAPA3_EXPANSION!$C$21:W$21)&gt;0,SUP_PRODUCCION!$C$42,IF(SUM(CAPA3_EXPANSION!$C$20:W$20)&gt;0,SUP_PRODUCCION!$C$40,IF(SUM(CAPA3_EXPANSION!$C$19:W$19)&gt;0,SUP_PRODUCCION!$C$38,SUP_PRODUCCION!$C$34)))</f>
        <v>91.65</v>
      </c>
      <c r="X12" s="99">
        <f>IF(SUM(CAPA3_EXPANSION!$C$21:X$21)&gt;0,SUP_PRODUCCION!$C$42,IF(SUM(CAPA3_EXPANSION!$C$20:X$20)&gt;0,SUP_PRODUCCION!$C$40,IF(SUM(CAPA3_EXPANSION!$C$19:X$19)&gt;0,SUP_PRODUCCION!$C$38,SUP_PRODUCCION!$C$34)))</f>
        <v>91.65</v>
      </c>
      <c r="Y12" s="99">
        <f>IF(SUM(CAPA3_EXPANSION!$C$21:Y$21)&gt;0,SUP_PRODUCCION!$C$42,IF(SUM(CAPA3_EXPANSION!$C$20:Y$20)&gt;0,SUP_PRODUCCION!$C$40,IF(SUM(CAPA3_EXPANSION!$C$19:Y$19)&gt;0,SUP_PRODUCCION!$C$38,SUP_PRODUCCION!$C$34)))</f>
        <v>91.65</v>
      </c>
      <c r="Z12" s="99">
        <f>IF(SUM(CAPA3_EXPANSION!$C$21:Z$21)&gt;0,SUP_PRODUCCION!$C$42,IF(SUM(CAPA3_EXPANSION!$C$20:Z$20)&gt;0,SUP_PRODUCCION!$C$40,IF(SUM(CAPA3_EXPANSION!$C$19:Z$19)&gt;0,SUP_PRODUCCION!$C$38,SUP_PRODUCCION!$C$34)))</f>
        <v>91.65</v>
      </c>
      <c r="AA12" s="99">
        <f>IF(SUM(CAPA3_EXPANSION!$C$21:AA$21)&gt;0,SUP_PRODUCCION!$C$42,IF(SUM(CAPA3_EXPANSION!$C$20:AA$20)&gt;0,SUP_PRODUCCION!$C$40,IF(SUM(CAPA3_EXPANSION!$C$19:AA$19)&gt;0,SUP_PRODUCCION!$C$38,SUP_PRODUCCION!$C$34)))</f>
        <v>183.3</v>
      </c>
      <c r="AB12" s="99">
        <f>IF(SUM(CAPA3_EXPANSION!$C$21:AB$21)&gt;0,SUP_PRODUCCION!$C$42,IF(SUM(CAPA3_EXPANSION!$C$20:AB$20)&gt;0,SUP_PRODUCCION!$C$40,IF(SUM(CAPA3_EXPANSION!$C$19:AB$19)&gt;0,SUP_PRODUCCION!$C$38,SUP_PRODUCCION!$C$34)))</f>
        <v>183.3</v>
      </c>
      <c r="AC12" s="99">
        <f>IF(SUM(CAPA3_EXPANSION!$C$21:AC$21)&gt;0,SUP_PRODUCCION!$C$42,IF(SUM(CAPA3_EXPANSION!$C$20:AC$20)&gt;0,SUP_PRODUCCION!$C$40,IF(SUM(CAPA3_EXPANSION!$C$19:AC$19)&gt;0,SUP_PRODUCCION!$C$38,SUP_PRODUCCION!$C$34)))</f>
        <v>183.3</v>
      </c>
      <c r="AD12" s="99">
        <f>IF(SUM(CAPA3_EXPANSION!$C$21:AD$21)&gt;0,SUP_PRODUCCION!$C$42,IF(SUM(CAPA3_EXPANSION!$C$20:AD$20)&gt;0,SUP_PRODUCCION!$C$40,IF(SUM(CAPA3_EXPANSION!$C$19:AD$19)&gt;0,SUP_PRODUCCION!$C$38,SUP_PRODUCCION!$C$34)))</f>
        <v>183.3</v>
      </c>
      <c r="AE12" s="99">
        <f>IF(SUM(CAPA3_EXPANSION!$C$21:AE$21)&gt;0,SUP_PRODUCCION!$C$42,IF(SUM(CAPA3_EXPANSION!$C$20:AE$20)&gt;0,SUP_PRODUCCION!$C$40,IF(SUM(CAPA3_EXPANSION!$C$19:AE$19)&gt;0,SUP_PRODUCCION!$C$38,SUP_PRODUCCION!$C$34)))</f>
        <v>183.3</v>
      </c>
      <c r="AF12" s="99">
        <f>IF(SUM(CAPA3_EXPANSION!$C$21:AF$21)&gt;0,SUP_PRODUCCION!$C$42,IF(SUM(CAPA3_EXPANSION!$C$20:AF$20)&gt;0,SUP_PRODUCCION!$C$40,IF(SUM(CAPA3_EXPANSION!$C$19:AF$19)&gt;0,SUP_PRODUCCION!$C$38,SUP_PRODUCCION!$C$34)))</f>
        <v>183.3</v>
      </c>
      <c r="AG12" s="99">
        <f>IF(SUM(CAPA3_EXPANSION!$C$21:AG$21)&gt;0,SUP_PRODUCCION!$C$42,IF(SUM(CAPA3_EXPANSION!$C$20:AG$20)&gt;0,SUP_PRODUCCION!$C$40,IF(SUM(CAPA3_EXPANSION!$C$19:AG$19)&gt;0,SUP_PRODUCCION!$C$38,SUP_PRODUCCION!$C$34)))</f>
        <v>183.3</v>
      </c>
      <c r="AH12" s="99">
        <f>IF(SUM(CAPA3_EXPANSION!$C$21:AH$21)&gt;0,SUP_PRODUCCION!$C$42,IF(SUM(CAPA3_EXPANSION!$C$20:AH$20)&gt;0,SUP_PRODUCCION!$C$40,IF(SUM(CAPA3_EXPANSION!$C$19:AH$19)&gt;0,SUP_PRODUCCION!$C$38,SUP_PRODUCCION!$C$34)))</f>
        <v>183.3</v>
      </c>
      <c r="AI12" s="99">
        <f>IF(SUM(CAPA3_EXPANSION!$C$21:AI$21)&gt;0,SUP_PRODUCCION!$C$42,IF(SUM(CAPA3_EXPANSION!$C$20:AI$20)&gt;0,SUP_PRODUCCION!$C$40,IF(SUM(CAPA3_EXPANSION!$C$19:AI$19)&gt;0,SUP_PRODUCCION!$C$38,SUP_PRODUCCION!$C$34)))</f>
        <v>183.3</v>
      </c>
      <c r="AJ12" s="99">
        <f>IF(SUM(CAPA3_EXPANSION!$C$21:AJ$21)&gt;0,SUP_PRODUCCION!$C$42,IF(SUM(CAPA3_EXPANSION!$C$20:AJ$20)&gt;0,SUP_PRODUCCION!$C$40,IF(SUM(CAPA3_EXPANSION!$C$19:AJ$19)&gt;0,SUP_PRODUCCION!$C$38,SUP_PRODUCCION!$C$34)))</f>
        <v>183.3</v>
      </c>
      <c r="AK12" s="99">
        <f>IF(SUM(CAPA3_EXPANSION!$C$21:AK$21)&gt;0,SUP_PRODUCCION!$C$42,IF(SUM(CAPA3_EXPANSION!$C$20:AK$20)&gt;0,SUP_PRODUCCION!$C$40,IF(SUM(CAPA3_EXPANSION!$C$19:AK$19)&gt;0,SUP_PRODUCCION!$C$38,SUP_PRODUCCION!$C$34)))</f>
        <v>183.3</v>
      </c>
      <c r="AL12" s="99">
        <f>IF(SUM(CAPA3_EXPANSION!$C$21:AL$21)&gt;0,SUP_PRODUCCION!$C$42,IF(SUM(CAPA3_EXPANSION!$C$20:AL$20)&gt;0,SUP_PRODUCCION!$C$40,IF(SUM(CAPA3_EXPANSION!$C$19:AL$19)&gt;0,SUP_PRODUCCION!$C$38,SUP_PRODUCCION!$C$34)))</f>
        <v>183.3</v>
      </c>
      <c r="AM12" s="99">
        <f>IF(SUM(CAPA3_EXPANSION!$C$21:AM$21)&gt;0,SUP_PRODUCCION!$C$42,IF(SUM(CAPA3_EXPANSION!$C$20:AM$20)&gt;0,SUP_PRODUCCION!$C$40,IF(SUM(CAPA3_EXPANSION!$C$19:AM$19)&gt;0,SUP_PRODUCCION!$C$38,SUP_PRODUCCION!$C$34)))</f>
        <v>183.3</v>
      </c>
      <c r="AN12" s="99">
        <f>IF(SUM(CAPA3_EXPANSION!$C$21:AN$21)&gt;0,SUP_PRODUCCION!$C$42,IF(SUM(CAPA3_EXPANSION!$C$20:AN$20)&gt;0,SUP_PRODUCCION!$C$40,IF(SUM(CAPA3_EXPANSION!$C$19:AN$19)&gt;0,SUP_PRODUCCION!$C$38,SUP_PRODUCCION!$C$34)))</f>
        <v>183.3</v>
      </c>
      <c r="AO12" s="99">
        <f>IF(SUM(CAPA3_EXPANSION!$C$21:AO$21)&gt;0,SUP_PRODUCCION!$C$42,IF(SUM(CAPA3_EXPANSION!$C$20:AO$20)&gt;0,SUP_PRODUCCION!$C$40,IF(SUM(CAPA3_EXPANSION!$C$19:AO$19)&gt;0,SUP_PRODUCCION!$C$38,SUP_PRODUCCION!$C$34)))</f>
        <v>183.3</v>
      </c>
      <c r="AP12" s="99">
        <f>IF(SUM(CAPA3_EXPANSION!$C$21:AP$21)&gt;0,SUP_PRODUCCION!$C$42,IF(SUM(CAPA3_EXPANSION!$C$20:AP$20)&gt;0,SUP_PRODUCCION!$C$40,IF(SUM(CAPA3_EXPANSION!$C$19:AP$19)&gt;0,SUP_PRODUCCION!$C$38,SUP_PRODUCCION!$C$34)))</f>
        <v>183.3</v>
      </c>
      <c r="AQ12" s="99">
        <f>IF(SUM(CAPA3_EXPANSION!$C$21:AQ$21)&gt;0,SUP_PRODUCCION!$C$42,IF(SUM(CAPA3_EXPANSION!$C$20:AQ$20)&gt;0,SUP_PRODUCCION!$C$40,IF(SUM(CAPA3_EXPANSION!$C$19:AQ$19)&gt;0,SUP_PRODUCCION!$C$38,SUP_PRODUCCION!$C$34)))</f>
        <v>183.3</v>
      </c>
      <c r="AR12" s="99">
        <f>IF(SUM(CAPA3_EXPANSION!$C$21:AR$21)&gt;0,SUP_PRODUCCION!$C$42,IF(SUM(CAPA3_EXPANSION!$C$20:AR$20)&gt;0,SUP_PRODUCCION!$C$40,IF(SUM(CAPA3_EXPANSION!$C$19:AR$19)&gt;0,SUP_PRODUCCION!$C$38,SUP_PRODUCCION!$C$34)))</f>
        <v>183.3</v>
      </c>
      <c r="AS12" s="99">
        <f>IF(SUM(CAPA3_EXPANSION!$C$21:AS$21)&gt;0,SUP_PRODUCCION!$C$42,IF(SUM(CAPA3_EXPANSION!$C$20:AS$20)&gt;0,SUP_PRODUCCION!$C$40,IF(SUM(CAPA3_EXPANSION!$C$19:AS$19)&gt;0,SUP_PRODUCCION!$C$38,SUP_PRODUCCION!$C$34)))</f>
        <v>183.3</v>
      </c>
      <c r="AT12" s="99">
        <f>IF(SUM(CAPA3_EXPANSION!$C$21:AT$21)&gt;0,SUP_PRODUCCION!$C$42,IF(SUM(CAPA3_EXPANSION!$C$20:AT$20)&gt;0,SUP_PRODUCCION!$C$40,IF(SUM(CAPA3_EXPANSION!$C$19:AT$19)&gt;0,SUP_PRODUCCION!$C$38,SUP_PRODUCCION!$C$34)))</f>
        <v>183.3</v>
      </c>
      <c r="AU12" s="99">
        <f>IF(SUM(CAPA3_EXPANSION!$C$21:AU$21)&gt;0,SUP_PRODUCCION!$C$42,IF(SUM(CAPA3_EXPANSION!$C$20:AU$20)&gt;0,SUP_PRODUCCION!$C$40,IF(SUM(CAPA3_EXPANSION!$C$19:AU$19)&gt;0,SUP_PRODUCCION!$C$38,SUP_PRODUCCION!$C$34)))</f>
        <v>183.3</v>
      </c>
      <c r="AV12" s="99">
        <f>IF(SUM(CAPA3_EXPANSION!$C$21:AV$21)&gt;0,SUP_PRODUCCION!$C$42,IF(SUM(CAPA3_EXPANSION!$C$20:AV$20)&gt;0,SUP_PRODUCCION!$C$40,IF(SUM(CAPA3_EXPANSION!$C$19:AV$19)&gt;0,SUP_PRODUCCION!$C$38,SUP_PRODUCCION!$C$34)))</f>
        <v>183.3</v>
      </c>
      <c r="AW12" s="99">
        <f>IF(SUM(CAPA3_EXPANSION!$C$21:AW$21)&gt;0,SUP_PRODUCCION!$C$42,IF(SUM(CAPA3_EXPANSION!$C$20:AW$20)&gt;0,SUP_PRODUCCION!$C$40,IF(SUM(CAPA3_EXPANSION!$C$19:AW$19)&gt;0,SUP_PRODUCCION!$C$38,SUP_PRODUCCION!$C$34)))</f>
        <v>366.6</v>
      </c>
      <c r="AX12" s="99">
        <f>IF(SUM(CAPA3_EXPANSION!$C$21:AX$21)&gt;0,SUP_PRODUCCION!$C$42,IF(SUM(CAPA3_EXPANSION!$C$20:AX$20)&gt;0,SUP_PRODUCCION!$C$40,IF(SUM(CAPA3_EXPANSION!$C$19:AX$19)&gt;0,SUP_PRODUCCION!$C$38,SUP_PRODUCCION!$C$34)))</f>
        <v>366.6</v>
      </c>
      <c r="AY12" s="99">
        <f>IF(SUM(CAPA3_EXPANSION!$C$21:AY$21)&gt;0,SUP_PRODUCCION!$C$42,IF(SUM(CAPA3_EXPANSION!$C$20:AY$20)&gt;0,SUP_PRODUCCION!$C$40,IF(SUM(CAPA3_EXPANSION!$C$19:AY$19)&gt;0,SUP_PRODUCCION!$C$38,SUP_PRODUCCION!$C$34)))</f>
        <v>366.6</v>
      </c>
      <c r="AZ12" s="99">
        <f>IF(SUM(CAPA3_EXPANSION!$C$21:AZ$21)&gt;0,SUP_PRODUCCION!$C$42,IF(SUM(CAPA3_EXPANSION!$C$20:AZ$20)&gt;0,SUP_PRODUCCION!$C$40,IF(SUM(CAPA3_EXPANSION!$C$19:AZ$19)&gt;0,SUP_PRODUCCION!$C$38,SUP_PRODUCCION!$C$34)))</f>
        <v>366.6</v>
      </c>
      <c r="BA12" s="99">
        <f>IF(SUM(CAPA3_EXPANSION!$C$21:BA$21)&gt;0,SUP_PRODUCCION!$C$42,IF(SUM(CAPA3_EXPANSION!$C$20:BA$20)&gt;0,SUP_PRODUCCION!$C$40,IF(SUM(CAPA3_EXPANSION!$C$19:BA$19)&gt;0,SUP_PRODUCCION!$C$38,SUP_PRODUCCION!$C$34)))</f>
        <v>366.6</v>
      </c>
      <c r="BB12" s="99">
        <f>IF(SUM(CAPA3_EXPANSION!$C$21:BB$21)&gt;0,SUP_PRODUCCION!$C$42,IF(SUM(CAPA3_EXPANSION!$C$20:BB$20)&gt;0,SUP_PRODUCCION!$C$40,IF(SUM(CAPA3_EXPANSION!$C$19:BB$19)&gt;0,SUP_PRODUCCION!$C$38,SUP_PRODUCCION!$C$34)))</f>
        <v>366.6</v>
      </c>
      <c r="BC12" s="99">
        <f>IF(SUM(CAPA3_EXPANSION!$C$21:BC$21)&gt;0,SUP_PRODUCCION!$C$42,IF(SUM(CAPA3_EXPANSION!$C$20:BC$20)&gt;0,SUP_PRODUCCION!$C$40,IF(SUM(CAPA3_EXPANSION!$C$19:BC$19)&gt;0,SUP_PRODUCCION!$C$38,SUP_PRODUCCION!$C$34)))</f>
        <v>366.6</v>
      </c>
      <c r="BD12" s="99">
        <f>IF(SUM(CAPA3_EXPANSION!$C$21:BD$21)&gt;0,SUP_PRODUCCION!$C$42,IF(SUM(CAPA3_EXPANSION!$C$20:BD$20)&gt;0,SUP_PRODUCCION!$C$40,IF(SUM(CAPA3_EXPANSION!$C$19:BD$19)&gt;0,SUP_PRODUCCION!$C$38,SUP_PRODUCCION!$C$34)))</f>
        <v>366.6</v>
      </c>
      <c r="BE12" s="99">
        <f>IF(SUM(CAPA3_EXPANSION!$C$21:BE$21)&gt;0,SUP_PRODUCCION!$C$42,IF(SUM(CAPA3_EXPANSION!$C$20:BE$20)&gt;0,SUP_PRODUCCION!$C$40,IF(SUM(CAPA3_EXPANSION!$C$19:BE$19)&gt;0,SUP_PRODUCCION!$C$38,SUP_PRODUCCION!$C$34)))</f>
        <v>366.6</v>
      </c>
      <c r="BF12" s="99">
        <f>IF(SUM(CAPA3_EXPANSION!$C$21:BF$21)&gt;0,SUP_PRODUCCION!$C$42,IF(SUM(CAPA3_EXPANSION!$C$20:BF$20)&gt;0,SUP_PRODUCCION!$C$40,IF(SUM(CAPA3_EXPANSION!$C$19:BF$19)&gt;0,SUP_PRODUCCION!$C$38,SUP_PRODUCCION!$C$34)))</f>
        <v>366.6</v>
      </c>
      <c r="BG12" s="99">
        <f>IF(SUM(CAPA3_EXPANSION!$C$21:BG$21)&gt;0,SUP_PRODUCCION!$C$42,IF(SUM(CAPA3_EXPANSION!$C$20:BG$20)&gt;0,SUP_PRODUCCION!$C$40,IF(SUM(CAPA3_EXPANSION!$C$19:BG$19)&gt;0,SUP_PRODUCCION!$C$38,SUP_PRODUCCION!$C$34)))</f>
        <v>366.6</v>
      </c>
      <c r="BH12" s="99">
        <f>IF(SUM(CAPA3_EXPANSION!$C$21:BH$21)&gt;0,SUP_PRODUCCION!$C$42,IF(SUM(CAPA3_EXPANSION!$C$20:BH$20)&gt;0,SUP_PRODUCCION!$C$40,IF(SUM(CAPA3_EXPANSION!$C$19:BH$19)&gt;0,SUP_PRODUCCION!$C$38,SUP_PRODUCCION!$C$34)))</f>
        <v>366.6</v>
      </c>
      <c r="BI12" s="99">
        <f>IF(SUM(CAPA3_EXPANSION!$C$21:BI$21)&gt;0,SUP_PRODUCCION!$C$42,IF(SUM(CAPA3_EXPANSION!$C$20:BI$20)&gt;0,SUP_PRODUCCION!$C$40,IF(SUM(CAPA3_EXPANSION!$C$19:BI$19)&gt;0,SUP_PRODUCCION!$C$38,SUP_PRODUCCION!$C$34)))</f>
        <v>366.6</v>
      </c>
      <c r="BJ12" s="99">
        <f>IF(SUM(CAPA3_EXPANSION!$C$21:BJ$21)&gt;0,SUP_PRODUCCION!$C$42,IF(SUM(CAPA3_EXPANSION!$C$20:BJ$20)&gt;0,SUP_PRODUCCION!$C$40,IF(SUM(CAPA3_EXPANSION!$C$19:BJ$19)&gt;0,SUP_PRODUCCION!$C$38,SUP_PRODUCCION!$C$34)))</f>
        <v>366.6</v>
      </c>
      <c r="BK12" s="99">
        <f>IF(SUM(CAPA3_EXPANSION!$C$21:BK$21)&gt;0,SUP_PRODUCCION!$C$42,IF(SUM(CAPA3_EXPANSION!$C$20:BK$20)&gt;0,SUP_PRODUCCION!$C$40,IF(SUM(CAPA3_EXPANSION!$C$19:BK$19)&gt;0,SUP_PRODUCCION!$C$38,SUP_PRODUCCION!$C$34)))</f>
        <v>366.6</v>
      </c>
      <c r="BL12" s="99">
        <f>IF(SUM(CAPA3_EXPANSION!$C$21:BL$21)&gt;0,SUP_PRODUCCION!$C$42,IF(SUM(CAPA3_EXPANSION!$C$20:BL$20)&gt;0,SUP_PRODUCCION!$C$40,IF(SUM(CAPA3_EXPANSION!$C$19:BL$19)&gt;0,SUP_PRODUCCION!$C$38,SUP_PRODUCCION!$C$34)))</f>
        <v>366.6</v>
      </c>
      <c r="BM12" s="99">
        <f>IF(SUM(CAPA3_EXPANSION!$C$21:BM$21)&gt;0,SUP_PRODUCCION!$C$42,IF(SUM(CAPA3_EXPANSION!$C$20:BM$20)&gt;0,SUP_PRODUCCION!$C$40,IF(SUM(CAPA3_EXPANSION!$C$19:BM$19)&gt;0,SUP_PRODUCCION!$C$38,SUP_PRODUCCION!$C$34)))</f>
        <v>366.6</v>
      </c>
      <c r="BN12" s="99">
        <f>IF(SUM(CAPA3_EXPANSION!$C$21:BN$21)&gt;0,SUP_PRODUCCION!$C$42,IF(SUM(CAPA3_EXPANSION!$C$20:BN$20)&gt;0,SUP_PRODUCCION!$C$40,IF(SUM(CAPA3_EXPANSION!$C$19:BN$19)&gt;0,SUP_PRODUCCION!$C$38,SUP_PRODUCCION!$C$34)))</f>
        <v>366.6</v>
      </c>
      <c r="BO12" s="99">
        <f>IF(SUM(CAPA3_EXPANSION!$C$21:BO$21)&gt;0,SUP_PRODUCCION!$C$42,IF(SUM(CAPA3_EXPANSION!$C$20:BO$20)&gt;0,SUP_PRODUCCION!$C$40,IF(SUM(CAPA3_EXPANSION!$C$19:BO$19)&gt;0,SUP_PRODUCCION!$C$38,SUP_PRODUCCION!$C$34)))</f>
        <v>366.6</v>
      </c>
      <c r="BP12" s="99">
        <f>IF(SUM(CAPA3_EXPANSION!$C$21:BP$21)&gt;0,SUP_PRODUCCION!$C$42,IF(SUM(CAPA3_EXPANSION!$C$20:BP$20)&gt;0,SUP_PRODUCCION!$C$40,IF(SUM(CAPA3_EXPANSION!$C$19:BP$19)&gt;0,SUP_PRODUCCION!$C$38,SUP_PRODUCCION!$C$34)))</f>
        <v>366.6</v>
      </c>
      <c r="BQ12" s="99">
        <f>IF(SUM(CAPA3_EXPANSION!$C$21:BQ$21)&gt;0,SUP_PRODUCCION!$C$42,IF(SUM(CAPA3_EXPANSION!$C$20:BQ$20)&gt;0,SUP_PRODUCCION!$C$40,IF(SUM(CAPA3_EXPANSION!$C$19:BQ$19)&gt;0,SUP_PRODUCCION!$C$38,SUP_PRODUCCION!$C$34)))</f>
        <v>366.6</v>
      </c>
      <c r="BR12" s="99">
        <f>IF(SUM(CAPA3_EXPANSION!$C$21:BR$21)&gt;0,SUP_PRODUCCION!$C$42,IF(SUM(CAPA3_EXPANSION!$C$20:BR$20)&gt;0,SUP_PRODUCCION!$C$40,IF(SUM(CAPA3_EXPANSION!$C$19:BR$19)&gt;0,SUP_PRODUCCION!$C$38,SUP_PRODUCCION!$C$34)))</f>
        <v>366.6</v>
      </c>
      <c r="BS12" s="99">
        <f>IF(SUM(CAPA3_EXPANSION!$C$21:BS$21)&gt;0,SUP_PRODUCCION!$C$42,IF(SUM(CAPA3_EXPANSION!$C$20:BS$20)&gt;0,SUP_PRODUCCION!$C$40,IF(SUM(CAPA3_EXPANSION!$C$19:BS$19)&gt;0,SUP_PRODUCCION!$C$38,SUP_PRODUCCION!$C$34)))</f>
        <v>366.6</v>
      </c>
      <c r="BT12" s="99">
        <f>IF(SUM(CAPA3_EXPANSION!$C$21:BT$21)&gt;0,SUP_PRODUCCION!$C$42,IF(SUM(CAPA3_EXPANSION!$C$20:BT$20)&gt;0,SUP_PRODUCCION!$C$40,IF(SUM(CAPA3_EXPANSION!$C$19:BT$19)&gt;0,SUP_PRODUCCION!$C$38,SUP_PRODUCCION!$C$34)))</f>
        <v>366.6</v>
      </c>
      <c r="BU12" s="99">
        <f>IF(SUM(CAPA3_EXPANSION!$C$21:BU$21)&gt;0,SUP_PRODUCCION!$C$42,IF(SUM(CAPA3_EXPANSION!$C$20:BU$20)&gt;0,SUP_PRODUCCION!$C$40,IF(SUM(CAPA3_EXPANSION!$C$19:BU$19)&gt;0,SUP_PRODUCCION!$C$38,SUP_PRODUCCION!$C$34)))</f>
        <v>366.6</v>
      </c>
      <c r="BV12" s="99">
        <f>IF(SUM(CAPA3_EXPANSION!$C$21:BV$21)&gt;0,SUP_PRODUCCION!$C$42,IF(SUM(CAPA3_EXPANSION!$C$20:BV$20)&gt;0,SUP_PRODUCCION!$C$40,IF(SUM(CAPA3_EXPANSION!$C$19:BV$19)&gt;0,SUP_PRODUCCION!$C$38,SUP_PRODUCCION!$C$34)))</f>
        <v>366.6</v>
      </c>
      <c r="BW12" s="99">
        <f>IF(SUM(CAPA3_EXPANSION!$C$21:BW$21)&gt;0,SUP_PRODUCCION!$C$42,IF(SUM(CAPA3_EXPANSION!$C$20:BW$20)&gt;0,SUP_PRODUCCION!$C$40,IF(SUM(CAPA3_EXPANSION!$C$19:BW$19)&gt;0,SUP_PRODUCCION!$C$38,SUP_PRODUCCION!$C$34)))</f>
        <v>366.6</v>
      </c>
      <c r="BX12" s="99">
        <f>IF(SUM(CAPA3_EXPANSION!$C$21:BX$21)&gt;0,SUP_PRODUCCION!$C$42,IF(SUM(CAPA3_EXPANSION!$C$20:BX$20)&gt;0,SUP_PRODUCCION!$C$40,IF(SUM(CAPA3_EXPANSION!$C$19:BX$19)&gt;0,SUP_PRODUCCION!$C$38,SUP_PRODUCCION!$C$34)))</f>
        <v>366.6</v>
      </c>
      <c r="BY12" s="99">
        <f>IF(SUM(CAPA3_EXPANSION!$C$21:BY$21)&gt;0,SUP_PRODUCCION!$C$42,IF(SUM(CAPA3_EXPANSION!$C$20:BY$20)&gt;0,SUP_PRODUCCION!$C$40,IF(SUM(CAPA3_EXPANSION!$C$19:BY$19)&gt;0,SUP_PRODUCCION!$C$38,SUP_PRODUCCION!$C$34)))</f>
        <v>366.6</v>
      </c>
      <c r="BZ12" s="99">
        <f>IF(SUM(CAPA3_EXPANSION!$C$21:BZ$21)&gt;0,SUP_PRODUCCION!$C$42,IF(SUM(CAPA3_EXPANSION!$C$20:BZ$20)&gt;0,SUP_PRODUCCION!$C$40,IF(SUM(CAPA3_EXPANSION!$C$19:BZ$19)&gt;0,SUP_PRODUCCION!$C$38,SUP_PRODUCCION!$C$34)))</f>
        <v>366.6</v>
      </c>
      <c r="CA12" s="99">
        <f>IF(SUM(CAPA3_EXPANSION!$C$21:CA$21)&gt;0,SUP_PRODUCCION!$C$42,IF(SUM(CAPA3_EXPANSION!$C$20:CA$20)&gt;0,SUP_PRODUCCION!$C$40,IF(SUM(CAPA3_EXPANSION!$C$19:CA$19)&gt;0,SUP_PRODUCCION!$C$38,SUP_PRODUCCION!$C$34)))</f>
        <v>366.6</v>
      </c>
      <c r="CB12" s="99">
        <f>IF(SUM(CAPA3_EXPANSION!$C$21:CB$21)&gt;0,SUP_PRODUCCION!$C$42,IF(SUM(CAPA3_EXPANSION!$C$20:CB$20)&gt;0,SUP_PRODUCCION!$C$40,IF(SUM(CAPA3_EXPANSION!$C$19:CB$19)&gt;0,SUP_PRODUCCION!$C$38,SUP_PRODUCCION!$C$34)))</f>
        <v>549.90000000000009</v>
      </c>
      <c r="CC12" s="99">
        <f>IF(SUM(CAPA3_EXPANSION!$C$21:CC$21)&gt;0,SUP_PRODUCCION!$C$42,IF(SUM(CAPA3_EXPANSION!$C$20:CC$20)&gt;0,SUP_PRODUCCION!$C$40,IF(SUM(CAPA3_EXPANSION!$C$19:CC$19)&gt;0,SUP_PRODUCCION!$C$38,SUP_PRODUCCION!$C$34)))</f>
        <v>549.90000000000009</v>
      </c>
      <c r="CD12" s="99">
        <f>IF(SUM(CAPA3_EXPANSION!$C$21:CD$21)&gt;0,SUP_PRODUCCION!$C$42,IF(SUM(CAPA3_EXPANSION!$C$20:CD$20)&gt;0,SUP_PRODUCCION!$C$40,IF(SUM(CAPA3_EXPANSION!$C$19:CD$19)&gt;0,SUP_PRODUCCION!$C$38,SUP_PRODUCCION!$C$34)))</f>
        <v>549.90000000000009</v>
      </c>
      <c r="CE12" s="99">
        <f>IF(SUM(CAPA3_EXPANSION!$C$21:CE$21)&gt;0,SUP_PRODUCCION!$C$42,IF(SUM(CAPA3_EXPANSION!$C$20:CE$20)&gt;0,SUP_PRODUCCION!$C$40,IF(SUM(CAPA3_EXPANSION!$C$19:CE$19)&gt;0,SUP_PRODUCCION!$C$38,SUP_PRODUCCION!$C$34)))</f>
        <v>549.90000000000009</v>
      </c>
      <c r="CF12" s="99">
        <f>IF(SUM(CAPA3_EXPANSION!$C$21:CF$21)&gt;0,SUP_PRODUCCION!$C$42,IF(SUM(CAPA3_EXPANSION!$C$20:CF$20)&gt;0,SUP_PRODUCCION!$C$40,IF(SUM(CAPA3_EXPANSION!$C$19:CF$19)&gt;0,SUP_PRODUCCION!$C$38,SUP_PRODUCCION!$C$34)))</f>
        <v>549.90000000000009</v>
      </c>
      <c r="CG12" s="99">
        <f>IF(SUM(CAPA3_EXPANSION!$C$21:CG$21)&gt;0,SUP_PRODUCCION!$C$42,IF(SUM(CAPA3_EXPANSION!$C$20:CG$20)&gt;0,SUP_PRODUCCION!$C$40,IF(SUM(CAPA3_EXPANSION!$C$19:CG$19)&gt;0,SUP_PRODUCCION!$C$38,SUP_PRODUCCION!$C$34)))</f>
        <v>549.90000000000009</v>
      </c>
      <c r="CH12" s="99">
        <f>IF(SUM(CAPA3_EXPANSION!$C$21:CH$21)&gt;0,SUP_PRODUCCION!$C$42,IF(SUM(CAPA3_EXPANSION!$C$20:CH$20)&gt;0,SUP_PRODUCCION!$C$40,IF(SUM(CAPA3_EXPANSION!$C$19:CH$19)&gt;0,SUP_PRODUCCION!$C$38,SUP_PRODUCCION!$C$34)))</f>
        <v>549.90000000000009</v>
      </c>
      <c r="CI12" s="99">
        <f>IF(SUM(CAPA3_EXPANSION!$C$21:CI$21)&gt;0,SUP_PRODUCCION!$C$42,IF(SUM(CAPA3_EXPANSION!$C$20:CI$20)&gt;0,SUP_PRODUCCION!$C$40,IF(SUM(CAPA3_EXPANSION!$C$19:CI$19)&gt;0,SUP_PRODUCCION!$C$38,SUP_PRODUCCION!$C$34)))</f>
        <v>549.90000000000009</v>
      </c>
      <c r="CJ12" s="99">
        <f>IF(SUM(CAPA3_EXPANSION!$C$21:CJ$21)&gt;0,SUP_PRODUCCION!$C$42,IF(SUM(CAPA3_EXPANSION!$C$20:CJ$20)&gt;0,SUP_PRODUCCION!$C$40,IF(SUM(CAPA3_EXPANSION!$C$19:CJ$19)&gt;0,SUP_PRODUCCION!$C$38,SUP_PRODUCCION!$C$34)))</f>
        <v>549.90000000000009</v>
      </c>
      <c r="CK12" s="99">
        <f>IF(SUM(CAPA3_EXPANSION!$C$21:CK$21)&gt;0,SUP_PRODUCCION!$C$42,IF(SUM(CAPA3_EXPANSION!$C$20:CK$20)&gt;0,SUP_PRODUCCION!$C$40,IF(SUM(CAPA3_EXPANSION!$C$19:CK$19)&gt;0,SUP_PRODUCCION!$C$38,SUP_PRODUCCION!$C$34)))</f>
        <v>549.90000000000009</v>
      </c>
      <c r="CL12" s="99">
        <f>IF(SUM(CAPA3_EXPANSION!$C$21:CL$21)&gt;0,SUP_PRODUCCION!$C$42,IF(SUM(CAPA3_EXPANSION!$C$20:CL$20)&gt;0,SUP_PRODUCCION!$C$40,IF(SUM(CAPA3_EXPANSION!$C$19:CL$19)&gt;0,SUP_PRODUCCION!$C$38,SUP_PRODUCCION!$C$34)))</f>
        <v>549.90000000000009</v>
      </c>
      <c r="CM12" s="99">
        <f>IF(SUM(CAPA3_EXPANSION!$C$21:CM$21)&gt;0,SUP_PRODUCCION!$C$42,IF(SUM(CAPA3_EXPANSION!$C$20:CM$20)&gt;0,SUP_PRODUCCION!$C$40,IF(SUM(CAPA3_EXPANSION!$C$19:CM$19)&gt;0,SUP_PRODUCCION!$C$38,SUP_PRODUCCION!$C$34)))</f>
        <v>549.90000000000009</v>
      </c>
      <c r="CN12" s="99">
        <f>IF(SUM(CAPA3_EXPANSION!$C$21:CN$21)&gt;0,SUP_PRODUCCION!$C$42,IF(SUM(CAPA3_EXPANSION!$C$20:CN$20)&gt;0,SUP_PRODUCCION!$C$40,IF(SUM(CAPA3_EXPANSION!$C$19:CN$19)&gt;0,SUP_PRODUCCION!$C$38,SUP_PRODUCCION!$C$34)))</f>
        <v>549.90000000000009</v>
      </c>
      <c r="CO12" s="99">
        <f>IF(SUM(CAPA3_EXPANSION!$C$21:CO$21)&gt;0,SUP_PRODUCCION!$C$42,IF(SUM(CAPA3_EXPANSION!$C$20:CO$20)&gt;0,SUP_PRODUCCION!$C$40,IF(SUM(CAPA3_EXPANSION!$C$19:CO$19)&gt;0,SUP_PRODUCCION!$C$38,SUP_PRODUCCION!$C$34)))</f>
        <v>549.90000000000009</v>
      </c>
      <c r="CP12" s="99">
        <f>IF(SUM(CAPA3_EXPANSION!$C$21:CP$21)&gt;0,SUP_PRODUCCION!$C$42,IF(SUM(CAPA3_EXPANSION!$C$20:CP$20)&gt;0,SUP_PRODUCCION!$C$40,IF(SUM(CAPA3_EXPANSION!$C$19:CP$19)&gt;0,SUP_PRODUCCION!$C$38,SUP_PRODUCCION!$C$34)))</f>
        <v>549.90000000000009</v>
      </c>
      <c r="CQ12" s="99">
        <f>IF(SUM(CAPA3_EXPANSION!$C$21:CQ$21)&gt;0,SUP_PRODUCCION!$C$42,IF(SUM(CAPA3_EXPANSION!$C$20:CQ$20)&gt;0,SUP_PRODUCCION!$C$40,IF(SUM(CAPA3_EXPANSION!$C$19:CQ$19)&gt;0,SUP_PRODUCCION!$C$38,SUP_PRODUCCION!$C$34)))</f>
        <v>549.90000000000009</v>
      </c>
      <c r="CR12" s="99">
        <f>IF(SUM(CAPA3_EXPANSION!$C$21:CR$21)&gt;0,SUP_PRODUCCION!$C$42,IF(SUM(CAPA3_EXPANSION!$C$20:CR$20)&gt;0,SUP_PRODUCCION!$C$40,IF(SUM(CAPA3_EXPANSION!$C$19:CR$19)&gt;0,SUP_PRODUCCION!$C$38,SUP_PRODUCCION!$C$34)))</f>
        <v>549.90000000000009</v>
      </c>
      <c r="CS12" s="99">
        <f>IF(SUM(CAPA3_EXPANSION!$C$21:CS$21)&gt;0,SUP_PRODUCCION!$C$42,IF(SUM(CAPA3_EXPANSION!$C$20:CS$20)&gt;0,SUP_PRODUCCION!$C$40,IF(SUM(CAPA3_EXPANSION!$C$19:CS$19)&gt;0,SUP_PRODUCCION!$C$38,SUP_PRODUCCION!$C$34)))</f>
        <v>549.90000000000009</v>
      </c>
      <c r="CT12" s="99">
        <f>IF(SUM(CAPA3_EXPANSION!$C$21:CT$21)&gt;0,SUP_PRODUCCION!$C$42,IF(SUM(CAPA3_EXPANSION!$C$20:CT$20)&gt;0,SUP_PRODUCCION!$C$40,IF(SUM(CAPA3_EXPANSION!$C$19:CT$19)&gt;0,SUP_PRODUCCION!$C$38,SUP_PRODUCCION!$C$34)))</f>
        <v>549.90000000000009</v>
      </c>
      <c r="CU12" s="99">
        <f>IF(SUM(CAPA3_EXPANSION!$C$21:CU$21)&gt;0,SUP_PRODUCCION!$C$42,IF(SUM(CAPA3_EXPANSION!$C$20:CU$20)&gt;0,SUP_PRODUCCION!$C$40,IF(SUM(CAPA3_EXPANSION!$C$19:CU$19)&gt;0,SUP_PRODUCCION!$C$38,SUP_PRODUCCION!$C$34)))</f>
        <v>549.90000000000009</v>
      </c>
      <c r="CV12" s="99">
        <f>IF(SUM(CAPA3_EXPANSION!$C$21:CV$21)&gt;0,SUP_PRODUCCION!$C$42,IF(SUM(CAPA3_EXPANSION!$C$20:CV$20)&gt;0,SUP_PRODUCCION!$C$40,IF(SUM(CAPA3_EXPANSION!$C$19:CV$19)&gt;0,SUP_PRODUCCION!$C$38,SUP_PRODUCCION!$C$34)))</f>
        <v>549.90000000000009</v>
      </c>
      <c r="CW12" s="99">
        <f>IF(SUM(CAPA3_EXPANSION!$C$21:CW$21)&gt;0,SUP_PRODUCCION!$C$42,IF(SUM(CAPA3_EXPANSION!$C$20:CW$20)&gt;0,SUP_PRODUCCION!$C$40,IF(SUM(CAPA3_EXPANSION!$C$19:CW$19)&gt;0,SUP_PRODUCCION!$C$38,SUP_PRODUCCION!$C$34)))</f>
        <v>549.90000000000009</v>
      </c>
      <c r="CX12" s="99">
        <f>IF(SUM(CAPA3_EXPANSION!$C$21:CX$21)&gt;0,SUP_PRODUCCION!$C$42,IF(SUM(CAPA3_EXPANSION!$C$20:CX$20)&gt;0,SUP_PRODUCCION!$C$40,IF(SUM(CAPA3_EXPANSION!$C$19:CX$19)&gt;0,SUP_PRODUCCION!$C$38,SUP_PRODUCCION!$C$34)))</f>
        <v>549.90000000000009</v>
      </c>
      <c r="CY12" s="99">
        <f>IF(SUM(CAPA3_EXPANSION!$C$21:CY$21)&gt;0,SUP_PRODUCCION!$C$42,IF(SUM(CAPA3_EXPANSION!$C$20:CY$20)&gt;0,SUP_PRODUCCION!$C$40,IF(SUM(CAPA3_EXPANSION!$C$19:CY$19)&gt;0,SUP_PRODUCCION!$C$38,SUP_PRODUCCION!$C$34)))</f>
        <v>549.90000000000009</v>
      </c>
      <c r="CZ12" s="99">
        <f>IF(SUM(CAPA3_EXPANSION!$C$21:CZ$21)&gt;0,SUP_PRODUCCION!$C$42,IF(SUM(CAPA3_EXPANSION!$C$20:CZ$20)&gt;0,SUP_PRODUCCION!$C$40,IF(SUM(CAPA3_EXPANSION!$C$19:CZ$19)&gt;0,SUP_PRODUCCION!$C$38,SUP_PRODUCCION!$C$34)))</f>
        <v>549.90000000000009</v>
      </c>
      <c r="DA12" s="99">
        <f>IF(SUM(CAPA3_EXPANSION!$C$21:DA$21)&gt;0,SUP_PRODUCCION!$C$42,IF(SUM(CAPA3_EXPANSION!$C$20:DA$20)&gt;0,SUP_PRODUCCION!$C$40,IF(SUM(CAPA3_EXPANSION!$C$19:DA$19)&gt;0,SUP_PRODUCCION!$C$38,SUP_PRODUCCION!$C$34)))</f>
        <v>549.90000000000009</v>
      </c>
      <c r="DB12" s="99">
        <f>IF(SUM(CAPA3_EXPANSION!$C$21:DB$21)&gt;0,SUP_PRODUCCION!$C$42,IF(SUM(CAPA3_EXPANSION!$C$20:DB$20)&gt;0,SUP_PRODUCCION!$C$40,IF(SUM(CAPA3_EXPANSION!$C$19:DB$19)&gt;0,SUP_PRODUCCION!$C$38,SUP_PRODUCCION!$C$34)))</f>
        <v>549.90000000000009</v>
      </c>
      <c r="DC12" s="99">
        <f>IF(SUM(CAPA3_EXPANSION!$C$21:DC$21)&gt;0,SUP_PRODUCCION!$C$42,IF(SUM(CAPA3_EXPANSION!$C$20:DC$20)&gt;0,SUP_PRODUCCION!$C$40,IF(SUM(CAPA3_EXPANSION!$C$19:DC$19)&gt;0,SUP_PRODUCCION!$C$38,SUP_PRODUCCION!$C$34)))</f>
        <v>549.90000000000009</v>
      </c>
      <c r="DD12" s="99">
        <f>IF(SUM(CAPA3_EXPANSION!$C$21:DD$21)&gt;0,SUP_PRODUCCION!$C$42,IF(SUM(CAPA3_EXPANSION!$C$20:DD$20)&gt;0,SUP_PRODUCCION!$C$40,IF(SUM(CAPA3_EXPANSION!$C$19:DD$19)&gt;0,SUP_PRODUCCION!$C$38,SUP_PRODUCCION!$C$34)))</f>
        <v>549.90000000000009</v>
      </c>
      <c r="DE12" s="99">
        <f>IF(SUM(CAPA3_EXPANSION!$C$21:DE$21)&gt;0,SUP_PRODUCCION!$C$42,IF(SUM(CAPA3_EXPANSION!$C$20:DE$20)&gt;0,SUP_PRODUCCION!$C$40,IF(SUM(CAPA3_EXPANSION!$C$19:DE$19)&gt;0,SUP_PRODUCCION!$C$38,SUP_PRODUCCION!$C$34)))</f>
        <v>549.90000000000009</v>
      </c>
      <c r="DF12" s="99">
        <f>IF(SUM(CAPA3_EXPANSION!$C$21:DF$21)&gt;0,SUP_PRODUCCION!$C$42,IF(SUM(CAPA3_EXPANSION!$C$20:DF$20)&gt;0,SUP_PRODUCCION!$C$40,IF(SUM(CAPA3_EXPANSION!$C$19:DF$19)&gt;0,SUP_PRODUCCION!$C$38,SUP_PRODUCCION!$C$34)))</f>
        <v>549.90000000000009</v>
      </c>
      <c r="DG12" s="99">
        <f>IF(SUM(CAPA3_EXPANSION!$C$21:DG$21)&gt;0,SUP_PRODUCCION!$C$42,IF(SUM(CAPA3_EXPANSION!$C$20:DG$20)&gt;0,SUP_PRODUCCION!$C$40,IF(SUM(CAPA3_EXPANSION!$C$19:DG$19)&gt;0,SUP_PRODUCCION!$C$38,SUP_PRODUCCION!$C$34)))</f>
        <v>549.90000000000009</v>
      </c>
      <c r="DH12" s="99">
        <f>IF(SUM(CAPA3_EXPANSION!$C$21:DH$21)&gt;0,SUP_PRODUCCION!$C$42,IF(SUM(CAPA3_EXPANSION!$C$20:DH$20)&gt;0,SUP_PRODUCCION!$C$40,IF(SUM(CAPA3_EXPANSION!$C$19:DH$19)&gt;0,SUP_PRODUCCION!$C$38,SUP_PRODUCCION!$C$34)))</f>
        <v>549.90000000000009</v>
      </c>
      <c r="DI12" s="99">
        <f>IF(SUM(CAPA3_EXPANSION!$C$21:DI$21)&gt;0,SUP_PRODUCCION!$C$42,IF(SUM(CAPA3_EXPANSION!$C$20:DI$20)&gt;0,SUP_PRODUCCION!$C$40,IF(SUM(CAPA3_EXPANSION!$C$19:DI$19)&gt;0,SUP_PRODUCCION!$C$38,SUP_PRODUCCION!$C$34)))</f>
        <v>549.90000000000009</v>
      </c>
      <c r="DJ12" s="99">
        <f>IF(SUM(CAPA3_EXPANSION!$C$21:DJ$21)&gt;0,SUP_PRODUCCION!$C$42,IF(SUM(CAPA3_EXPANSION!$C$20:DJ$20)&gt;0,SUP_PRODUCCION!$C$40,IF(SUM(CAPA3_EXPANSION!$C$19:DJ$19)&gt;0,SUP_PRODUCCION!$C$38,SUP_PRODUCCION!$C$34)))</f>
        <v>549.90000000000009</v>
      </c>
      <c r="DK12" s="99">
        <f>IF(SUM(CAPA3_EXPANSION!$C$21:DK$21)&gt;0,SUP_PRODUCCION!$C$42,IF(SUM(CAPA3_EXPANSION!$C$20:DK$20)&gt;0,SUP_PRODUCCION!$C$40,IF(SUM(CAPA3_EXPANSION!$C$19:DK$19)&gt;0,SUP_PRODUCCION!$C$38,SUP_PRODUCCION!$C$34)))</f>
        <v>549.90000000000009</v>
      </c>
      <c r="DL12" s="99">
        <f>IF(SUM(CAPA3_EXPANSION!$C$21:DL$21)&gt;0,SUP_PRODUCCION!$C$42,IF(SUM(CAPA3_EXPANSION!$C$20:DL$20)&gt;0,SUP_PRODUCCION!$C$40,IF(SUM(CAPA3_EXPANSION!$C$19:DL$19)&gt;0,SUP_PRODUCCION!$C$38,SUP_PRODUCCION!$C$34)))</f>
        <v>549.90000000000009</v>
      </c>
      <c r="DM12" s="99">
        <f>IF(SUM(CAPA3_EXPANSION!$C$21:DM$21)&gt;0,SUP_PRODUCCION!$C$42,IF(SUM(CAPA3_EXPANSION!$C$20:DM$20)&gt;0,SUP_PRODUCCION!$C$40,IF(SUM(CAPA3_EXPANSION!$C$19:DM$19)&gt;0,SUP_PRODUCCION!$C$38,SUP_PRODUCCION!$C$34)))</f>
        <v>549.90000000000009</v>
      </c>
      <c r="DN12" s="99">
        <f>IF(SUM(CAPA3_EXPANSION!$C$21:DN$21)&gt;0,SUP_PRODUCCION!$C$42,IF(SUM(CAPA3_EXPANSION!$C$20:DN$20)&gt;0,SUP_PRODUCCION!$C$40,IF(SUM(CAPA3_EXPANSION!$C$19:DN$19)&gt;0,SUP_PRODUCCION!$C$38,SUP_PRODUCCION!$C$34)))</f>
        <v>549.90000000000009</v>
      </c>
      <c r="DO12" s="99">
        <f>IF(SUM(CAPA3_EXPANSION!$C$21:DO$21)&gt;0,SUP_PRODUCCION!$C$42,IF(SUM(CAPA3_EXPANSION!$C$20:DO$20)&gt;0,SUP_PRODUCCION!$C$40,IF(SUM(CAPA3_EXPANSION!$C$19:DO$19)&gt;0,SUP_PRODUCCION!$C$38,SUP_PRODUCCION!$C$34)))</f>
        <v>549.90000000000009</v>
      </c>
      <c r="DP12" s="99">
        <f>IF(SUM(CAPA3_EXPANSION!$C$21:DP$21)&gt;0,SUP_PRODUCCION!$C$42,IF(SUM(CAPA3_EXPANSION!$C$20:DP$20)&gt;0,SUP_PRODUCCION!$C$40,IF(SUM(CAPA3_EXPANSION!$C$19:DP$19)&gt;0,SUP_PRODUCCION!$C$38,SUP_PRODUCCION!$C$34)))</f>
        <v>549.90000000000009</v>
      </c>
      <c r="DQ12" s="99">
        <f>IF(SUM(CAPA3_EXPANSION!$C$21:DQ$21)&gt;0,SUP_PRODUCCION!$C$42,IF(SUM(CAPA3_EXPANSION!$C$20:DQ$20)&gt;0,SUP_PRODUCCION!$C$40,IF(SUM(CAPA3_EXPANSION!$C$19:DQ$19)&gt;0,SUP_PRODUCCION!$C$38,SUP_PRODUCCION!$C$34)))</f>
        <v>549.90000000000009</v>
      </c>
      <c r="DR12" s="99">
        <f>IF(SUM(CAPA3_EXPANSION!$C$21:DR$21)&gt;0,SUP_PRODUCCION!$C$42,IF(SUM(CAPA3_EXPANSION!$C$20:DR$20)&gt;0,SUP_PRODUCCION!$C$40,IF(SUM(CAPA3_EXPANSION!$C$19:DR$19)&gt;0,SUP_PRODUCCION!$C$38,SUP_PRODUCCION!$C$34)))</f>
        <v>549.90000000000009</v>
      </c>
      <c r="DS12" s="99">
        <f>IF(SUM(CAPA3_EXPANSION!$C$21:DS$21)&gt;0,SUP_PRODUCCION!$C$42,IF(SUM(CAPA3_EXPANSION!$C$20:DS$20)&gt;0,SUP_PRODUCCION!$C$40,IF(SUM(CAPA3_EXPANSION!$C$19:DS$19)&gt;0,SUP_PRODUCCION!$C$38,SUP_PRODUCCION!$C$34)))</f>
        <v>549.90000000000009</v>
      </c>
    </row>
    <row r="13" spans="1:123" ht="15" customHeight="1" x14ac:dyDescent="0.2">
      <c r="B13" s="20" t="s">
        <v>1269</v>
      </c>
      <c r="D13" s="76">
        <f t="shared" ref="D13:AI13" si="8">D11/D12</f>
        <v>0</v>
      </c>
      <c r="E13" s="76">
        <f t="shared" si="8"/>
        <v>0</v>
      </c>
      <c r="F13" s="76">
        <f t="shared" si="8"/>
        <v>0</v>
      </c>
      <c r="G13" s="76">
        <f t="shared" si="8"/>
        <v>0.10286524822695033</v>
      </c>
      <c r="H13" s="76">
        <f t="shared" si="8"/>
        <v>0.22777304964539005</v>
      </c>
      <c r="I13" s="76">
        <f t="shared" si="8"/>
        <v>0.37472340425531914</v>
      </c>
      <c r="J13" s="76">
        <f t="shared" si="8"/>
        <v>0.53710354609929079</v>
      </c>
      <c r="K13" s="76">
        <f t="shared" si="8"/>
        <v>0.7182198581560284</v>
      </c>
      <c r="L13" s="76">
        <f t="shared" si="8"/>
        <v>0.77222411347517717</v>
      </c>
      <c r="M13" s="76">
        <f t="shared" si="8"/>
        <v>0.80087943262411354</v>
      </c>
      <c r="N13" s="76">
        <f t="shared" si="8"/>
        <v>0.80087943262411354</v>
      </c>
      <c r="O13" s="76">
        <f t="shared" si="8"/>
        <v>0.80087943262411354</v>
      </c>
      <c r="P13" s="76">
        <f t="shared" si="8"/>
        <v>0.80087943262411354</v>
      </c>
      <c r="Q13" s="76">
        <f t="shared" si="8"/>
        <v>0.80087943262411354</v>
      </c>
      <c r="R13" s="76">
        <f t="shared" si="8"/>
        <v>0.80087943262411354</v>
      </c>
      <c r="S13" s="76">
        <f t="shared" si="8"/>
        <v>0.80087943262411354</v>
      </c>
      <c r="T13" s="76">
        <f t="shared" si="8"/>
        <v>0.84863829787234046</v>
      </c>
      <c r="U13" s="76">
        <f t="shared" si="8"/>
        <v>0.85965957446808505</v>
      </c>
      <c r="V13" s="76">
        <f t="shared" si="8"/>
        <v>0.91476595744680844</v>
      </c>
      <c r="W13" s="76">
        <f t="shared" si="8"/>
        <v>0.98089361702127664</v>
      </c>
      <c r="X13" s="76">
        <f t="shared" si="8"/>
        <v>0.9992624113475177</v>
      </c>
      <c r="Y13" s="76">
        <f t="shared" si="8"/>
        <v>1.0139574468085106</v>
      </c>
      <c r="Z13" s="76">
        <f t="shared" si="8"/>
        <v>1.0213049645390071</v>
      </c>
      <c r="AA13" s="76">
        <f t="shared" si="8"/>
        <v>0.51065248226950355</v>
      </c>
      <c r="AB13" s="76">
        <f t="shared" si="8"/>
        <v>0.51065248226950355</v>
      </c>
      <c r="AC13" s="76">
        <f t="shared" si="8"/>
        <v>0.51065248226950355</v>
      </c>
      <c r="AD13" s="76">
        <f t="shared" si="8"/>
        <v>0.50734609929078012</v>
      </c>
      <c r="AE13" s="76">
        <f t="shared" si="8"/>
        <v>0.50734609929078012</v>
      </c>
      <c r="AF13" s="76">
        <f t="shared" si="8"/>
        <v>0.53745806382978722</v>
      </c>
      <c r="AG13" s="76">
        <f t="shared" si="8"/>
        <v>0.56757002836879433</v>
      </c>
      <c r="AH13" s="76">
        <f t="shared" si="8"/>
        <v>0.57754795744680854</v>
      </c>
      <c r="AI13" s="76">
        <f t="shared" si="8"/>
        <v>0.60890716312056736</v>
      </c>
      <c r="AJ13" s="76">
        <f t="shared" ref="AJ13:BO13" si="9">AJ11/AJ12</f>
        <v>0.64097907801418441</v>
      </c>
      <c r="AK13" s="76">
        <f t="shared" si="9"/>
        <v>0.64988794326241139</v>
      </c>
      <c r="AL13" s="76">
        <f t="shared" si="9"/>
        <v>0.65040226950354607</v>
      </c>
      <c r="AM13" s="76">
        <f t="shared" si="9"/>
        <v>0.683209854609929</v>
      </c>
      <c r="AN13" s="76">
        <f t="shared" si="9"/>
        <v>0.71254573758865258</v>
      </c>
      <c r="AO13" s="76">
        <f t="shared" si="9"/>
        <v>0.74483256737588655</v>
      </c>
      <c r="AP13" s="76">
        <f t="shared" si="9"/>
        <v>0.78059109929078019</v>
      </c>
      <c r="AQ13" s="76">
        <f t="shared" si="9"/>
        <v>0.79274205673758857</v>
      </c>
      <c r="AR13" s="76">
        <f t="shared" si="9"/>
        <v>0.82902134397163119</v>
      </c>
      <c r="AS13" s="76">
        <f t="shared" si="9"/>
        <v>0.8392628652482268</v>
      </c>
      <c r="AT13" s="76">
        <f t="shared" si="9"/>
        <v>0.86634214184397151</v>
      </c>
      <c r="AU13" s="76">
        <f t="shared" si="9"/>
        <v>0.8986289716312057</v>
      </c>
      <c r="AV13" s="76">
        <f t="shared" si="9"/>
        <v>0.90730822695035451</v>
      </c>
      <c r="AW13" s="76">
        <f t="shared" si="9"/>
        <v>0.45712581560283683</v>
      </c>
      <c r="AX13" s="76">
        <f t="shared" si="9"/>
        <v>0.45886166666666667</v>
      </c>
      <c r="AY13" s="76">
        <f t="shared" si="9"/>
        <v>0.45886166666666667</v>
      </c>
      <c r="AZ13" s="76">
        <f t="shared" si="9"/>
        <v>0.45886166666666667</v>
      </c>
      <c r="BA13" s="76">
        <f t="shared" si="9"/>
        <v>0.4520192907801418</v>
      </c>
      <c r="BB13" s="76">
        <f t="shared" si="9"/>
        <v>0.4520192907801418</v>
      </c>
      <c r="BC13" s="76">
        <f t="shared" si="9"/>
        <v>0.4520192907801418</v>
      </c>
      <c r="BD13" s="76">
        <f t="shared" si="9"/>
        <v>0.47398836879432621</v>
      </c>
      <c r="BE13" s="76">
        <f t="shared" si="9"/>
        <v>0.490042695035461</v>
      </c>
      <c r="BF13" s="76">
        <f t="shared" si="9"/>
        <v>0.50349783687943261</v>
      </c>
      <c r="BG13" s="76">
        <f t="shared" si="9"/>
        <v>0.52242687943262411</v>
      </c>
      <c r="BH13" s="76">
        <f t="shared" si="9"/>
        <v>0.53945475177304969</v>
      </c>
      <c r="BI13" s="76">
        <f t="shared" si="9"/>
        <v>0.55648262411347515</v>
      </c>
      <c r="BJ13" s="76">
        <f t="shared" si="9"/>
        <v>0.57623826241134757</v>
      </c>
      <c r="BK13" s="76">
        <f t="shared" si="9"/>
        <v>0.58477424113475174</v>
      </c>
      <c r="BL13" s="76">
        <f t="shared" si="9"/>
        <v>0.60142371631205671</v>
      </c>
      <c r="BM13" s="76">
        <f t="shared" si="9"/>
        <v>0.61807319148936168</v>
      </c>
      <c r="BN13" s="76">
        <f t="shared" si="9"/>
        <v>0.63738981560283692</v>
      </c>
      <c r="BO13" s="76">
        <f t="shared" si="9"/>
        <v>0.65428175886524831</v>
      </c>
      <c r="BP13" s="76">
        <f t="shared" ref="BP13:CU13" si="10">BP11/BP12</f>
        <v>0.66290774468085123</v>
      </c>
      <c r="BQ13" s="76">
        <f t="shared" si="10"/>
        <v>0.67927342198581575</v>
      </c>
      <c r="BR13" s="76">
        <f t="shared" si="10"/>
        <v>0.69826078546099313</v>
      </c>
      <c r="BS13" s="76">
        <f t="shared" si="10"/>
        <v>0.72519265248226961</v>
      </c>
      <c r="BT13" s="76">
        <f t="shared" si="10"/>
        <v>0.74394168085106394</v>
      </c>
      <c r="BU13" s="76">
        <f t="shared" si="10"/>
        <v>0.75215620567375874</v>
      </c>
      <c r="BV13" s="76">
        <f t="shared" si="10"/>
        <v>0.7693310283687943</v>
      </c>
      <c r="BW13" s="76">
        <f t="shared" si="10"/>
        <v>0.7879891312056736</v>
      </c>
      <c r="BX13" s="76">
        <f t="shared" si="10"/>
        <v>0.80430521276595723</v>
      </c>
      <c r="BY13" s="76">
        <f t="shared" si="10"/>
        <v>0.8203870921985813</v>
      </c>
      <c r="BZ13" s="76">
        <f t="shared" si="10"/>
        <v>0.8390130496453897</v>
      </c>
      <c r="CA13" s="76">
        <f t="shared" si="10"/>
        <v>0.85976611347517717</v>
      </c>
      <c r="CB13" s="76">
        <f t="shared" si="10"/>
        <v>0.58495547990543717</v>
      </c>
      <c r="CC13" s="76">
        <f t="shared" si="10"/>
        <v>0.58989301182033071</v>
      </c>
      <c r="CD13" s="76">
        <f t="shared" si="10"/>
        <v>0.59225891252955065</v>
      </c>
      <c r="CE13" s="76">
        <f t="shared" si="10"/>
        <v>0.59328756501182012</v>
      </c>
      <c r="CF13" s="76">
        <f t="shared" si="10"/>
        <v>0.59328756501182012</v>
      </c>
      <c r="CG13" s="76">
        <f t="shared" si="10"/>
        <v>0.59328756501182012</v>
      </c>
      <c r="CH13" s="76">
        <f t="shared" si="10"/>
        <v>0.59328756501182012</v>
      </c>
      <c r="CI13" s="76">
        <f t="shared" si="10"/>
        <v>0.59328756501182012</v>
      </c>
      <c r="CJ13" s="76">
        <f t="shared" si="10"/>
        <v>0.59328756501182012</v>
      </c>
      <c r="CK13" s="76">
        <f t="shared" si="10"/>
        <v>0.59328756501182012</v>
      </c>
      <c r="CL13" s="76">
        <f t="shared" si="10"/>
        <v>0.59328756501182012</v>
      </c>
      <c r="CM13" s="76">
        <f t="shared" si="10"/>
        <v>0.59328756501182012</v>
      </c>
      <c r="CN13" s="76">
        <f t="shared" si="10"/>
        <v>0.59328756501182012</v>
      </c>
      <c r="CO13" s="76">
        <f t="shared" si="10"/>
        <v>0.59328756501182012</v>
      </c>
      <c r="CP13" s="76">
        <f t="shared" si="10"/>
        <v>0.59328756501182012</v>
      </c>
      <c r="CQ13" s="76">
        <f t="shared" si="10"/>
        <v>0.59328756501182012</v>
      </c>
      <c r="CR13" s="76">
        <f t="shared" si="10"/>
        <v>0.59328756501182012</v>
      </c>
      <c r="CS13" s="76">
        <f t="shared" si="10"/>
        <v>0.59328756501182012</v>
      </c>
      <c r="CT13" s="76">
        <f t="shared" si="10"/>
        <v>0.59328756501182012</v>
      </c>
      <c r="CU13" s="76">
        <f t="shared" si="10"/>
        <v>0.59328756501182012</v>
      </c>
      <c r="CV13" s="76">
        <f t="shared" ref="CV13:EA13" si="11">CV11/CV12</f>
        <v>0.59328756501182012</v>
      </c>
      <c r="CW13" s="76">
        <f t="shared" si="11"/>
        <v>0.59328756501182012</v>
      </c>
      <c r="CX13" s="76">
        <f t="shared" si="11"/>
        <v>0.59328756501182012</v>
      </c>
      <c r="CY13" s="76">
        <f t="shared" si="11"/>
        <v>0.59328756501182012</v>
      </c>
      <c r="CZ13" s="76">
        <f t="shared" si="11"/>
        <v>0.59328756501182012</v>
      </c>
      <c r="DA13" s="76">
        <f t="shared" si="11"/>
        <v>0.59328756501182012</v>
      </c>
      <c r="DB13" s="76">
        <f t="shared" si="11"/>
        <v>0.59328756501182012</v>
      </c>
      <c r="DC13" s="76">
        <f t="shared" si="11"/>
        <v>0.59328756501182012</v>
      </c>
      <c r="DD13" s="76">
        <f t="shared" si="11"/>
        <v>0.59328756501182012</v>
      </c>
      <c r="DE13" s="76">
        <f t="shared" si="11"/>
        <v>0.59328756501182012</v>
      </c>
      <c r="DF13" s="76">
        <f t="shared" si="11"/>
        <v>0.59328756501182012</v>
      </c>
      <c r="DG13" s="76">
        <f t="shared" si="11"/>
        <v>0.59328756501182012</v>
      </c>
      <c r="DH13" s="76">
        <f t="shared" si="11"/>
        <v>0.59328756501182012</v>
      </c>
      <c r="DI13" s="76">
        <f t="shared" si="11"/>
        <v>0.59328756501182012</v>
      </c>
      <c r="DJ13" s="76">
        <f t="shared" si="11"/>
        <v>0.59328756501182012</v>
      </c>
      <c r="DK13" s="76">
        <f t="shared" si="11"/>
        <v>0.59328756501182012</v>
      </c>
      <c r="DL13" s="76">
        <f t="shared" si="11"/>
        <v>0.59328756501182012</v>
      </c>
      <c r="DM13" s="76">
        <f t="shared" si="11"/>
        <v>0.59328756501182012</v>
      </c>
      <c r="DN13" s="76">
        <f t="shared" si="11"/>
        <v>0.59328756501182012</v>
      </c>
      <c r="DO13" s="76">
        <f t="shared" si="11"/>
        <v>0.59328756501182012</v>
      </c>
      <c r="DP13" s="76">
        <f t="shared" si="11"/>
        <v>0.59328756501182012</v>
      </c>
      <c r="DQ13" s="76">
        <f t="shared" si="11"/>
        <v>0.59328756501182012</v>
      </c>
      <c r="DR13" s="76">
        <f t="shared" si="11"/>
        <v>0.59328756501182012</v>
      </c>
      <c r="DS13" s="76">
        <f t="shared" si="11"/>
        <v>0.59328756501182012</v>
      </c>
    </row>
    <row r="14" spans="1:123" ht="15" customHeight="1" x14ac:dyDescent="0.2">
      <c r="B14" s="37" t="s">
        <v>1270</v>
      </c>
      <c r="D14" s="88">
        <f>1+SUM(CAPA3_EXPANSION!$C$19:D$19)+SUM(CAPA3_EXPANSION!$C$20:D$20)+SUM(CAPA3_EXPANSION!$C$21:D$21)</f>
        <v>1</v>
      </c>
      <c r="E14" s="88">
        <f>1+SUM(CAPA3_EXPANSION!$C$19:E$19)+SUM(CAPA3_EXPANSION!$C$20:E$20)+SUM(CAPA3_EXPANSION!$C$21:E$21)</f>
        <v>1</v>
      </c>
      <c r="F14" s="88">
        <f>1+SUM(CAPA3_EXPANSION!$C$19:F$19)+SUM(CAPA3_EXPANSION!$C$20:F$20)+SUM(CAPA3_EXPANSION!$C$21:F$21)</f>
        <v>1</v>
      </c>
      <c r="G14" s="88">
        <f>1+SUM(CAPA3_EXPANSION!$C$19:G$19)+SUM(CAPA3_EXPANSION!$C$20:G$20)+SUM(CAPA3_EXPANSION!$C$21:G$21)</f>
        <v>1</v>
      </c>
      <c r="H14" s="88">
        <f>1+SUM(CAPA3_EXPANSION!$C$19:H$19)+SUM(CAPA3_EXPANSION!$C$20:H$20)+SUM(CAPA3_EXPANSION!$C$21:H$21)</f>
        <v>1</v>
      </c>
      <c r="I14" s="88">
        <f>1+SUM(CAPA3_EXPANSION!$C$19:I$19)+SUM(CAPA3_EXPANSION!$C$20:I$20)+SUM(CAPA3_EXPANSION!$C$21:I$21)</f>
        <v>1</v>
      </c>
      <c r="J14" s="88">
        <f>1+SUM(CAPA3_EXPANSION!$C$19:J$19)+SUM(CAPA3_EXPANSION!$C$20:J$20)+SUM(CAPA3_EXPANSION!$C$21:J$21)</f>
        <v>1</v>
      </c>
      <c r="K14" s="88">
        <f>1+SUM(CAPA3_EXPANSION!$C$19:K$19)+SUM(CAPA3_EXPANSION!$C$20:K$20)+SUM(CAPA3_EXPANSION!$C$21:K$21)</f>
        <v>1</v>
      </c>
      <c r="L14" s="88">
        <f>1+SUM(CAPA3_EXPANSION!$C$19:L$19)+SUM(CAPA3_EXPANSION!$C$20:L$20)+SUM(CAPA3_EXPANSION!$C$21:L$21)</f>
        <v>1</v>
      </c>
      <c r="M14" s="88">
        <f>1+SUM(CAPA3_EXPANSION!$C$19:M$19)+SUM(CAPA3_EXPANSION!$C$20:M$20)+SUM(CAPA3_EXPANSION!$C$21:M$21)</f>
        <v>1</v>
      </c>
      <c r="N14" s="88">
        <f>1+SUM(CAPA3_EXPANSION!$C$19:N$19)+SUM(CAPA3_EXPANSION!$C$20:N$20)+SUM(CAPA3_EXPANSION!$C$21:N$21)</f>
        <v>1</v>
      </c>
      <c r="O14" s="88">
        <f>1+SUM(CAPA3_EXPANSION!$C$19:O$19)+SUM(CAPA3_EXPANSION!$C$20:O$20)+SUM(CAPA3_EXPANSION!$C$21:O$21)</f>
        <v>1</v>
      </c>
      <c r="P14" s="88">
        <f>1+SUM(CAPA3_EXPANSION!$C$19:P$19)+SUM(CAPA3_EXPANSION!$C$20:P$20)+SUM(CAPA3_EXPANSION!$C$21:P$21)</f>
        <v>1</v>
      </c>
      <c r="Q14" s="88">
        <f>1+SUM(CAPA3_EXPANSION!$C$19:Q$19)+SUM(CAPA3_EXPANSION!$C$20:Q$20)+SUM(CAPA3_EXPANSION!$C$21:Q$21)</f>
        <v>1</v>
      </c>
      <c r="R14" s="88">
        <f>1+SUM(CAPA3_EXPANSION!$C$19:R$19)+SUM(CAPA3_EXPANSION!$C$20:R$20)+SUM(CAPA3_EXPANSION!$C$21:R$21)</f>
        <v>1</v>
      </c>
      <c r="S14" s="88">
        <f>1+SUM(CAPA3_EXPANSION!$C$19:S$19)+SUM(CAPA3_EXPANSION!$C$20:S$20)+SUM(CAPA3_EXPANSION!$C$21:S$21)</f>
        <v>1</v>
      </c>
      <c r="T14" s="88">
        <f>1+SUM(CAPA3_EXPANSION!$C$19:T$19)+SUM(CAPA3_EXPANSION!$C$20:T$20)+SUM(CAPA3_EXPANSION!$C$21:T$21)</f>
        <v>1</v>
      </c>
      <c r="U14" s="88">
        <f>1+SUM(CAPA3_EXPANSION!$C$19:U$19)+SUM(CAPA3_EXPANSION!$C$20:U$20)+SUM(CAPA3_EXPANSION!$C$21:U$21)</f>
        <v>1</v>
      </c>
      <c r="V14" s="88">
        <f>1+SUM(CAPA3_EXPANSION!$C$19:V$19)+SUM(CAPA3_EXPANSION!$C$20:V$20)+SUM(CAPA3_EXPANSION!$C$21:V$21)</f>
        <v>1</v>
      </c>
      <c r="W14" s="88">
        <f>1+SUM(CAPA3_EXPANSION!$C$19:W$19)+SUM(CAPA3_EXPANSION!$C$20:W$20)+SUM(CAPA3_EXPANSION!$C$21:W$21)</f>
        <v>1</v>
      </c>
      <c r="X14" s="88">
        <f>1+SUM(CAPA3_EXPANSION!$C$19:X$19)+SUM(CAPA3_EXPANSION!$C$20:X$20)+SUM(CAPA3_EXPANSION!$C$21:X$21)</f>
        <v>1</v>
      </c>
      <c r="Y14" s="88">
        <f>1+SUM(CAPA3_EXPANSION!$C$19:Y$19)+SUM(CAPA3_EXPANSION!$C$20:Y$20)+SUM(CAPA3_EXPANSION!$C$21:Y$21)</f>
        <v>1</v>
      </c>
      <c r="Z14" s="88">
        <f>1+SUM(CAPA3_EXPANSION!$C$19:Z$19)+SUM(CAPA3_EXPANSION!$C$20:Z$20)+SUM(CAPA3_EXPANSION!$C$21:Z$21)</f>
        <v>1</v>
      </c>
      <c r="AA14" s="88">
        <f>1+SUM(CAPA3_EXPANSION!$C$19:AA$19)+SUM(CAPA3_EXPANSION!$C$20:AA$20)+SUM(CAPA3_EXPANSION!$C$21:AA$21)</f>
        <v>2</v>
      </c>
      <c r="AB14" s="88">
        <f>1+SUM(CAPA3_EXPANSION!$C$19:AB$19)+SUM(CAPA3_EXPANSION!$C$20:AB$20)+SUM(CAPA3_EXPANSION!$C$21:AB$21)</f>
        <v>2</v>
      </c>
      <c r="AC14" s="88">
        <f>1+SUM(CAPA3_EXPANSION!$C$19:AC$19)+SUM(CAPA3_EXPANSION!$C$20:AC$20)+SUM(CAPA3_EXPANSION!$C$21:AC$21)</f>
        <v>2</v>
      </c>
      <c r="AD14" s="88">
        <f>1+SUM(CAPA3_EXPANSION!$C$19:AD$19)+SUM(CAPA3_EXPANSION!$C$20:AD$20)+SUM(CAPA3_EXPANSION!$C$21:AD$21)</f>
        <v>2</v>
      </c>
      <c r="AE14" s="88">
        <f>1+SUM(CAPA3_EXPANSION!$C$19:AE$19)+SUM(CAPA3_EXPANSION!$C$20:AE$20)+SUM(CAPA3_EXPANSION!$C$21:AE$21)</f>
        <v>2</v>
      </c>
      <c r="AF14" s="88">
        <f>1+SUM(CAPA3_EXPANSION!$C$19:AF$19)+SUM(CAPA3_EXPANSION!$C$20:AF$20)+SUM(CAPA3_EXPANSION!$C$21:AF$21)</f>
        <v>2</v>
      </c>
      <c r="AG14" s="88">
        <f>1+SUM(CAPA3_EXPANSION!$C$19:AG$19)+SUM(CAPA3_EXPANSION!$C$20:AG$20)+SUM(CAPA3_EXPANSION!$C$21:AG$21)</f>
        <v>2</v>
      </c>
      <c r="AH14" s="88">
        <f>1+SUM(CAPA3_EXPANSION!$C$19:AH$19)+SUM(CAPA3_EXPANSION!$C$20:AH$20)+SUM(CAPA3_EXPANSION!$C$21:AH$21)</f>
        <v>2</v>
      </c>
      <c r="AI14" s="88">
        <f>1+SUM(CAPA3_EXPANSION!$C$19:AI$19)+SUM(CAPA3_EXPANSION!$C$20:AI$20)+SUM(CAPA3_EXPANSION!$C$21:AI$21)</f>
        <v>2</v>
      </c>
      <c r="AJ14" s="88">
        <f>1+SUM(CAPA3_EXPANSION!$C$19:AJ$19)+SUM(CAPA3_EXPANSION!$C$20:AJ$20)+SUM(CAPA3_EXPANSION!$C$21:AJ$21)</f>
        <v>2</v>
      </c>
      <c r="AK14" s="88">
        <f>1+SUM(CAPA3_EXPANSION!$C$19:AK$19)+SUM(CAPA3_EXPANSION!$C$20:AK$20)+SUM(CAPA3_EXPANSION!$C$21:AK$21)</f>
        <v>2</v>
      </c>
      <c r="AL14" s="88">
        <f>1+SUM(CAPA3_EXPANSION!$C$19:AL$19)+SUM(CAPA3_EXPANSION!$C$20:AL$20)+SUM(CAPA3_EXPANSION!$C$21:AL$21)</f>
        <v>2</v>
      </c>
      <c r="AM14" s="88">
        <f>1+SUM(CAPA3_EXPANSION!$C$19:AM$19)+SUM(CAPA3_EXPANSION!$C$20:AM$20)+SUM(CAPA3_EXPANSION!$C$21:AM$21)</f>
        <v>2</v>
      </c>
      <c r="AN14" s="88">
        <f>1+SUM(CAPA3_EXPANSION!$C$19:AN$19)+SUM(CAPA3_EXPANSION!$C$20:AN$20)+SUM(CAPA3_EXPANSION!$C$21:AN$21)</f>
        <v>2</v>
      </c>
      <c r="AO14" s="88">
        <f>1+SUM(CAPA3_EXPANSION!$C$19:AO$19)+SUM(CAPA3_EXPANSION!$C$20:AO$20)+SUM(CAPA3_EXPANSION!$C$21:AO$21)</f>
        <v>2</v>
      </c>
      <c r="AP14" s="88">
        <f>1+SUM(CAPA3_EXPANSION!$C$19:AP$19)+SUM(CAPA3_EXPANSION!$C$20:AP$20)+SUM(CAPA3_EXPANSION!$C$21:AP$21)</f>
        <v>2</v>
      </c>
      <c r="AQ14" s="88">
        <f>1+SUM(CAPA3_EXPANSION!$C$19:AQ$19)+SUM(CAPA3_EXPANSION!$C$20:AQ$20)+SUM(CAPA3_EXPANSION!$C$21:AQ$21)</f>
        <v>2</v>
      </c>
      <c r="AR14" s="88">
        <f>1+SUM(CAPA3_EXPANSION!$C$19:AR$19)+SUM(CAPA3_EXPANSION!$C$20:AR$20)+SUM(CAPA3_EXPANSION!$C$21:AR$21)</f>
        <v>2</v>
      </c>
      <c r="AS14" s="88">
        <f>1+SUM(CAPA3_EXPANSION!$C$19:AS$19)+SUM(CAPA3_EXPANSION!$C$20:AS$20)+SUM(CAPA3_EXPANSION!$C$21:AS$21)</f>
        <v>2</v>
      </c>
      <c r="AT14" s="88">
        <f>1+SUM(CAPA3_EXPANSION!$C$19:AT$19)+SUM(CAPA3_EXPANSION!$C$20:AT$20)+SUM(CAPA3_EXPANSION!$C$21:AT$21)</f>
        <v>2</v>
      </c>
      <c r="AU14" s="88">
        <f>1+SUM(CAPA3_EXPANSION!$C$19:AU$19)+SUM(CAPA3_EXPANSION!$C$20:AU$20)+SUM(CAPA3_EXPANSION!$C$21:AU$21)</f>
        <v>2</v>
      </c>
      <c r="AV14" s="88">
        <f>1+SUM(CAPA3_EXPANSION!$C$19:AV$19)+SUM(CAPA3_EXPANSION!$C$20:AV$20)+SUM(CAPA3_EXPANSION!$C$21:AV$21)</f>
        <v>2</v>
      </c>
      <c r="AW14" s="88">
        <f>1+SUM(CAPA3_EXPANSION!$C$19:AW$19)+SUM(CAPA3_EXPANSION!$C$20:AW$20)+SUM(CAPA3_EXPANSION!$C$21:AW$21)</f>
        <v>3</v>
      </c>
      <c r="AX14" s="88">
        <f>1+SUM(CAPA3_EXPANSION!$C$19:AX$19)+SUM(CAPA3_EXPANSION!$C$20:AX$20)+SUM(CAPA3_EXPANSION!$C$21:AX$21)</f>
        <v>3</v>
      </c>
      <c r="AY14" s="88">
        <f>1+SUM(CAPA3_EXPANSION!$C$19:AY$19)+SUM(CAPA3_EXPANSION!$C$20:AY$20)+SUM(CAPA3_EXPANSION!$C$21:AY$21)</f>
        <v>3</v>
      </c>
      <c r="AZ14" s="88">
        <f>1+SUM(CAPA3_EXPANSION!$C$19:AZ$19)+SUM(CAPA3_EXPANSION!$C$20:AZ$20)+SUM(CAPA3_EXPANSION!$C$21:AZ$21)</f>
        <v>3</v>
      </c>
      <c r="BA14" s="88">
        <f>1+SUM(CAPA3_EXPANSION!$C$19:BA$19)+SUM(CAPA3_EXPANSION!$C$20:BA$20)+SUM(CAPA3_EXPANSION!$C$21:BA$21)</f>
        <v>3</v>
      </c>
      <c r="BB14" s="88">
        <f>1+SUM(CAPA3_EXPANSION!$C$19:BB$19)+SUM(CAPA3_EXPANSION!$C$20:BB$20)+SUM(CAPA3_EXPANSION!$C$21:BB$21)</f>
        <v>3</v>
      </c>
      <c r="BC14" s="88">
        <f>1+SUM(CAPA3_EXPANSION!$C$19:BC$19)+SUM(CAPA3_EXPANSION!$C$20:BC$20)+SUM(CAPA3_EXPANSION!$C$21:BC$21)</f>
        <v>3</v>
      </c>
      <c r="BD14" s="88">
        <f>1+SUM(CAPA3_EXPANSION!$C$19:BD$19)+SUM(CAPA3_EXPANSION!$C$20:BD$20)+SUM(CAPA3_EXPANSION!$C$21:BD$21)</f>
        <v>3</v>
      </c>
      <c r="BE14" s="88">
        <f>1+SUM(CAPA3_EXPANSION!$C$19:BE$19)+SUM(CAPA3_EXPANSION!$C$20:BE$20)+SUM(CAPA3_EXPANSION!$C$21:BE$21)</f>
        <v>3</v>
      </c>
      <c r="BF14" s="88">
        <f>1+SUM(CAPA3_EXPANSION!$C$19:BF$19)+SUM(CAPA3_EXPANSION!$C$20:BF$20)+SUM(CAPA3_EXPANSION!$C$21:BF$21)</f>
        <v>3</v>
      </c>
      <c r="BG14" s="88">
        <f>1+SUM(CAPA3_EXPANSION!$C$19:BG$19)+SUM(CAPA3_EXPANSION!$C$20:BG$20)+SUM(CAPA3_EXPANSION!$C$21:BG$21)</f>
        <v>3</v>
      </c>
      <c r="BH14" s="88">
        <f>1+SUM(CAPA3_EXPANSION!$C$19:BH$19)+SUM(CAPA3_EXPANSION!$C$20:BH$20)+SUM(CAPA3_EXPANSION!$C$21:BH$21)</f>
        <v>3</v>
      </c>
      <c r="BI14" s="88">
        <f>1+SUM(CAPA3_EXPANSION!$C$19:BI$19)+SUM(CAPA3_EXPANSION!$C$20:BI$20)+SUM(CAPA3_EXPANSION!$C$21:BI$21)</f>
        <v>3</v>
      </c>
      <c r="BJ14" s="88">
        <f>1+SUM(CAPA3_EXPANSION!$C$19:BJ$19)+SUM(CAPA3_EXPANSION!$C$20:BJ$20)+SUM(CAPA3_EXPANSION!$C$21:BJ$21)</f>
        <v>3</v>
      </c>
      <c r="BK14" s="88">
        <f>1+SUM(CAPA3_EXPANSION!$C$19:BK$19)+SUM(CAPA3_EXPANSION!$C$20:BK$20)+SUM(CAPA3_EXPANSION!$C$21:BK$21)</f>
        <v>3</v>
      </c>
      <c r="BL14" s="88">
        <f>1+SUM(CAPA3_EXPANSION!$C$19:BL$19)+SUM(CAPA3_EXPANSION!$C$20:BL$20)+SUM(CAPA3_EXPANSION!$C$21:BL$21)</f>
        <v>3</v>
      </c>
      <c r="BM14" s="88">
        <f>1+SUM(CAPA3_EXPANSION!$C$19:BM$19)+SUM(CAPA3_EXPANSION!$C$20:BM$20)+SUM(CAPA3_EXPANSION!$C$21:BM$21)</f>
        <v>3</v>
      </c>
      <c r="BN14" s="88">
        <f>1+SUM(CAPA3_EXPANSION!$C$19:BN$19)+SUM(CAPA3_EXPANSION!$C$20:BN$20)+SUM(CAPA3_EXPANSION!$C$21:BN$21)</f>
        <v>3</v>
      </c>
      <c r="BO14" s="88">
        <f>1+SUM(CAPA3_EXPANSION!$C$19:BO$19)+SUM(CAPA3_EXPANSION!$C$20:BO$20)+SUM(CAPA3_EXPANSION!$C$21:BO$21)</f>
        <v>3</v>
      </c>
      <c r="BP14" s="88">
        <f>1+SUM(CAPA3_EXPANSION!$C$19:BP$19)+SUM(CAPA3_EXPANSION!$C$20:BP$20)+SUM(CAPA3_EXPANSION!$C$21:BP$21)</f>
        <v>3</v>
      </c>
      <c r="BQ14" s="88">
        <f>1+SUM(CAPA3_EXPANSION!$C$19:BQ$19)+SUM(CAPA3_EXPANSION!$C$20:BQ$20)+SUM(CAPA3_EXPANSION!$C$21:BQ$21)</f>
        <v>3</v>
      </c>
      <c r="BR14" s="88">
        <f>1+SUM(CAPA3_EXPANSION!$C$19:BR$19)+SUM(CAPA3_EXPANSION!$C$20:BR$20)+SUM(CAPA3_EXPANSION!$C$21:BR$21)</f>
        <v>3</v>
      </c>
      <c r="BS14" s="88">
        <f>1+SUM(CAPA3_EXPANSION!$C$19:BS$19)+SUM(CAPA3_EXPANSION!$C$20:BS$20)+SUM(CAPA3_EXPANSION!$C$21:BS$21)</f>
        <v>3</v>
      </c>
      <c r="BT14" s="88">
        <f>1+SUM(CAPA3_EXPANSION!$C$19:BT$19)+SUM(CAPA3_EXPANSION!$C$20:BT$20)+SUM(CAPA3_EXPANSION!$C$21:BT$21)</f>
        <v>3</v>
      </c>
      <c r="BU14" s="88">
        <f>1+SUM(CAPA3_EXPANSION!$C$19:BU$19)+SUM(CAPA3_EXPANSION!$C$20:BU$20)+SUM(CAPA3_EXPANSION!$C$21:BU$21)</f>
        <v>3</v>
      </c>
      <c r="BV14" s="88">
        <f>1+SUM(CAPA3_EXPANSION!$C$19:BV$19)+SUM(CAPA3_EXPANSION!$C$20:BV$20)+SUM(CAPA3_EXPANSION!$C$21:BV$21)</f>
        <v>3</v>
      </c>
      <c r="BW14" s="88">
        <f>1+SUM(CAPA3_EXPANSION!$C$19:BW$19)+SUM(CAPA3_EXPANSION!$C$20:BW$20)+SUM(CAPA3_EXPANSION!$C$21:BW$21)</f>
        <v>3</v>
      </c>
      <c r="BX14" s="88">
        <f>1+SUM(CAPA3_EXPANSION!$C$19:BX$19)+SUM(CAPA3_EXPANSION!$C$20:BX$20)+SUM(CAPA3_EXPANSION!$C$21:BX$21)</f>
        <v>3</v>
      </c>
      <c r="BY14" s="88">
        <f>1+SUM(CAPA3_EXPANSION!$C$19:BY$19)+SUM(CAPA3_EXPANSION!$C$20:BY$20)+SUM(CAPA3_EXPANSION!$C$21:BY$21)</f>
        <v>3</v>
      </c>
      <c r="BZ14" s="88">
        <f>1+SUM(CAPA3_EXPANSION!$C$19:BZ$19)+SUM(CAPA3_EXPANSION!$C$20:BZ$20)+SUM(CAPA3_EXPANSION!$C$21:BZ$21)</f>
        <v>3</v>
      </c>
      <c r="CA14" s="88">
        <f>1+SUM(CAPA3_EXPANSION!$C$19:CA$19)+SUM(CAPA3_EXPANSION!$C$20:CA$20)+SUM(CAPA3_EXPANSION!$C$21:CA$21)</f>
        <v>3</v>
      </c>
      <c r="CB14" s="88">
        <f>1+SUM(CAPA3_EXPANSION!$C$19:CB$19)+SUM(CAPA3_EXPANSION!$C$20:CB$20)+SUM(CAPA3_EXPANSION!$C$21:CB$21)</f>
        <v>4</v>
      </c>
      <c r="CC14" s="88">
        <f>1+SUM(CAPA3_EXPANSION!$C$19:CC$19)+SUM(CAPA3_EXPANSION!$C$20:CC$20)+SUM(CAPA3_EXPANSION!$C$21:CC$21)</f>
        <v>4</v>
      </c>
      <c r="CD14" s="88">
        <f>1+SUM(CAPA3_EXPANSION!$C$19:CD$19)+SUM(CAPA3_EXPANSION!$C$20:CD$20)+SUM(CAPA3_EXPANSION!$C$21:CD$21)</f>
        <v>4</v>
      </c>
      <c r="CE14" s="88">
        <f>1+SUM(CAPA3_EXPANSION!$C$19:CE$19)+SUM(CAPA3_EXPANSION!$C$20:CE$20)+SUM(CAPA3_EXPANSION!$C$21:CE$21)</f>
        <v>4</v>
      </c>
      <c r="CF14" s="88">
        <f>1+SUM(CAPA3_EXPANSION!$C$19:CF$19)+SUM(CAPA3_EXPANSION!$C$20:CF$20)+SUM(CAPA3_EXPANSION!$C$21:CF$21)</f>
        <v>4</v>
      </c>
      <c r="CG14" s="88">
        <f>1+SUM(CAPA3_EXPANSION!$C$19:CG$19)+SUM(CAPA3_EXPANSION!$C$20:CG$20)+SUM(CAPA3_EXPANSION!$C$21:CG$21)</f>
        <v>4</v>
      </c>
      <c r="CH14" s="88">
        <f>1+SUM(CAPA3_EXPANSION!$C$19:CH$19)+SUM(CAPA3_EXPANSION!$C$20:CH$20)+SUM(CAPA3_EXPANSION!$C$21:CH$21)</f>
        <v>4</v>
      </c>
      <c r="CI14" s="88">
        <f>1+SUM(CAPA3_EXPANSION!$C$19:CI$19)+SUM(CAPA3_EXPANSION!$C$20:CI$20)+SUM(CAPA3_EXPANSION!$C$21:CI$21)</f>
        <v>4</v>
      </c>
      <c r="CJ14" s="88">
        <f>1+SUM(CAPA3_EXPANSION!$C$19:CJ$19)+SUM(CAPA3_EXPANSION!$C$20:CJ$20)+SUM(CAPA3_EXPANSION!$C$21:CJ$21)</f>
        <v>4</v>
      </c>
      <c r="CK14" s="88">
        <f>1+SUM(CAPA3_EXPANSION!$C$19:CK$19)+SUM(CAPA3_EXPANSION!$C$20:CK$20)+SUM(CAPA3_EXPANSION!$C$21:CK$21)</f>
        <v>4</v>
      </c>
      <c r="CL14" s="88">
        <f>1+SUM(CAPA3_EXPANSION!$C$19:CL$19)+SUM(CAPA3_EXPANSION!$C$20:CL$20)+SUM(CAPA3_EXPANSION!$C$21:CL$21)</f>
        <v>4</v>
      </c>
      <c r="CM14" s="88">
        <f>1+SUM(CAPA3_EXPANSION!$C$19:CM$19)+SUM(CAPA3_EXPANSION!$C$20:CM$20)+SUM(CAPA3_EXPANSION!$C$21:CM$21)</f>
        <v>4</v>
      </c>
      <c r="CN14" s="88">
        <f>1+SUM(CAPA3_EXPANSION!$C$19:CN$19)+SUM(CAPA3_EXPANSION!$C$20:CN$20)+SUM(CAPA3_EXPANSION!$C$21:CN$21)</f>
        <v>4</v>
      </c>
      <c r="CO14" s="88">
        <f>1+SUM(CAPA3_EXPANSION!$C$19:CO$19)+SUM(CAPA3_EXPANSION!$C$20:CO$20)+SUM(CAPA3_EXPANSION!$C$21:CO$21)</f>
        <v>4</v>
      </c>
      <c r="CP14" s="88">
        <f>1+SUM(CAPA3_EXPANSION!$C$19:CP$19)+SUM(CAPA3_EXPANSION!$C$20:CP$20)+SUM(CAPA3_EXPANSION!$C$21:CP$21)</f>
        <v>4</v>
      </c>
      <c r="CQ14" s="88">
        <f>1+SUM(CAPA3_EXPANSION!$C$19:CQ$19)+SUM(CAPA3_EXPANSION!$C$20:CQ$20)+SUM(CAPA3_EXPANSION!$C$21:CQ$21)</f>
        <v>4</v>
      </c>
      <c r="CR14" s="88">
        <f>1+SUM(CAPA3_EXPANSION!$C$19:CR$19)+SUM(CAPA3_EXPANSION!$C$20:CR$20)+SUM(CAPA3_EXPANSION!$C$21:CR$21)</f>
        <v>4</v>
      </c>
      <c r="CS14" s="88">
        <f>1+SUM(CAPA3_EXPANSION!$C$19:CS$19)+SUM(CAPA3_EXPANSION!$C$20:CS$20)+SUM(CAPA3_EXPANSION!$C$21:CS$21)</f>
        <v>4</v>
      </c>
      <c r="CT14" s="88">
        <f>1+SUM(CAPA3_EXPANSION!$C$19:CT$19)+SUM(CAPA3_EXPANSION!$C$20:CT$20)+SUM(CAPA3_EXPANSION!$C$21:CT$21)</f>
        <v>4</v>
      </c>
      <c r="CU14" s="88">
        <f>1+SUM(CAPA3_EXPANSION!$C$19:CU$19)+SUM(CAPA3_EXPANSION!$C$20:CU$20)+SUM(CAPA3_EXPANSION!$C$21:CU$21)</f>
        <v>4</v>
      </c>
      <c r="CV14" s="88">
        <f>1+SUM(CAPA3_EXPANSION!$C$19:CV$19)+SUM(CAPA3_EXPANSION!$C$20:CV$20)+SUM(CAPA3_EXPANSION!$C$21:CV$21)</f>
        <v>4</v>
      </c>
      <c r="CW14" s="88">
        <f>1+SUM(CAPA3_EXPANSION!$C$19:CW$19)+SUM(CAPA3_EXPANSION!$C$20:CW$20)+SUM(CAPA3_EXPANSION!$C$21:CW$21)</f>
        <v>4</v>
      </c>
      <c r="CX14" s="88">
        <f>1+SUM(CAPA3_EXPANSION!$C$19:CX$19)+SUM(CAPA3_EXPANSION!$C$20:CX$20)+SUM(CAPA3_EXPANSION!$C$21:CX$21)</f>
        <v>4</v>
      </c>
      <c r="CY14" s="88">
        <f>1+SUM(CAPA3_EXPANSION!$C$19:CY$19)+SUM(CAPA3_EXPANSION!$C$20:CY$20)+SUM(CAPA3_EXPANSION!$C$21:CY$21)</f>
        <v>4</v>
      </c>
      <c r="CZ14" s="88">
        <f>1+SUM(CAPA3_EXPANSION!$C$19:CZ$19)+SUM(CAPA3_EXPANSION!$C$20:CZ$20)+SUM(CAPA3_EXPANSION!$C$21:CZ$21)</f>
        <v>4</v>
      </c>
      <c r="DA14" s="88">
        <f>1+SUM(CAPA3_EXPANSION!$C$19:DA$19)+SUM(CAPA3_EXPANSION!$C$20:DA$20)+SUM(CAPA3_EXPANSION!$C$21:DA$21)</f>
        <v>4</v>
      </c>
      <c r="DB14" s="88">
        <f>1+SUM(CAPA3_EXPANSION!$C$19:DB$19)+SUM(CAPA3_EXPANSION!$C$20:DB$20)+SUM(CAPA3_EXPANSION!$C$21:DB$21)</f>
        <v>4</v>
      </c>
      <c r="DC14" s="88">
        <f>1+SUM(CAPA3_EXPANSION!$C$19:DC$19)+SUM(CAPA3_EXPANSION!$C$20:DC$20)+SUM(CAPA3_EXPANSION!$C$21:DC$21)</f>
        <v>4</v>
      </c>
      <c r="DD14" s="88">
        <f>1+SUM(CAPA3_EXPANSION!$C$19:DD$19)+SUM(CAPA3_EXPANSION!$C$20:DD$20)+SUM(CAPA3_EXPANSION!$C$21:DD$21)</f>
        <v>4</v>
      </c>
      <c r="DE14" s="88">
        <f>1+SUM(CAPA3_EXPANSION!$C$19:DE$19)+SUM(CAPA3_EXPANSION!$C$20:DE$20)+SUM(CAPA3_EXPANSION!$C$21:DE$21)</f>
        <v>4</v>
      </c>
      <c r="DF14" s="88">
        <f>1+SUM(CAPA3_EXPANSION!$C$19:DF$19)+SUM(CAPA3_EXPANSION!$C$20:DF$20)+SUM(CAPA3_EXPANSION!$C$21:DF$21)</f>
        <v>4</v>
      </c>
      <c r="DG14" s="88">
        <f>1+SUM(CAPA3_EXPANSION!$C$19:DG$19)+SUM(CAPA3_EXPANSION!$C$20:DG$20)+SUM(CAPA3_EXPANSION!$C$21:DG$21)</f>
        <v>4</v>
      </c>
      <c r="DH14" s="88">
        <f>1+SUM(CAPA3_EXPANSION!$C$19:DH$19)+SUM(CAPA3_EXPANSION!$C$20:DH$20)+SUM(CAPA3_EXPANSION!$C$21:DH$21)</f>
        <v>4</v>
      </c>
      <c r="DI14" s="88">
        <f>1+SUM(CAPA3_EXPANSION!$C$19:DI$19)+SUM(CAPA3_EXPANSION!$C$20:DI$20)+SUM(CAPA3_EXPANSION!$C$21:DI$21)</f>
        <v>4</v>
      </c>
      <c r="DJ14" s="88">
        <f>1+SUM(CAPA3_EXPANSION!$C$19:DJ$19)+SUM(CAPA3_EXPANSION!$C$20:DJ$20)+SUM(CAPA3_EXPANSION!$C$21:DJ$21)</f>
        <v>4</v>
      </c>
      <c r="DK14" s="88">
        <f>1+SUM(CAPA3_EXPANSION!$C$19:DK$19)+SUM(CAPA3_EXPANSION!$C$20:DK$20)+SUM(CAPA3_EXPANSION!$C$21:DK$21)</f>
        <v>4</v>
      </c>
      <c r="DL14" s="88">
        <f>1+SUM(CAPA3_EXPANSION!$C$19:DL$19)+SUM(CAPA3_EXPANSION!$C$20:DL$20)+SUM(CAPA3_EXPANSION!$C$21:DL$21)</f>
        <v>4</v>
      </c>
      <c r="DM14" s="88">
        <f>1+SUM(CAPA3_EXPANSION!$C$19:DM$19)+SUM(CAPA3_EXPANSION!$C$20:DM$20)+SUM(CAPA3_EXPANSION!$C$21:DM$21)</f>
        <v>4</v>
      </c>
      <c r="DN14" s="88">
        <f>1+SUM(CAPA3_EXPANSION!$C$19:DN$19)+SUM(CAPA3_EXPANSION!$C$20:DN$20)+SUM(CAPA3_EXPANSION!$C$21:DN$21)</f>
        <v>4</v>
      </c>
      <c r="DO14" s="88">
        <f>1+SUM(CAPA3_EXPANSION!$C$19:DO$19)+SUM(CAPA3_EXPANSION!$C$20:DO$20)+SUM(CAPA3_EXPANSION!$C$21:DO$21)</f>
        <v>4</v>
      </c>
      <c r="DP14" s="88">
        <f>1+SUM(CAPA3_EXPANSION!$C$19:DP$19)+SUM(CAPA3_EXPANSION!$C$20:DP$20)+SUM(CAPA3_EXPANSION!$C$21:DP$21)</f>
        <v>4</v>
      </c>
      <c r="DQ14" s="88">
        <f>1+SUM(CAPA3_EXPANSION!$C$19:DQ$19)+SUM(CAPA3_EXPANSION!$C$20:DQ$20)+SUM(CAPA3_EXPANSION!$C$21:DQ$21)</f>
        <v>4</v>
      </c>
      <c r="DR14" s="88">
        <f>1+SUM(CAPA3_EXPANSION!$C$19:DR$19)+SUM(CAPA3_EXPANSION!$C$20:DR$20)+SUM(CAPA3_EXPANSION!$C$21:DR$21)</f>
        <v>4</v>
      </c>
      <c r="DS14" s="88">
        <f>1+SUM(CAPA3_EXPANSION!$C$19:DS$19)+SUM(CAPA3_EXPANSION!$C$20:DS$20)+SUM(CAPA3_EXPANSION!$C$21:DS$21)</f>
        <v>4</v>
      </c>
    </row>
    <row r="15" spans="1:123" ht="15" customHeight="1" x14ac:dyDescent="0.2">
      <c r="B15" s="37" t="s">
        <v>1271</v>
      </c>
      <c r="D15" s="37" t="str">
        <f t="shared" ref="D15:AI15" si="12">IF(D13&gt;1,"AMPLIAR","OK")</f>
        <v>OK</v>
      </c>
      <c r="E15" s="37" t="str">
        <f t="shared" si="12"/>
        <v>OK</v>
      </c>
      <c r="F15" s="37" t="str">
        <f t="shared" si="12"/>
        <v>OK</v>
      </c>
      <c r="G15" s="37" t="str">
        <f t="shared" si="12"/>
        <v>OK</v>
      </c>
      <c r="H15" s="37" t="str">
        <f t="shared" si="12"/>
        <v>OK</v>
      </c>
      <c r="I15" s="37" t="str">
        <f t="shared" si="12"/>
        <v>OK</v>
      </c>
      <c r="J15" s="37" t="str">
        <f t="shared" si="12"/>
        <v>OK</v>
      </c>
      <c r="K15" s="37" t="str">
        <f t="shared" si="12"/>
        <v>OK</v>
      </c>
      <c r="L15" s="37" t="str">
        <f t="shared" si="12"/>
        <v>OK</v>
      </c>
      <c r="M15" s="37" t="str">
        <f t="shared" si="12"/>
        <v>OK</v>
      </c>
      <c r="N15" s="37" t="str">
        <f t="shared" si="12"/>
        <v>OK</v>
      </c>
      <c r="O15" s="37" t="str">
        <f t="shared" si="12"/>
        <v>OK</v>
      </c>
      <c r="P15" s="37" t="str">
        <f t="shared" si="12"/>
        <v>OK</v>
      </c>
      <c r="Q15" s="37" t="str">
        <f t="shared" si="12"/>
        <v>OK</v>
      </c>
      <c r="R15" s="37" t="str">
        <f t="shared" si="12"/>
        <v>OK</v>
      </c>
      <c r="S15" s="37" t="str">
        <f t="shared" si="12"/>
        <v>OK</v>
      </c>
      <c r="T15" s="37" t="str">
        <f t="shared" si="12"/>
        <v>OK</v>
      </c>
      <c r="U15" s="37" t="str">
        <f t="shared" si="12"/>
        <v>OK</v>
      </c>
      <c r="V15" s="37" t="str">
        <f t="shared" si="12"/>
        <v>OK</v>
      </c>
      <c r="W15" s="37" t="str">
        <f t="shared" si="12"/>
        <v>OK</v>
      </c>
      <c r="X15" s="37" t="str">
        <f t="shared" si="12"/>
        <v>OK</v>
      </c>
      <c r="Y15" s="37" t="str">
        <f t="shared" si="12"/>
        <v>AMPLIAR</v>
      </c>
      <c r="Z15" s="37" t="str">
        <f t="shared" si="12"/>
        <v>AMPLIAR</v>
      </c>
      <c r="AA15" s="37" t="str">
        <f t="shared" si="12"/>
        <v>OK</v>
      </c>
      <c r="AB15" s="37" t="str">
        <f t="shared" si="12"/>
        <v>OK</v>
      </c>
      <c r="AC15" s="37" t="str">
        <f t="shared" si="12"/>
        <v>OK</v>
      </c>
      <c r="AD15" s="37" t="str">
        <f t="shared" si="12"/>
        <v>OK</v>
      </c>
      <c r="AE15" s="37" t="str">
        <f t="shared" si="12"/>
        <v>OK</v>
      </c>
      <c r="AF15" s="37" t="str">
        <f t="shared" si="12"/>
        <v>OK</v>
      </c>
      <c r="AG15" s="37" t="str">
        <f t="shared" si="12"/>
        <v>OK</v>
      </c>
      <c r="AH15" s="37" t="str">
        <f t="shared" si="12"/>
        <v>OK</v>
      </c>
      <c r="AI15" s="37" t="str">
        <f t="shared" si="12"/>
        <v>OK</v>
      </c>
      <c r="AJ15" s="37" t="str">
        <f t="shared" ref="AJ15:BO15" si="13">IF(AJ13&gt;1,"AMPLIAR","OK")</f>
        <v>OK</v>
      </c>
      <c r="AK15" s="37" t="str">
        <f t="shared" si="13"/>
        <v>OK</v>
      </c>
      <c r="AL15" s="37" t="str">
        <f t="shared" si="13"/>
        <v>OK</v>
      </c>
      <c r="AM15" s="37" t="str">
        <f t="shared" si="13"/>
        <v>OK</v>
      </c>
      <c r="AN15" s="37" t="str">
        <f t="shared" si="13"/>
        <v>OK</v>
      </c>
      <c r="AO15" s="37" t="str">
        <f t="shared" si="13"/>
        <v>OK</v>
      </c>
      <c r="AP15" s="37" t="str">
        <f t="shared" si="13"/>
        <v>OK</v>
      </c>
      <c r="AQ15" s="37" t="str">
        <f t="shared" si="13"/>
        <v>OK</v>
      </c>
      <c r="AR15" s="37" t="str">
        <f t="shared" si="13"/>
        <v>OK</v>
      </c>
      <c r="AS15" s="37" t="str">
        <f t="shared" si="13"/>
        <v>OK</v>
      </c>
      <c r="AT15" s="37" t="str">
        <f t="shared" si="13"/>
        <v>OK</v>
      </c>
      <c r="AU15" s="37" t="str">
        <f t="shared" si="13"/>
        <v>OK</v>
      </c>
      <c r="AV15" s="37" t="str">
        <f t="shared" si="13"/>
        <v>OK</v>
      </c>
      <c r="AW15" s="37" t="str">
        <f t="shared" si="13"/>
        <v>OK</v>
      </c>
      <c r="AX15" s="37" t="str">
        <f t="shared" si="13"/>
        <v>OK</v>
      </c>
      <c r="AY15" s="37" t="str">
        <f t="shared" si="13"/>
        <v>OK</v>
      </c>
      <c r="AZ15" s="37" t="str">
        <f t="shared" si="13"/>
        <v>OK</v>
      </c>
      <c r="BA15" s="37" t="str">
        <f t="shared" si="13"/>
        <v>OK</v>
      </c>
      <c r="BB15" s="37" t="str">
        <f t="shared" si="13"/>
        <v>OK</v>
      </c>
      <c r="BC15" s="37" t="str">
        <f t="shared" si="13"/>
        <v>OK</v>
      </c>
      <c r="BD15" s="37" t="str">
        <f t="shared" si="13"/>
        <v>OK</v>
      </c>
      <c r="BE15" s="37" t="str">
        <f t="shared" si="13"/>
        <v>OK</v>
      </c>
      <c r="BF15" s="37" t="str">
        <f t="shared" si="13"/>
        <v>OK</v>
      </c>
      <c r="BG15" s="37" t="str">
        <f t="shared" si="13"/>
        <v>OK</v>
      </c>
      <c r="BH15" s="37" t="str">
        <f t="shared" si="13"/>
        <v>OK</v>
      </c>
      <c r="BI15" s="37" t="str">
        <f t="shared" si="13"/>
        <v>OK</v>
      </c>
      <c r="BJ15" s="37" t="str">
        <f t="shared" si="13"/>
        <v>OK</v>
      </c>
      <c r="BK15" s="37" t="str">
        <f t="shared" si="13"/>
        <v>OK</v>
      </c>
      <c r="BL15" s="37" t="str">
        <f t="shared" si="13"/>
        <v>OK</v>
      </c>
      <c r="BM15" s="37" t="str">
        <f t="shared" si="13"/>
        <v>OK</v>
      </c>
      <c r="BN15" s="37" t="str">
        <f t="shared" si="13"/>
        <v>OK</v>
      </c>
      <c r="BO15" s="37" t="str">
        <f t="shared" si="13"/>
        <v>OK</v>
      </c>
      <c r="BP15" s="37" t="str">
        <f t="shared" ref="BP15:CU15" si="14">IF(BP13&gt;1,"AMPLIAR","OK")</f>
        <v>OK</v>
      </c>
      <c r="BQ15" s="37" t="str">
        <f t="shared" si="14"/>
        <v>OK</v>
      </c>
      <c r="BR15" s="37" t="str">
        <f t="shared" si="14"/>
        <v>OK</v>
      </c>
      <c r="BS15" s="37" t="str">
        <f t="shared" si="14"/>
        <v>OK</v>
      </c>
      <c r="BT15" s="37" t="str">
        <f t="shared" si="14"/>
        <v>OK</v>
      </c>
      <c r="BU15" s="37" t="str">
        <f t="shared" si="14"/>
        <v>OK</v>
      </c>
      <c r="BV15" s="37" t="str">
        <f t="shared" si="14"/>
        <v>OK</v>
      </c>
      <c r="BW15" s="37" t="str">
        <f t="shared" si="14"/>
        <v>OK</v>
      </c>
      <c r="BX15" s="37" t="str">
        <f t="shared" si="14"/>
        <v>OK</v>
      </c>
      <c r="BY15" s="37" t="str">
        <f t="shared" si="14"/>
        <v>OK</v>
      </c>
      <c r="BZ15" s="37" t="str">
        <f t="shared" si="14"/>
        <v>OK</v>
      </c>
      <c r="CA15" s="37" t="str">
        <f t="shared" si="14"/>
        <v>OK</v>
      </c>
      <c r="CB15" s="37" t="str">
        <f t="shared" si="14"/>
        <v>OK</v>
      </c>
      <c r="CC15" s="37" t="str">
        <f t="shared" si="14"/>
        <v>OK</v>
      </c>
      <c r="CD15" s="37" t="str">
        <f t="shared" si="14"/>
        <v>OK</v>
      </c>
      <c r="CE15" s="37" t="str">
        <f t="shared" si="14"/>
        <v>OK</v>
      </c>
      <c r="CF15" s="37" t="str">
        <f t="shared" si="14"/>
        <v>OK</v>
      </c>
      <c r="CG15" s="37" t="str">
        <f t="shared" si="14"/>
        <v>OK</v>
      </c>
      <c r="CH15" s="37" t="str">
        <f t="shared" si="14"/>
        <v>OK</v>
      </c>
      <c r="CI15" s="37" t="str">
        <f t="shared" si="14"/>
        <v>OK</v>
      </c>
      <c r="CJ15" s="37" t="str">
        <f t="shared" si="14"/>
        <v>OK</v>
      </c>
      <c r="CK15" s="37" t="str">
        <f t="shared" si="14"/>
        <v>OK</v>
      </c>
      <c r="CL15" s="37" t="str">
        <f t="shared" si="14"/>
        <v>OK</v>
      </c>
      <c r="CM15" s="37" t="str">
        <f t="shared" si="14"/>
        <v>OK</v>
      </c>
      <c r="CN15" s="37" t="str">
        <f t="shared" si="14"/>
        <v>OK</v>
      </c>
      <c r="CO15" s="37" t="str">
        <f t="shared" si="14"/>
        <v>OK</v>
      </c>
      <c r="CP15" s="37" t="str">
        <f t="shared" si="14"/>
        <v>OK</v>
      </c>
      <c r="CQ15" s="37" t="str">
        <f t="shared" si="14"/>
        <v>OK</v>
      </c>
      <c r="CR15" s="37" t="str">
        <f t="shared" si="14"/>
        <v>OK</v>
      </c>
      <c r="CS15" s="37" t="str">
        <f t="shared" si="14"/>
        <v>OK</v>
      </c>
      <c r="CT15" s="37" t="str">
        <f t="shared" si="14"/>
        <v>OK</v>
      </c>
      <c r="CU15" s="37" t="str">
        <f t="shared" si="14"/>
        <v>OK</v>
      </c>
      <c r="CV15" s="37" t="str">
        <f t="shared" ref="CV15:DS15" si="15">IF(CV13&gt;1,"AMPLIAR","OK")</f>
        <v>OK</v>
      </c>
      <c r="CW15" s="37" t="str">
        <f t="shared" si="15"/>
        <v>OK</v>
      </c>
      <c r="CX15" s="37" t="str">
        <f t="shared" si="15"/>
        <v>OK</v>
      </c>
      <c r="CY15" s="37" t="str">
        <f t="shared" si="15"/>
        <v>OK</v>
      </c>
      <c r="CZ15" s="37" t="str">
        <f t="shared" si="15"/>
        <v>OK</v>
      </c>
      <c r="DA15" s="37" t="str">
        <f t="shared" si="15"/>
        <v>OK</v>
      </c>
      <c r="DB15" s="37" t="str">
        <f t="shared" si="15"/>
        <v>OK</v>
      </c>
      <c r="DC15" s="37" t="str">
        <f t="shared" si="15"/>
        <v>OK</v>
      </c>
      <c r="DD15" s="37" t="str">
        <f t="shared" si="15"/>
        <v>OK</v>
      </c>
      <c r="DE15" s="37" t="str">
        <f t="shared" si="15"/>
        <v>OK</v>
      </c>
      <c r="DF15" s="37" t="str">
        <f t="shared" si="15"/>
        <v>OK</v>
      </c>
      <c r="DG15" s="37" t="str">
        <f t="shared" si="15"/>
        <v>OK</v>
      </c>
      <c r="DH15" s="37" t="str">
        <f t="shared" si="15"/>
        <v>OK</v>
      </c>
      <c r="DI15" s="37" t="str">
        <f t="shared" si="15"/>
        <v>OK</v>
      </c>
      <c r="DJ15" s="37" t="str">
        <f t="shared" si="15"/>
        <v>OK</v>
      </c>
      <c r="DK15" s="37" t="str">
        <f t="shared" si="15"/>
        <v>OK</v>
      </c>
      <c r="DL15" s="37" t="str">
        <f t="shared" si="15"/>
        <v>OK</v>
      </c>
      <c r="DM15" s="37" t="str">
        <f t="shared" si="15"/>
        <v>OK</v>
      </c>
      <c r="DN15" s="37" t="str">
        <f t="shared" si="15"/>
        <v>OK</v>
      </c>
      <c r="DO15" s="37" t="str">
        <f t="shared" si="15"/>
        <v>OK</v>
      </c>
      <c r="DP15" s="37" t="str">
        <f t="shared" si="15"/>
        <v>OK</v>
      </c>
      <c r="DQ15" s="37" t="str">
        <f t="shared" si="15"/>
        <v>OK</v>
      </c>
      <c r="DR15" s="37" t="str">
        <f t="shared" si="15"/>
        <v>OK</v>
      </c>
      <c r="DS15" s="37" t="str">
        <f t="shared" si="15"/>
        <v>OK</v>
      </c>
    </row>
    <row r="16" spans="1:123" x14ac:dyDescent="0.2">
      <c r="B16" s="37" t="s">
        <v>1836</v>
      </c>
      <c r="D16" s="162" cm="1">
        <f t="array" ref="D16">IF(D14&gt;=SUP_PRODUCCION!$C$80,INDEX(SUP_PRODUCCION!$C$84:$C$87,D14)*SUP_PRODUCCION!$C$82/MAX(D6+D7+D8,1)+SUP_PRODUCCION!$C$81,SUP_PRODUCCION!$C$79)</f>
        <v>0.06</v>
      </c>
      <c r="E16" s="162" cm="1">
        <f t="array" ref="E16">IF(E14&gt;=SUP_PRODUCCION!$C$80,INDEX(SUP_PRODUCCION!$C$84:$C$87,E14)*SUP_PRODUCCION!$C$82/MAX(E6+E7+E8,1)+SUP_PRODUCCION!$C$81,SUP_PRODUCCION!$C$79)</f>
        <v>0.06</v>
      </c>
      <c r="F16" s="162" cm="1">
        <f t="array" ref="F16">IF(F14&gt;=SUP_PRODUCCION!$C$80,INDEX(SUP_PRODUCCION!$C$84:$C$87,F14)*SUP_PRODUCCION!$C$82/MAX(F6+F7+F8,1)+SUP_PRODUCCION!$C$81,SUP_PRODUCCION!$C$79)</f>
        <v>0.06</v>
      </c>
      <c r="G16" s="162" cm="1">
        <f t="array" ref="G16">IF(G14&gt;=SUP_PRODUCCION!$C$80,INDEX(SUP_PRODUCCION!$C$84:$C$87,G14)*SUP_PRODUCCION!$C$82/MAX(G6+G7+G8,1)+SUP_PRODUCCION!$C$81,SUP_PRODUCCION!$C$79)</f>
        <v>0.06</v>
      </c>
      <c r="H16" s="162" cm="1">
        <f t="array" ref="H16">IF(H14&gt;=SUP_PRODUCCION!$C$80,INDEX(SUP_PRODUCCION!$C$84:$C$87,H14)*SUP_PRODUCCION!$C$82/MAX(H6+H7+H8,1)+SUP_PRODUCCION!$C$81,SUP_PRODUCCION!$C$79)</f>
        <v>0.06</v>
      </c>
      <c r="I16" s="162" cm="1">
        <f t="array" ref="I16">IF(I14&gt;=SUP_PRODUCCION!$C$80,INDEX(SUP_PRODUCCION!$C$84:$C$87,I14)*SUP_PRODUCCION!$C$82/MAX(I6+I7+I8,1)+SUP_PRODUCCION!$C$81,SUP_PRODUCCION!$C$79)</f>
        <v>0.06</v>
      </c>
      <c r="J16" s="162" cm="1">
        <f t="array" ref="J16">IF(J14&gt;=SUP_PRODUCCION!$C$80,INDEX(SUP_PRODUCCION!$C$84:$C$87,J14)*SUP_PRODUCCION!$C$82/MAX(J6+J7+J8,1)+SUP_PRODUCCION!$C$81,SUP_PRODUCCION!$C$79)</f>
        <v>0.06</v>
      </c>
      <c r="K16" s="162" cm="1">
        <f t="array" ref="K16">IF(K14&gt;=SUP_PRODUCCION!$C$80,INDEX(SUP_PRODUCCION!$C$84:$C$87,K14)*SUP_PRODUCCION!$C$82/MAX(K6+K7+K8,1)+SUP_PRODUCCION!$C$81,SUP_PRODUCCION!$C$79)</f>
        <v>0.06</v>
      </c>
      <c r="L16" s="162" cm="1">
        <f t="array" ref="L16">IF(L14&gt;=SUP_PRODUCCION!$C$80,INDEX(SUP_PRODUCCION!$C$84:$C$87,L14)*SUP_PRODUCCION!$C$82/MAX(L6+L7+L8,1)+SUP_PRODUCCION!$C$81,SUP_PRODUCCION!$C$79)</f>
        <v>0.06</v>
      </c>
      <c r="M16" s="162" cm="1">
        <f t="array" ref="M16">IF(M14&gt;=SUP_PRODUCCION!$C$80,INDEX(SUP_PRODUCCION!$C$84:$C$87,M14)*SUP_PRODUCCION!$C$82/MAX(M6+M7+M8,1)+SUP_PRODUCCION!$C$81,SUP_PRODUCCION!$C$79)</f>
        <v>0.06</v>
      </c>
      <c r="N16" s="162" cm="1">
        <f t="array" ref="N16">IF(N14&gt;=SUP_PRODUCCION!$C$80,INDEX(SUP_PRODUCCION!$C$84:$C$87,N14)*SUP_PRODUCCION!$C$82/MAX(N6+N7+N8,1)+SUP_PRODUCCION!$C$81,SUP_PRODUCCION!$C$79)</f>
        <v>0.06</v>
      </c>
      <c r="O16" s="162" cm="1">
        <f t="array" ref="O16">IF(O14&gt;=SUP_PRODUCCION!$C$80,INDEX(SUP_PRODUCCION!$C$84:$C$87,O14)*SUP_PRODUCCION!$C$82/MAX(O6+O7+O8,1)+SUP_PRODUCCION!$C$81,SUP_PRODUCCION!$C$79)</f>
        <v>0.06</v>
      </c>
      <c r="P16" s="162" cm="1">
        <f t="array" ref="P16">IF(P14&gt;=SUP_PRODUCCION!$C$80,INDEX(SUP_PRODUCCION!$C$84:$C$87,P14)*SUP_PRODUCCION!$C$82/MAX(P6+P7+P8,1)+SUP_PRODUCCION!$C$81,SUP_PRODUCCION!$C$79)</f>
        <v>0.06</v>
      </c>
      <c r="Q16" s="162" cm="1">
        <f t="array" ref="Q16">IF(Q14&gt;=SUP_PRODUCCION!$C$80,INDEX(SUP_PRODUCCION!$C$84:$C$87,Q14)*SUP_PRODUCCION!$C$82/MAX(Q6+Q7+Q8,1)+SUP_PRODUCCION!$C$81,SUP_PRODUCCION!$C$79)</f>
        <v>0.06</v>
      </c>
      <c r="R16" s="162" cm="1">
        <f t="array" ref="R16">IF(R14&gt;=SUP_PRODUCCION!$C$80,INDEX(SUP_PRODUCCION!$C$84:$C$87,R14)*SUP_PRODUCCION!$C$82/MAX(R6+R7+R8,1)+SUP_PRODUCCION!$C$81,SUP_PRODUCCION!$C$79)</f>
        <v>0.06</v>
      </c>
      <c r="S16" s="162" cm="1">
        <f t="array" ref="S16">IF(S14&gt;=SUP_PRODUCCION!$C$80,INDEX(SUP_PRODUCCION!$C$84:$C$87,S14)*SUP_PRODUCCION!$C$82/MAX(S6+S7+S8,1)+SUP_PRODUCCION!$C$81,SUP_PRODUCCION!$C$79)</f>
        <v>0.06</v>
      </c>
      <c r="T16" s="162" cm="1">
        <f t="array" ref="T16">IF(T14&gt;=SUP_PRODUCCION!$C$80,INDEX(SUP_PRODUCCION!$C$84:$C$87,T14)*SUP_PRODUCCION!$C$82/MAX(T6+T7+T8,1)+SUP_PRODUCCION!$C$81,SUP_PRODUCCION!$C$79)</f>
        <v>0.06</v>
      </c>
      <c r="U16" s="162" cm="1">
        <f t="array" ref="U16">IF(U14&gt;=SUP_PRODUCCION!$C$80,INDEX(SUP_PRODUCCION!$C$84:$C$87,U14)*SUP_PRODUCCION!$C$82/MAX(U6+U7+U8,1)+SUP_PRODUCCION!$C$81,SUP_PRODUCCION!$C$79)</f>
        <v>0.06</v>
      </c>
      <c r="V16" s="162" cm="1">
        <f t="array" ref="V16">IF(V14&gt;=SUP_PRODUCCION!$C$80,INDEX(SUP_PRODUCCION!$C$84:$C$87,V14)*SUP_PRODUCCION!$C$82/MAX(V6+V7+V8,1)+SUP_PRODUCCION!$C$81,SUP_PRODUCCION!$C$79)</f>
        <v>0.06</v>
      </c>
      <c r="W16" s="162" cm="1">
        <f t="array" ref="W16">IF(W14&gt;=SUP_PRODUCCION!$C$80,INDEX(SUP_PRODUCCION!$C$84:$C$87,W14)*SUP_PRODUCCION!$C$82/MAX(W6+W7+W8,1)+SUP_PRODUCCION!$C$81,SUP_PRODUCCION!$C$79)</f>
        <v>0.06</v>
      </c>
      <c r="X16" s="162" cm="1">
        <f t="array" ref="X16">IF(X14&gt;=SUP_PRODUCCION!$C$80,INDEX(SUP_PRODUCCION!$C$84:$C$87,X14)*SUP_PRODUCCION!$C$82/MAX(X6+X7+X8,1)+SUP_PRODUCCION!$C$81,SUP_PRODUCCION!$C$79)</f>
        <v>0.06</v>
      </c>
      <c r="Y16" s="162" cm="1">
        <f t="array" ref="Y16">IF(Y14&gt;=SUP_PRODUCCION!$C$80,INDEX(SUP_PRODUCCION!$C$84:$C$87,Y14)*SUP_PRODUCCION!$C$82/MAX(Y6+Y7+Y8,1)+SUP_PRODUCCION!$C$81,SUP_PRODUCCION!$C$79)</f>
        <v>0.06</v>
      </c>
      <c r="Z16" s="162" cm="1">
        <f t="array" ref="Z16">IF(Z14&gt;=SUP_PRODUCCION!$C$80,INDEX(SUP_PRODUCCION!$C$84:$C$87,Z14)*SUP_PRODUCCION!$C$82/MAX(Z6+Z7+Z8,1)+SUP_PRODUCCION!$C$81,SUP_PRODUCCION!$C$79)</f>
        <v>0.06</v>
      </c>
      <c r="AA16" s="162" cm="1">
        <f t="array" ref="AA16">IF(AA14&gt;=SUP_PRODUCCION!$C$80,INDEX(SUP_PRODUCCION!$C$84:$C$87,AA14)*SUP_PRODUCCION!$C$82/MAX(AA6+AA7+AA8,1)+SUP_PRODUCCION!$C$81,SUP_PRODUCCION!$C$79)</f>
        <v>8.0510861877768347E-2</v>
      </c>
      <c r="AB16" s="162" cm="1">
        <f t="array" ref="AB16">IF(AB14&gt;=SUP_PRODUCCION!$C$80,INDEX(SUP_PRODUCCION!$C$84:$C$87,AB14)*SUP_PRODUCCION!$C$82/MAX(AB6+AB7+AB8,1)+SUP_PRODUCCION!$C$81,SUP_PRODUCCION!$C$79)</f>
        <v>8.0510861877768347E-2</v>
      </c>
      <c r="AC16" s="162" cm="1">
        <f t="array" ref="AC16">IF(AC14&gt;=SUP_PRODUCCION!$C$80,INDEX(SUP_PRODUCCION!$C$84:$C$87,AC14)*SUP_PRODUCCION!$C$82/MAX(AC6+AC7+AC8,1)+SUP_PRODUCCION!$C$81,SUP_PRODUCCION!$C$79)</f>
        <v>8.0510861877768347E-2</v>
      </c>
      <c r="AD16" s="162" cm="1">
        <f t="array" ref="AD16">IF(AD14&gt;=SUP_PRODUCCION!$C$80,INDEX(SUP_PRODUCCION!$C$84:$C$87,AD14)*SUP_PRODUCCION!$C$82/MAX(AD6+AD7+AD8,1)+SUP_PRODUCCION!$C$81,SUP_PRODUCCION!$C$79)</f>
        <v>8.0970382338955829E-2</v>
      </c>
      <c r="AE16" s="162" cm="1">
        <f t="array" ref="AE16">IF(AE14&gt;=SUP_PRODUCCION!$C$80,INDEX(SUP_PRODUCCION!$C$84:$C$87,AE14)*SUP_PRODUCCION!$C$82/MAX(AE6+AE7+AE8,1)+SUP_PRODUCCION!$C$81,SUP_PRODUCCION!$C$79)</f>
        <v>8.0970382338955829E-2</v>
      </c>
      <c r="AF16" s="162" cm="1">
        <f t="array" ref="AF16">IF(AF14&gt;=SUP_PRODUCCION!$C$80,INDEX(SUP_PRODUCCION!$C$84:$C$87,AF14)*SUP_PRODUCCION!$C$82/MAX(AF6+AF7+AF8,1)+SUP_PRODUCCION!$C$81,SUP_PRODUCCION!$C$79)</f>
        <v>7.6994150926439117E-2</v>
      </c>
      <c r="AG16" s="162" cm="1">
        <f t="array" ref="AG16">IF(AG14&gt;=SUP_PRODUCCION!$C$80,INDEX(SUP_PRODUCCION!$C$84:$C$87,AG14)*SUP_PRODUCCION!$C$82/MAX(AG6+AG7+AG8,1)+SUP_PRODUCCION!$C$81,SUP_PRODUCCION!$C$79)</f>
        <v>7.3439830937387457E-2</v>
      </c>
      <c r="AH16" s="162" cm="1">
        <f t="array" ref="AH16">IF(AH14&gt;=SUP_PRODUCCION!$C$80,INDEX(SUP_PRODUCCION!$C$84:$C$87,AH14)*SUP_PRODUCCION!$C$82/MAX(AH6+AH7+AH8,1)+SUP_PRODUCCION!$C$81,SUP_PRODUCCION!$C$79)</f>
        <v>7.2343821288919849E-2</v>
      </c>
      <c r="AI16" s="162" cm="1">
        <f t="array" ref="AI16">IF(AI14&gt;=SUP_PRODUCCION!$C$80,INDEX(SUP_PRODUCCION!$C$84:$C$87,AI14)*SUP_PRODUCCION!$C$82/MAX(AI6+AI7+AI8,1)+SUP_PRODUCCION!$C$81,SUP_PRODUCCION!$C$79)</f>
        <v>6.9133064653593174E-2</v>
      </c>
      <c r="AJ16" s="162" cm="1">
        <f t="array" ref="AJ16">IF(AJ14&gt;=SUP_PRODUCCION!$C$80,INDEX(SUP_PRODUCCION!$C$84:$C$87,AJ14)*SUP_PRODUCCION!$C$82/MAX(AJ6+AJ7+AJ8,1)+SUP_PRODUCCION!$C$81,SUP_PRODUCCION!$C$79)</f>
        <v>6.6174293170997558E-2</v>
      </c>
      <c r="AK16" s="162" cm="1">
        <f t="array" ref="AK16">IF(AK14&gt;=SUP_PRODUCCION!$C$80,INDEX(SUP_PRODUCCION!$C$84:$C$87,AK14)*SUP_PRODUCCION!$C$82/MAX(AK6+AK7+AK8,1)+SUP_PRODUCCION!$C$81,SUP_PRODUCCION!$C$79)</f>
        <v>6.5404238558563033E-2</v>
      </c>
      <c r="AL16" s="162" cm="1">
        <f t="array" ref="AL16">IF(AL14&gt;=SUP_PRODUCCION!$C$80,INDEX(SUP_PRODUCCION!$C$84:$C$87,AL14)*SUP_PRODUCCION!$C$82/MAX(AL6+AL7+AL8,1)+SUP_PRODUCCION!$C$81,SUP_PRODUCCION!$C$79)</f>
        <v>6.5360425898157479E-2</v>
      </c>
      <c r="AM16" s="162" cm="1">
        <f t="array" ref="AM16">IF(AM14&gt;=SUP_PRODUCCION!$C$80,INDEX(SUP_PRODUCCION!$C$84:$C$87,AM14)*SUP_PRODUCCION!$C$82/MAX(AM6+AM7+AM8,1)+SUP_PRODUCCION!$C$81,SUP_PRODUCCION!$C$79)</f>
        <v>6.2702030572146891E-2</v>
      </c>
      <c r="AN16" s="162" cm="1">
        <f t="array" ref="AN16">IF(AN14&gt;=SUP_PRODUCCION!$C$80,INDEX(SUP_PRODUCCION!$C$84:$C$87,AN14)*SUP_PRODUCCION!$C$82/MAX(AN6+AN7+AN8,1)+SUP_PRODUCCION!$C$81,SUP_PRODUCCION!$C$79)</f>
        <v>6.0532260240157156E-2</v>
      </c>
      <c r="AO16" s="162" cm="1">
        <f t="array" ref="AO16">IF(AO14&gt;=SUP_PRODUCCION!$C$80,INDEX(SUP_PRODUCCION!$C$84:$C$87,AO14)*SUP_PRODUCCION!$C$82/MAX(AO6+AO7+AO8,1)+SUP_PRODUCCION!$C$81,SUP_PRODUCCION!$C$79)</f>
        <v>5.8341799515693689E-2</v>
      </c>
      <c r="AP16" s="162" cm="1">
        <f t="array" ref="AP16">IF(AP14&gt;=SUP_PRODUCCION!$C$80,INDEX(SUP_PRODUCCION!$C$84:$C$87,AP14)*SUP_PRODUCCION!$C$82/MAX(AP6+AP7+AP8,1)+SUP_PRODUCCION!$C$81,SUP_PRODUCCION!$C$79)</f>
        <v>5.6127283128847995E-2</v>
      </c>
      <c r="AQ16" s="162" cm="1">
        <f t="array" ref="AQ16">IF(AQ14&gt;=SUP_PRODUCCION!$C$80,INDEX(SUP_PRODUCCION!$C$84:$C$87,AQ14)*SUP_PRODUCCION!$C$82/MAX(AQ6+AQ7+AQ8,1)+SUP_PRODUCCION!$C$81,SUP_PRODUCCION!$C$79)</f>
        <v>5.5420255351436853E-2</v>
      </c>
      <c r="AR16" s="162" cm="1">
        <f t="array" ref="AR16">IF(AR14&gt;=SUP_PRODUCCION!$C$80,INDEX(SUP_PRODUCCION!$C$84:$C$87,AR14)*SUP_PRODUCCION!$C$82/MAX(AR6+AR7+AR8,1)+SUP_PRODUCCION!$C$81,SUP_PRODUCCION!$C$79)</f>
        <v>5.3432593028722608E-2</v>
      </c>
      <c r="AS16" s="162" cm="1">
        <f t="array" ref="AS16">IF(AS14&gt;=SUP_PRODUCCION!$C$80,INDEX(SUP_PRODUCCION!$C$84:$C$87,AS14)*SUP_PRODUCCION!$C$82/MAX(AS6+AS7+AS8,1)+SUP_PRODUCCION!$C$81,SUP_PRODUCCION!$C$79)</f>
        <v>5.2902585275466638E-2</v>
      </c>
      <c r="AT16" s="162" cm="1">
        <f t="array" ref="AT16">IF(AT14&gt;=SUP_PRODUCCION!$C$80,INDEX(SUP_PRODUCCION!$C$84:$C$87,AT14)*SUP_PRODUCCION!$C$82/MAX(AT6+AT7+AT8,1)+SUP_PRODUCCION!$C$81,SUP_PRODUCCION!$C$79)</f>
        <v>5.1561578163802753E-2</v>
      </c>
      <c r="AU16" s="162" cm="1">
        <f t="array" ref="AU16">IF(AU14&gt;=SUP_PRODUCCION!$C$80,INDEX(SUP_PRODUCCION!$C$84:$C$87,AU14)*SUP_PRODUCCION!$C$82/MAX(AU6+AU7+AU8,1)+SUP_PRODUCCION!$C$81,SUP_PRODUCCION!$C$79)</f>
        <v>5.0068312709176138E-2</v>
      </c>
      <c r="AV16" s="162" cm="1">
        <f t="array" ref="AV16">IF(AV14&gt;=SUP_PRODUCCION!$C$80,INDEX(SUP_PRODUCCION!$C$84:$C$87,AV14)*SUP_PRODUCCION!$C$82/MAX(AV6+AV7+AV8,1)+SUP_PRODUCCION!$C$81,SUP_PRODUCCION!$C$79)</f>
        <v>4.9685021666638872E-2</v>
      </c>
      <c r="AW16" s="162" cm="1">
        <f t="array" ref="AW16">IF(AW14&gt;=SUP_PRODUCCION!$C$80,INDEX(SUP_PRODUCCION!$C$84:$C$87,AW14)*SUP_PRODUCCION!$C$82/MAX(AW6+AW7+AW8,1)+SUP_PRODUCCION!$C$81,SUP_PRODUCCION!$C$79)</f>
        <v>7.5639380917047069E-2</v>
      </c>
      <c r="AX16" s="162" cm="1">
        <f t="array" ref="AX16">IF(AX14&gt;=SUP_PRODUCCION!$C$80,INDEX(SUP_PRODUCCION!$C$84:$C$87,AX14)*SUP_PRODUCCION!$C$82/MAX(AX6+AX7+AX8,1)+SUP_PRODUCCION!$C$81,SUP_PRODUCCION!$C$79)</f>
        <v>7.5391070374957805E-2</v>
      </c>
      <c r="AY16" s="162" cm="1">
        <f t="array" ref="AY16">IF(AY14&gt;=SUP_PRODUCCION!$C$80,INDEX(SUP_PRODUCCION!$C$84:$C$87,AY14)*SUP_PRODUCCION!$C$82/MAX(AY6+AY7+AY8,1)+SUP_PRODUCCION!$C$81,SUP_PRODUCCION!$C$79)</f>
        <v>7.5391070374957805E-2</v>
      </c>
      <c r="AZ16" s="162" cm="1">
        <f t="array" ref="AZ16">IF(AZ14&gt;=SUP_PRODUCCION!$C$80,INDEX(SUP_PRODUCCION!$C$84:$C$87,AZ14)*SUP_PRODUCCION!$C$82/MAX(AZ6+AZ7+AZ8,1)+SUP_PRODUCCION!$C$81,SUP_PRODUCCION!$C$79)</f>
        <v>7.5391070374957805E-2</v>
      </c>
      <c r="BA16" s="162" cm="1">
        <f t="array" ref="BA16">IF(BA14&gt;=SUP_PRODUCCION!$C$80,INDEX(SUP_PRODUCCION!$C$84:$C$87,BA14)*SUP_PRODUCCION!$C$82/MAX(BA6+BA7+BA8,1)+SUP_PRODUCCION!$C$81,SUP_PRODUCCION!$C$79)</f>
        <v>7.6380918136444792E-2</v>
      </c>
      <c r="BB16" s="162" cm="1">
        <f t="array" ref="BB16">IF(BB14&gt;=SUP_PRODUCCION!$C$80,INDEX(SUP_PRODUCCION!$C$84:$C$87,BB14)*SUP_PRODUCCION!$C$82/MAX(BB6+BB7+BB8,1)+SUP_PRODUCCION!$C$81,SUP_PRODUCCION!$C$79)</f>
        <v>7.6380918136444792E-2</v>
      </c>
      <c r="BC16" s="162" cm="1">
        <f t="array" ref="BC16">IF(BC14&gt;=SUP_PRODUCCION!$C$80,INDEX(SUP_PRODUCCION!$C$84:$C$87,BC14)*SUP_PRODUCCION!$C$82/MAX(BC6+BC7+BC8,1)+SUP_PRODUCCION!$C$81,SUP_PRODUCCION!$C$79)</f>
        <v>7.6380918136444792E-2</v>
      </c>
      <c r="BD16" s="162" cm="1">
        <f t="array" ref="BD16">IF(BD14&gt;=SUP_PRODUCCION!$C$80,INDEX(SUP_PRODUCCION!$C$84:$C$87,BD14)*SUP_PRODUCCION!$C$82/MAX(BD6+BD7+BD8,1)+SUP_PRODUCCION!$C$81,SUP_PRODUCCION!$C$79)</f>
        <v>7.3304202197397042E-2</v>
      </c>
      <c r="BE16" s="162" cm="1">
        <f t="array" ref="BE16">IF(BE14&gt;=SUP_PRODUCCION!$C$80,INDEX(SUP_PRODUCCION!$C$84:$C$87,BE14)*SUP_PRODUCCION!$C$82/MAX(BE6+BE7+BE8,1)+SUP_PRODUCCION!$C$81,SUP_PRODUCCION!$C$79)</f>
        <v>7.1230288383748161E-2</v>
      </c>
      <c r="BF16" s="162" cm="1">
        <f t="array" ref="BF16">IF(BF14&gt;=SUP_PRODUCCION!$C$80,INDEX(SUP_PRODUCCION!$C$84:$C$87,BF14)*SUP_PRODUCCION!$C$82/MAX(BF6+BF7+BF8,1)+SUP_PRODUCCION!$C$81,SUP_PRODUCCION!$C$79)</f>
        <v>6.9594010817082261E-2</v>
      </c>
      <c r="BG16" s="162" cm="1">
        <f t="array" ref="BG16">IF(BG14&gt;=SUP_PRODUCCION!$C$80,INDEX(SUP_PRODUCCION!$C$84:$C$87,BG14)*SUP_PRODUCCION!$C$82/MAX(BG6+BG7+BG8,1)+SUP_PRODUCCION!$C$81,SUP_PRODUCCION!$C$79)</f>
        <v>6.7434746791661102E-2</v>
      </c>
      <c r="BH16" s="162" cm="1">
        <f t="array" ref="BH16">IF(BH14&gt;=SUP_PRODUCCION!$C$80,INDEX(SUP_PRODUCCION!$C$84:$C$87,BH14)*SUP_PRODUCCION!$C$82/MAX(BH6+BH7+BH8,1)+SUP_PRODUCCION!$C$81,SUP_PRODUCCION!$C$79)</f>
        <v>6.5621820808418455E-2</v>
      </c>
      <c r="BI16" s="162" cm="1">
        <f t="array" ref="BI16">IF(BI14&gt;=SUP_PRODUCCION!$C$80,INDEX(SUP_PRODUCCION!$C$84:$C$87,BI14)*SUP_PRODUCCION!$C$82/MAX(BI6+BI7+BI8,1)+SUP_PRODUCCION!$C$81,SUP_PRODUCCION!$C$79)</f>
        <v>6.3919842663859833E-2</v>
      </c>
      <c r="BJ16" s="162" cm="1">
        <f t="array" ref="BJ16">IF(BJ14&gt;=SUP_PRODUCCION!$C$80,INDEX(SUP_PRODUCCION!$C$84:$C$87,BJ14)*SUP_PRODUCCION!$C$82/MAX(BJ6+BJ7+BJ8,1)+SUP_PRODUCCION!$C$81,SUP_PRODUCCION!$C$79)</f>
        <v>6.2071265472390731E-2</v>
      </c>
      <c r="BK16" s="162" cm="1">
        <f t="array" ref="BK16">IF(BK14&gt;=SUP_PRODUCCION!$C$80,INDEX(SUP_PRODUCCION!$C$84:$C$87,BK14)*SUP_PRODUCCION!$C$82/MAX(BK6+BK7+BK8,1)+SUP_PRODUCCION!$C$81,SUP_PRODUCCION!$C$79)</f>
        <v>6.1311178616802589E-2</v>
      </c>
      <c r="BL16" s="162" cm="1">
        <f t="array" ref="BL16">IF(BL14&gt;=SUP_PRODUCCION!$C$80,INDEX(SUP_PRODUCCION!$C$84:$C$87,BL14)*SUP_PRODUCCION!$C$82/MAX(BL6+BL7+BL8,1)+SUP_PRODUCCION!$C$81,SUP_PRODUCCION!$C$79)</f>
        <v>5.9890708868889538E-2</v>
      </c>
      <c r="BM16" s="162" cm="1">
        <f t="array" ref="BM16">IF(BM14&gt;=SUP_PRODUCCION!$C$80,INDEX(SUP_PRODUCCION!$C$84:$C$87,BM14)*SUP_PRODUCCION!$C$82/MAX(BM6+BM7+BM8,1)+SUP_PRODUCCION!$C$81,SUP_PRODUCCION!$C$79)</f>
        <v>5.8546767519663381E-2</v>
      </c>
      <c r="BN16" s="162" cm="1">
        <f t="array" ref="BN16">IF(BN14&gt;=SUP_PRODUCCION!$C$80,INDEX(SUP_PRODUCCION!$C$84:$C$87,BN14)*SUP_PRODUCCION!$C$82/MAX(BN6+BN7+BN8,1)+SUP_PRODUCCION!$C$81,SUP_PRODUCCION!$C$79)</f>
        <v>5.7075517686129909E-2</v>
      </c>
      <c r="BO16" s="162" cm="1">
        <f t="array" ref="BO16">IF(BO14&gt;=SUP_PRODUCCION!$C$80,INDEX(SUP_PRODUCCION!$C$84:$C$87,BO14)*SUP_PRODUCCION!$C$82/MAX(BO6+BO7+BO8,1)+SUP_PRODUCCION!$C$81,SUP_PRODUCCION!$C$79)</f>
        <v>5.586014378485854E-2</v>
      </c>
      <c r="BP16" s="162" cm="1">
        <f t="array" ref="BP16">IF(BP14&gt;=SUP_PRODUCCION!$C$80,INDEX(SUP_PRODUCCION!$C$84:$C$87,BP14)*SUP_PRODUCCION!$C$82/MAX(BP6+BP7+BP8,1)+SUP_PRODUCCION!$C$81,SUP_PRODUCCION!$C$79)</f>
        <v>5.5263395665736549E-2</v>
      </c>
      <c r="BQ16" s="162" cm="1">
        <f t="array" ref="BQ16">IF(BQ14&gt;=SUP_PRODUCCION!$C$80,INDEX(SUP_PRODUCCION!$C$84:$C$87,BQ14)*SUP_PRODUCCION!$C$82/MAX(BQ6+BQ7+BQ8,1)+SUP_PRODUCCION!$C$81,SUP_PRODUCCION!$C$79)</f>
        <v>5.4172868488879269E-2</v>
      </c>
      <c r="BR16" s="162" cm="1">
        <f t="array" ref="BR16">IF(BR14&gt;=SUP_PRODUCCION!$C$80,INDEX(SUP_PRODUCCION!$C$84:$C$87,BR14)*SUP_PRODUCCION!$C$82/MAX(BR6+BR7+BR8,1)+SUP_PRODUCCION!$C$81,SUP_PRODUCCION!$C$79)</f>
        <v>5.2971703641585391E-2</v>
      </c>
      <c r="BS16" s="162" cm="1">
        <f t="array" ref="BS16">IF(BS14&gt;=SUP_PRODUCCION!$C$80,INDEX(SUP_PRODUCCION!$C$84:$C$87,BS14)*SUP_PRODUCCION!$C$82/MAX(BS6+BS7+BS8,1)+SUP_PRODUCCION!$C$81,SUP_PRODUCCION!$C$79)</f>
        <v>5.1375840522741696E-2</v>
      </c>
      <c r="BT16" s="162" cm="1">
        <f t="array" ref="BT16">IF(BT14&gt;=SUP_PRODUCCION!$C$80,INDEX(SUP_PRODUCCION!$C$84:$C$87,BT14)*SUP_PRODUCCION!$C$82/MAX(BT6+BT7+BT8,1)+SUP_PRODUCCION!$C$81,SUP_PRODUCCION!$C$79)</f>
        <v>5.0333074903189196E-2</v>
      </c>
      <c r="BU16" s="162" cm="1">
        <f t="array" ref="BU16">IF(BU14&gt;=SUP_PRODUCCION!$C$80,INDEX(SUP_PRODUCCION!$C$84:$C$87,BU14)*SUP_PRODUCCION!$C$82/MAX(BU6+BU7+BU8,1)+SUP_PRODUCCION!$C$81,SUP_PRODUCCION!$C$79)</f>
        <v>4.9892585225023107E-2</v>
      </c>
      <c r="BV16" s="162" cm="1">
        <f t="array" ref="BV16">IF(BV14&gt;=SUP_PRODUCCION!$C$80,INDEX(SUP_PRODUCCION!$C$84:$C$87,BV14)*SUP_PRODUCCION!$C$82/MAX(BV6+BV7+BV8,1)+SUP_PRODUCCION!$C$81,SUP_PRODUCCION!$C$79)</f>
        <v>4.9002008798463163E-2</v>
      </c>
      <c r="BW16" s="162" cm="1">
        <f t="array" ref="BW16">IF(BW14&gt;=SUP_PRODUCCION!$C$80,INDEX(SUP_PRODUCCION!$C$84:$C$87,BW14)*SUP_PRODUCCION!$C$82/MAX(BW6+BW7+BW8,1)+SUP_PRODUCCION!$C$81,SUP_PRODUCCION!$C$79)</f>
        <v>4.8078514473239208E-2</v>
      </c>
      <c r="BX16" s="162" cm="1">
        <f t="array" ref="BX16">IF(BX14&gt;=SUP_PRODUCCION!$C$80,INDEX(SUP_PRODUCCION!$C$84:$C$87,BX14)*SUP_PRODUCCION!$C$82/MAX(BX6+BX7+BX8,1)+SUP_PRODUCCION!$C$81,SUP_PRODUCCION!$C$79)</f>
        <v>4.7306056284508555E-2</v>
      </c>
      <c r="BY16" s="162" cm="1">
        <f t="array" ref="BY16">IF(BY14&gt;=SUP_PRODUCCION!$C$80,INDEX(SUP_PRODUCCION!$C$84:$C$87,BY14)*SUP_PRODUCCION!$C$82/MAX(BY6+BY7+BY8,1)+SUP_PRODUCCION!$C$81,SUP_PRODUCCION!$C$79)</f>
        <v>4.6574753336206032E-2</v>
      </c>
      <c r="BZ16" s="162" cm="1">
        <f t="array" ref="BZ16">IF(BZ14&gt;=SUP_PRODUCCION!$C$80,INDEX(SUP_PRODUCCION!$C$84:$C$87,BZ14)*SUP_PRODUCCION!$C$82/MAX(BZ6+BZ7+BZ8,1)+SUP_PRODUCCION!$C$81,SUP_PRODUCCION!$C$79)</f>
        <v>4.5762799577494399E-2</v>
      </c>
      <c r="CA16" s="162" cm="1">
        <f t="array" ref="CA16">IF(CA14&gt;=SUP_PRODUCCION!$C$80,INDEX(SUP_PRODUCCION!$C$84:$C$87,CA14)*SUP_PRODUCCION!$C$82/MAX(CA6+CA7+CA8,1)+SUP_PRODUCCION!$C$81,SUP_PRODUCCION!$C$79)</f>
        <v>4.4899555899090157E-2</v>
      </c>
      <c r="CB16" s="162" cm="1">
        <f t="array" ref="CB16">IF(CB14&gt;=SUP_PRODUCCION!$C$80,INDEX(SUP_PRODUCCION!$C$84:$C$87,CB14)*SUP_PRODUCCION!$C$82/MAX(CB6+CB7+CB8,1)+SUP_PRODUCCION!$C$81,SUP_PRODUCCION!$C$79)</f>
        <v>5.1036224558109695E-2</v>
      </c>
      <c r="CC16" s="162" cm="1">
        <f t="array" ref="CC16">IF(CC14&gt;=SUP_PRODUCCION!$C$80,INDEX(SUP_PRODUCCION!$C$84:$C$87,CC14)*SUP_PRODUCCION!$C$82/MAX(CC6+CC7+CC8,1)+SUP_PRODUCCION!$C$81,SUP_PRODUCCION!$C$79)</f>
        <v>5.0692742495494381E-2</v>
      </c>
      <c r="CD16" s="162" cm="1">
        <f t="array" ref="CD16">IF(CD14&gt;=SUP_PRODUCCION!$C$80,INDEX(SUP_PRODUCCION!$C$84:$C$87,CD14)*SUP_PRODUCCION!$C$82/MAX(CD6+CD7+CD8,1)+SUP_PRODUCCION!$C$81,SUP_PRODUCCION!$C$79)</f>
        <v>5.0530186920063697E-2</v>
      </c>
      <c r="CE16" s="162" cm="1">
        <f t="array" ref="CE16">IF(CE14&gt;=SUP_PRODUCCION!$C$80,INDEX(SUP_PRODUCCION!$C$84:$C$87,CE14)*SUP_PRODUCCION!$C$82/MAX(CE6+CE7+CE8,1)+SUP_PRODUCCION!$C$81,SUP_PRODUCCION!$C$79)</f>
        <v>5.0459914964538485E-2</v>
      </c>
      <c r="CF16" s="162" cm="1">
        <f t="array" ref="CF16">IF(CF14&gt;=SUP_PRODUCCION!$C$80,INDEX(SUP_PRODUCCION!$C$84:$C$87,CF14)*SUP_PRODUCCION!$C$82/MAX(CF6+CF7+CF8,1)+SUP_PRODUCCION!$C$81,SUP_PRODUCCION!$C$79)</f>
        <v>5.0459914964538485E-2</v>
      </c>
      <c r="CG16" s="162" cm="1">
        <f t="array" ref="CG16">IF(CG14&gt;=SUP_PRODUCCION!$C$80,INDEX(SUP_PRODUCCION!$C$84:$C$87,CG14)*SUP_PRODUCCION!$C$82/MAX(CG6+CG7+CG8,1)+SUP_PRODUCCION!$C$81,SUP_PRODUCCION!$C$79)</f>
        <v>5.0459914964538485E-2</v>
      </c>
      <c r="CH16" s="162" cm="1">
        <f t="array" ref="CH16">IF(CH14&gt;=SUP_PRODUCCION!$C$80,INDEX(SUP_PRODUCCION!$C$84:$C$87,CH14)*SUP_PRODUCCION!$C$82/MAX(CH6+CH7+CH8,1)+SUP_PRODUCCION!$C$81,SUP_PRODUCCION!$C$79)</f>
        <v>5.0459914964538485E-2</v>
      </c>
      <c r="CI16" s="162" cm="1">
        <f t="array" ref="CI16">IF(CI14&gt;=SUP_PRODUCCION!$C$80,INDEX(SUP_PRODUCCION!$C$84:$C$87,CI14)*SUP_PRODUCCION!$C$82/MAX(CI6+CI7+CI8,1)+SUP_PRODUCCION!$C$81,SUP_PRODUCCION!$C$79)</f>
        <v>5.0459914964538485E-2</v>
      </c>
      <c r="CJ16" s="162" cm="1">
        <f t="array" ref="CJ16">IF(CJ14&gt;=SUP_PRODUCCION!$C$80,INDEX(SUP_PRODUCCION!$C$84:$C$87,CJ14)*SUP_PRODUCCION!$C$82/MAX(CJ6+CJ7+CJ8,1)+SUP_PRODUCCION!$C$81,SUP_PRODUCCION!$C$79)</f>
        <v>5.0459914964538485E-2</v>
      </c>
      <c r="CK16" s="162" cm="1">
        <f t="array" ref="CK16">IF(CK14&gt;=SUP_PRODUCCION!$C$80,INDEX(SUP_PRODUCCION!$C$84:$C$87,CK14)*SUP_PRODUCCION!$C$82/MAX(CK6+CK7+CK8,1)+SUP_PRODUCCION!$C$81,SUP_PRODUCCION!$C$79)</f>
        <v>5.0459914964538485E-2</v>
      </c>
      <c r="CL16" s="162" cm="1">
        <f t="array" ref="CL16">IF(CL14&gt;=SUP_PRODUCCION!$C$80,INDEX(SUP_PRODUCCION!$C$84:$C$87,CL14)*SUP_PRODUCCION!$C$82/MAX(CL6+CL7+CL8,1)+SUP_PRODUCCION!$C$81,SUP_PRODUCCION!$C$79)</f>
        <v>5.0459914964538485E-2</v>
      </c>
      <c r="CM16" s="162" cm="1">
        <f t="array" ref="CM16">IF(CM14&gt;=SUP_PRODUCCION!$C$80,INDEX(SUP_PRODUCCION!$C$84:$C$87,CM14)*SUP_PRODUCCION!$C$82/MAX(CM6+CM7+CM8,1)+SUP_PRODUCCION!$C$81,SUP_PRODUCCION!$C$79)</f>
        <v>5.0459914964538485E-2</v>
      </c>
      <c r="CN16" s="162" cm="1">
        <f t="array" ref="CN16">IF(CN14&gt;=SUP_PRODUCCION!$C$80,INDEX(SUP_PRODUCCION!$C$84:$C$87,CN14)*SUP_PRODUCCION!$C$82/MAX(CN6+CN7+CN8,1)+SUP_PRODUCCION!$C$81,SUP_PRODUCCION!$C$79)</f>
        <v>5.0459914964538485E-2</v>
      </c>
      <c r="CO16" s="162" cm="1">
        <f t="array" ref="CO16">IF(CO14&gt;=SUP_PRODUCCION!$C$80,INDEX(SUP_PRODUCCION!$C$84:$C$87,CO14)*SUP_PRODUCCION!$C$82/MAX(CO6+CO7+CO8,1)+SUP_PRODUCCION!$C$81,SUP_PRODUCCION!$C$79)</f>
        <v>5.0459914964538485E-2</v>
      </c>
      <c r="CP16" s="162" cm="1">
        <f t="array" ref="CP16">IF(CP14&gt;=SUP_PRODUCCION!$C$80,INDEX(SUP_PRODUCCION!$C$84:$C$87,CP14)*SUP_PRODUCCION!$C$82/MAX(CP6+CP7+CP8,1)+SUP_PRODUCCION!$C$81,SUP_PRODUCCION!$C$79)</f>
        <v>5.0459914964538485E-2</v>
      </c>
      <c r="CQ16" s="162" cm="1">
        <f t="array" ref="CQ16">IF(CQ14&gt;=SUP_PRODUCCION!$C$80,INDEX(SUP_PRODUCCION!$C$84:$C$87,CQ14)*SUP_PRODUCCION!$C$82/MAX(CQ6+CQ7+CQ8,1)+SUP_PRODUCCION!$C$81,SUP_PRODUCCION!$C$79)</f>
        <v>5.0459914964538485E-2</v>
      </c>
      <c r="CR16" s="162" cm="1">
        <f t="array" ref="CR16">IF(CR14&gt;=SUP_PRODUCCION!$C$80,INDEX(SUP_PRODUCCION!$C$84:$C$87,CR14)*SUP_PRODUCCION!$C$82/MAX(CR6+CR7+CR8,1)+SUP_PRODUCCION!$C$81,SUP_PRODUCCION!$C$79)</f>
        <v>5.0459914964538485E-2</v>
      </c>
      <c r="CS16" s="162" cm="1">
        <f t="array" ref="CS16">IF(CS14&gt;=SUP_PRODUCCION!$C$80,INDEX(SUP_PRODUCCION!$C$84:$C$87,CS14)*SUP_PRODUCCION!$C$82/MAX(CS6+CS7+CS8,1)+SUP_PRODUCCION!$C$81,SUP_PRODUCCION!$C$79)</f>
        <v>5.0459914964538485E-2</v>
      </c>
      <c r="CT16" s="162" cm="1">
        <f t="array" ref="CT16">IF(CT14&gt;=SUP_PRODUCCION!$C$80,INDEX(SUP_PRODUCCION!$C$84:$C$87,CT14)*SUP_PRODUCCION!$C$82/MAX(CT6+CT7+CT8,1)+SUP_PRODUCCION!$C$81,SUP_PRODUCCION!$C$79)</f>
        <v>5.0459914964538485E-2</v>
      </c>
      <c r="CU16" s="162" cm="1">
        <f t="array" ref="CU16">IF(CU14&gt;=SUP_PRODUCCION!$C$80,INDEX(SUP_PRODUCCION!$C$84:$C$87,CU14)*SUP_PRODUCCION!$C$82/MAX(CU6+CU7+CU8,1)+SUP_PRODUCCION!$C$81,SUP_PRODUCCION!$C$79)</f>
        <v>5.0459914964538485E-2</v>
      </c>
      <c r="CV16" s="162" cm="1">
        <f t="array" ref="CV16">IF(CV14&gt;=SUP_PRODUCCION!$C$80,INDEX(SUP_PRODUCCION!$C$84:$C$87,CV14)*SUP_PRODUCCION!$C$82/MAX(CV6+CV7+CV8,1)+SUP_PRODUCCION!$C$81,SUP_PRODUCCION!$C$79)</f>
        <v>5.0459914964538485E-2</v>
      </c>
      <c r="CW16" s="162" cm="1">
        <f t="array" ref="CW16">IF(CW14&gt;=SUP_PRODUCCION!$C$80,INDEX(SUP_PRODUCCION!$C$84:$C$87,CW14)*SUP_PRODUCCION!$C$82/MAX(CW6+CW7+CW8,1)+SUP_PRODUCCION!$C$81,SUP_PRODUCCION!$C$79)</f>
        <v>5.0459914964538485E-2</v>
      </c>
      <c r="CX16" s="162" cm="1">
        <f t="array" ref="CX16">IF(CX14&gt;=SUP_PRODUCCION!$C$80,INDEX(SUP_PRODUCCION!$C$84:$C$87,CX14)*SUP_PRODUCCION!$C$82/MAX(CX6+CX7+CX8,1)+SUP_PRODUCCION!$C$81,SUP_PRODUCCION!$C$79)</f>
        <v>5.0459914964538485E-2</v>
      </c>
      <c r="CY16" s="162" cm="1">
        <f t="array" ref="CY16">IF(CY14&gt;=SUP_PRODUCCION!$C$80,INDEX(SUP_PRODUCCION!$C$84:$C$87,CY14)*SUP_PRODUCCION!$C$82/MAX(CY6+CY7+CY8,1)+SUP_PRODUCCION!$C$81,SUP_PRODUCCION!$C$79)</f>
        <v>5.0459914964538485E-2</v>
      </c>
      <c r="CZ16" s="162" cm="1">
        <f t="array" ref="CZ16">IF(CZ14&gt;=SUP_PRODUCCION!$C$80,INDEX(SUP_PRODUCCION!$C$84:$C$87,CZ14)*SUP_PRODUCCION!$C$82/MAX(CZ6+CZ7+CZ8,1)+SUP_PRODUCCION!$C$81,SUP_PRODUCCION!$C$79)</f>
        <v>5.0459914964538485E-2</v>
      </c>
      <c r="DA16" s="162" cm="1">
        <f t="array" ref="DA16">IF(DA14&gt;=SUP_PRODUCCION!$C$80,INDEX(SUP_PRODUCCION!$C$84:$C$87,DA14)*SUP_PRODUCCION!$C$82/MAX(DA6+DA7+DA8,1)+SUP_PRODUCCION!$C$81,SUP_PRODUCCION!$C$79)</f>
        <v>5.0459914964538485E-2</v>
      </c>
      <c r="DB16" s="162" cm="1">
        <f t="array" ref="DB16">IF(DB14&gt;=SUP_PRODUCCION!$C$80,INDEX(SUP_PRODUCCION!$C$84:$C$87,DB14)*SUP_PRODUCCION!$C$82/MAX(DB6+DB7+DB8,1)+SUP_PRODUCCION!$C$81,SUP_PRODUCCION!$C$79)</f>
        <v>5.0459914964538485E-2</v>
      </c>
      <c r="DC16" s="162" cm="1">
        <f t="array" ref="DC16">IF(DC14&gt;=SUP_PRODUCCION!$C$80,INDEX(SUP_PRODUCCION!$C$84:$C$87,DC14)*SUP_PRODUCCION!$C$82/MAX(DC6+DC7+DC8,1)+SUP_PRODUCCION!$C$81,SUP_PRODUCCION!$C$79)</f>
        <v>5.0459914964538485E-2</v>
      </c>
      <c r="DD16" s="162" cm="1">
        <f t="array" ref="DD16">IF(DD14&gt;=SUP_PRODUCCION!$C$80,INDEX(SUP_PRODUCCION!$C$84:$C$87,DD14)*SUP_PRODUCCION!$C$82/MAX(DD6+DD7+DD8,1)+SUP_PRODUCCION!$C$81,SUP_PRODUCCION!$C$79)</f>
        <v>5.0459914964538485E-2</v>
      </c>
      <c r="DE16" s="162" cm="1">
        <f t="array" ref="DE16">IF(DE14&gt;=SUP_PRODUCCION!$C$80,INDEX(SUP_PRODUCCION!$C$84:$C$87,DE14)*SUP_PRODUCCION!$C$82/MAX(DE6+DE7+DE8,1)+SUP_PRODUCCION!$C$81,SUP_PRODUCCION!$C$79)</f>
        <v>5.0459914964538485E-2</v>
      </c>
      <c r="DF16" s="162" cm="1">
        <f t="array" ref="DF16">IF(DF14&gt;=SUP_PRODUCCION!$C$80,INDEX(SUP_PRODUCCION!$C$84:$C$87,DF14)*SUP_PRODUCCION!$C$82/MAX(DF6+DF7+DF8,1)+SUP_PRODUCCION!$C$81,SUP_PRODUCCION!$C$79)</f>
        <v>5.0459914964538485E-2</v>
      </c>
      <c r="DG16" s="162" cm="1">
        <f t="array" ref="DG16">IF(DG14&gt;=SUP_PRODUCCION!$C$80,INDEX(SUP_PRODUCCION!$C$84:$C$87,DG14)*SUP_PRODUCCION!$C$82/MAX(DG6+DG7+DG8,1)+SUP_PRODUCCION!$C$81,SUP_PRODUCCION!$C$79)</f>
        <v>5.0459914964538485E-2</v>
      </c>
      <c r="DH16" s="162" cm="1">
        <f t="array" ref="DH16">IF(DH14&gt;=SUP_PRODUCCION!$C$80,INDEX(SUP_PRODUCCION!$C$84:$C$87,DH14)*SUP_PRODUCCION!$C$82/MAX(DH6+DH7+DH8,1)+SUP_PRODUCCION!$C$81,SUP_PRODUCCION!$C$79)</f>
        <v>5.0459914964538485E-2</v>
      </c>
      <c r="DI16" s="162" cm="1">
        <f t="array" ref="DI16">IF(DI14&gt;=SUP_PRODUCCION!$C$80,INDEX(SUP_PRODUCCION!$C$84:$C$87,DI14)*SUP_PRODUCCION!$C$82/MAX(DI6+DI7+DI8,1)+SUP_PRODUCCION!$C$81,SUP_PRODUCCION!$C$79)</f>
        <v>5.0459914964538485E-2</v>
      </c>
      <c r="DJ16" s="162" cm="1">
        <f t="array" ref="DJ16">IF(DJ14&gt;=SUP_PRODUCCION!$C$80,INDEX(SUP_PRODUCCION!$C$84:$C$87,DJ14)*SUP_PRODUCCION!$C$82/MAX(DJ6+DJ7+DJ8,1)+SUP_PRODUCCION!$C$81,SUP_PRODUCCION!$C$79)</f>
        <v>5.0459914964538485E-2</v>
      </c>
      <c r="DK16" s="162" cm="1">
        <f t="array" ref="DK16">IF(DK14&gt;=SUP_PRODUCCION!$C$80,INDEX(SUP_PRODUCCION!$C$84:$C$87,DK14)*SUP_PRODUCCION!$C$82/MAX(DK6+DK7+DK8,1)+SUP_PRODUCCION!$C$81,SUP_PRODUCCION!$C$79)</f>
        <v>5.0459914964538485E-2</v>
      </c>
      <c r="DL16" s="162" cm="1">
        <f t="array" ref="DL16">IF(DL14&gt;=SUP_PRODUCCION!$C$80,INDEX(SUP_PRODUCCION!$C$84:$C$87,DL14)*SUP_PRODUCCION!$C$82/MAX(DL6+DL7+DL8,1)+SUP_PRODUCCION!$C$81,SUP_PRODUCCION!$C$79)</f>
        <v>5.0459914964538485E-2</v>
      </c>
      <c r="DM16" s="162" cm="1">
        <f t="array" ref="DM16">IF(DM14&gt;=SUP_PRODUCCION!$C$80,INDEX(SUP_PRODUCCION!$C$84:$C$87,DM14)*SUP_PRODUCCION!$C$82/MAX(DM6+DM7+DM8,1)+SUP_PRODUCCION!$C$81,SUP_PRODUCCION!$C$79)</f>
        <v>5.0459914964538485E-2</v>
      </c>
      <c r="DN16" s="162" cm="1">
        <f t="array" ref="DN16">IF(DN14&gt;=SUP_PRODUCCION!$C$80,INDEX(SUP_PRODUCCION!$C$84:$C$87,DN14)*SUP_PRODUCCION!$C$82/MAX(DN6+DN7+DN8,1)+SUP_PRODUCCION!$C$81,SUP_PRODUCCION!$C$79)</f>
        <v>5.0459914964538485E-2</v>
      </c>
      <c r="DO16" s="162" cm="1">
        <f t="array" ref="DO16">IF(DO14&gt;=SUP_PRODUCCION!$C$80,INDEX(SUP_PRODUCCION!$C$84:$C$87,DO14)*SUP_PRODUCCION!$C$82/MAX(DO6+DO7+DO8,1)+SUP_PRODUCCION!$C$81,SUP_PRODUCCION!$C$79)</f>
        <v>5.0459914964538485E-2</v>
      </c>
      <c r="DP16" s="162" cm="1">
        <f t="array" ref="DP16">IF(DP14&gt;=SUP_PRODUCCION!$C$80,INDEX(SUP_PRODUCCION!$C$84:$C$87,DP14)*SUP_PRODUCCION!$C$82/MAX(DP6+DP7+DP8,1)+SUP_PRODUCCION!$C$81,SUP_PRODUCCION!$C$79)</f>
        <v>5.0459914964538485E-2</v>
      </c>
      <c r="DQ16" s="162" cm="1">
        <f t="array" ref="DQ16">IF(DQ14&gt;=SUP_PRODUCCION!$C$80,INDEX(SUP_PRODUCCION!$C$84:$C$87,DQ14)*SUP_PRODUCCION!$C$82/MAX(DQ6+DQ7+DQ8,1)+SUP_PRODUCCION!$C$81,SUP_PRODUCCION!$C$79)</f>
        <v>5.0459914964538485E-2</v>
      </c>
      <c r="DR16" s="162" cm="1">
        <f t="array" ref="DR16">IF(DR14&gt;=SUP_PRODUCCION!$C$80,INDEX(SUP_PRODUCCION!$C$84:$C$87,DR14)*SUP_PRODUCCION!$C$82/MAX(DR6+DR7+DR8,1)+SUP_PRODUCCION!$C$81,SUP_PRODUCCION!$C$79)</f>
        <v>5.0459914964538485E-2</v>
      </c>
      <c r="DS16" s="162" cm="1">
        <f t="array" ref="DS16">IF(DS14&gt;=SUP_PRODUCCION!$C$80,INDEX(SUP_PRODUCCION!$C$84:$C$87,DS14)*SUP_PRODUCCION!$C$82/MAX(DS6+DS7+DS8,1)+SUP_PRODUCCION!$C$81,SUP_PRODUCCION!$C$79)</f>
        <v>5.0459914964538485E-2</v>
      </c>
    </row>
    <row r="17" spans="1:123" ht="15" customHeight="1" x14ac:dyDescent="0.2">
      <c r="A17" s="25" t="s">
        <v>1272</v>
      </c>
      <c r="B17" s="267" t="s">
        <v>1837</v>
      </c>
      <c r="C17" s="26"/>
      <c r="D17" s="268">
        <f>(D6+D7+D8)*D16</f>
        <v>0</v>
      </c>
      <c r="E17" s="268">
        <f t="shared" ref="E17:BP17" si="16">(E6+E7+E8)*E16</f>
        <v>0</v>
      </c>
      <c r="F17" s="268">
        <f t="shared" si="16"/>
        <v>0</v>
      </c>
      <c r="G17" s="268">
        <f t="shared" si="16"/>
        <v>565.65599999999984</v>
      </c>
      <c r="H17" s="268">
        <f t="shared" si="16"/>
        <v>1252.5239999999999</v>
      </c>
      <c r="I17" s="268">
        <f t="shared" si="16"/>
        <v>2060.6039999999998</v>
      </c>
      <c r="J17" s="268">
        <f t="shared" si="16"/>
        <v>2953.5324000000001</v>
      </c>
      <c r="K17" s="268">
        <f t="shared" si="16"/>
        <v>3949.491</v>
      </c>
      <c r="L17" s="268">
        <f t="shared" si="16"/>
        <v>4246.4603999999999</v>
      </c>
      <c r="M17" s="268">
        <f t="shared" si="16"/>
        <v>4404.0360000000001</v>
      </c>
      <c r="N17" s="268">
        <f t="shared" si="16"/>
        <v>4404.0360000000001</v>
      </c>
      <c r="O17" s="268">
        <f t="shared" si="16"/>
        <v>4404.0360000000001</v>
      </c>
      <c r="P17" s="268">
        <f t="shared" si="16"/>
        <v>4404.0360000000001</v>
      </c>
      <c r="Q17" s="268">
        <f t="shared" si="16"/>
        <v>4404.0360000000001</v>
      </c>
      <c r="R17" s="268">
        <f t="shared" si="16"/>
        <v>4404.0360000000001</v>
      </c>
      <c r="S17" s="268">
        <f t="shared" si="16"/>
        <v>4404.0360000000001</v>
      </c>
      <c r="T17" s="268">
        <f t="shared" si="16"/>
        <v>4666.6620000000003</v>
      </c>
      <c r="U17" s="268">
        <f t="shared" si="16"/>
        <v>4727.268</v>
      </c>
      <c r="V17" s="268">
        <f t="shared" si="16"/>
        <v>5030.2979999999998</v>
      </c>
      <c r="W17" s="268">
        <f t="shared" si="16"/>
        <v>5393.9340000000002</v>
      </c>
      <c r="X17" s="268">
        <f t="shared" si="16"/>
        <v>5494.9440000000004</v>
      </c>
      <c r="Y17" s="268">
        <f t="shared" si="16"/>
        <v>5575.7520000000004</v>
      </c>
      <c r="Z17" s="268">
        <f t="shared" si="16"/>
        <v>5616.1559999999999</v>
      </c>
      <c r="AA17" s="268">
        <f t="shared" si="16"/>
        <v>7536.0259999999998</v>
      </c>
      <c r="AB17" s="268">
        <f t="shared" si="16"/>
        <v>7536.0259999999998</v>
      </c>
      <c r="AC17" s="268">
        <f t="shared" si="16"/>
        <v>7536.0259999999998</v>
      </c>
      <c r="AD17" s="268">
        <f t="shared" si="16"/>
        <v>7529.9654</v>
      </c>
      <c r="AE17" s="268">
        <f t="shared" si="16"/>
        <v>7529.9654</v>
      </c>
      <c r="AF17" s="268">
        <f t="shared" si="16"/>
        <v>7585.1606309999997</v>
      </c>
      <c r="AG17" s="268">
        <f t="shared" si="16"/>
        <v>7640.3558620000003</v>
      </c>
      <c r="AH17" s="268">
        <f t="shared" si="16"/>
        <v>7658.6454060000005</v>
      </c>
      <c r="AI17" s="268">
        <f t="shared" si="16"/>
        <v>7716.1268300000002</v>
      </c>
      <c r="AJ17" s="268">
        <f t="shared" si="16"/>
        <v>7774.9146499999997</v>
      </c>
      <c r="AK17" s="268">
        <f t="shared" si="16"/>
        <v>7791.2446</v>
      </c>
      <c r="AL17" s="268">
        <f t="shared" si="16"/>
        <v>7792.1873599999999</v>
      </c>
      <c r="AM17" s="268">
        <f t="shared" si="16"/>
        <v>7852.3236634999994</v>
      </c>
      <c r="AN17" s="268">
        <f t="shared" si="16"/>
        <v>7906.0963370000009</v>
      </c>
      <c r="AO17" s="268">
        <f t="shared" si="16"/>
        <v>7965.2780960000009</v>
      </c>
      <c r="AP17" s="268">
        <f t="shared" si="16"/>
        <v>8030.8234850000008</v>
      </c>
      <c r="AQ17" s="268">
        <f t="shared" si="16"/>
        <v>8053.0961900000002</v>
      </c>
      <c r="AR17" s="268">
        <f t="shared" si="16"/>
        <v>8119.5961235000004</v>
      </c>
      <c r="AS17" s="268">
        <f t="shared" si="16"/>
        <v>8138.3688320000001</v>
      </c>
      <c r="AT17" s="268">
        <f t="shared" si="16"/>
        <v>8188.0051460000004</v>
      </c>
      <c r="AU17" s="268">
        <f t="shared" si="16"/>
        <v>8247.1869050000005</v>
      </c>
      <c r="AV17" s="268">
        <f t="shared" si="16"/>
        <v>8263.0959800000001</v>
      </c>
      <c r="AW17" s="268">
        <f t="shared" si="16"/>
        <v>12675.823239999998</v>
      </c>
      <c r="AX17" s="268">
        <f t="shared" si="16"/>
        <v>12682.18687</v>
      </c>
      <c r="AY17" s="268">
        <f t="shared" si="16"/>
        <v>12682.18687</v>
      </c>
      <c r="AZ17" s="268">
        <f t="shared" si="16"/>
        <v>12682.18687</v>
      </c>
      <c r="BA17" s="268">
        <f t="shared" si="16"/>
        <v>12657.102719999999</v>
      </c>
      <c r="BB17" s="268">
        <f t="shared" si="16"/>
        <v>12657.102719999999</v>
      </c>
      <c r="BC17" s="268">
        <f t="shared" si="16"/>
        <v>12657.102719999999</v>
      </c>
      <c r="BD17" s="268">
        <f t="shared" si="16"/>
        <v>12737.641359999998</v>
      </c>
      <c r="BE17" s="268">
        <f t="shared" si="16"/>
        <v>12796.496520000001</v>
      </c>
      <c r="BF17" s="268">
        <f t="shared" si="16"/>
        <v>12845.823069999999</v>
      </c>
      <c r="BG17" s="268">
        <f t="shared" si="16"/>
        <v>12915.21694</v>
      </c>
      <c r="BH17" s="268">
        <f t="shared" si="16"/>
        <v>12977.641119999998</v>
      </c>
      <c r="BI17" s="268">
        <f t="shared" si="16"/>
        <v>13040.0653</v>
      </c>
      <c r="BJ17" s="268">
        <f t="shared" si="16"/>
        <v>13112.48947</v>
      </c>
      <c r="BK17" s="268">
        <f t="shared" si="16"/>
        <v>13143.782368</v>
      </c>
      <c r="BL17" s="268">
        <f t="shared" si="16"/>
        <v>13204.819344000001</v>
      </c>
      <c r="BM17" s="268">
        <f t="shared" si="16"/>
        <v>13265.856320000001</v>
      </c>
      <c r="BN17" s="268">
        <f t="shared" si="16"/>
        <v>13336.671064</v>
      </c>
      <c r="BO17" s="268">
        <f t="shared" si="16"/>
        <v>13398.596928000001</v>
      </c>
      <c r="BP17" s="268">
        <f t="shared" si="16"/>
        <v>13430.219792000002</v>
      </c>
      <c r="BQ17" s="268">
        <f t="shared" ref="BQ17:DS17" si="17">(BQ6+BQ7+BQ8)*BQ16</f>
        <v>13490.216365</v>
      </c>
      <c r="BR17" s="268">
        <f t="shared" si="17"/>
        <v>13559.824039500001</v>
      </c>
      <c r="BS17" s="268">
        <f t="shared" si="17"/>
        <v>13658.556264000001</v>
      </c>
      <c r="BT17" s="268">
        <f t="shared" si="17"/>
        <v>13727.290202</v>
      </c>
      <c r="BU17" s="268">
        <f t="shared" si="17"/>
        <v>13757.40465</v>
      </c>
      <c r="BV17" s="268">
        <f t="shared" si="17"/>
        <v>13820.367549999999</v>
      </c>
      <c r="BW17" s="268">
        <f t="shared" si="17"/>
        <v>13888.768155000002</v>
      </c>
      <c r="BX17" s="268">
        <f t="shared" si="17"/>
        <v>13948.582910000001</v>
      </c>
      <c r="BY17" s="268">
        <f t="shared" si="17"/>
        <v>14007.539079999999</v>
      </c>
      <c r="BZ17" s="268">
        <f t="shared" si="17"/>
        <v>14075.821840000001</v>
      </c>
      <c r="CA17" s="268">
        <f t="shared" si="17"/>
        <v>14151.902572000001</v>
      </c>
      <c r="CB17" s="268">
        <f t="shared" si="17"/>
        <v>16416.670183999999</v>
      </c>
      <c r="CC17" s="268">
        <f t="shared" si="17"/>
        <v>16443.821671999998</v>
      </c>
      <c r="CD17" s="268">
        <f t="shared" si="17"/>
        <v>16456.831759999997</v>
      </c>
      <c r="CE17" s="268">
        <f t="shared" si="17"/>
        <v>16462.48832</v>
      </c>
      <c r="CF17" s="268">
        <f t="shared" si="17"/>
        <v>16462.48832</v>
      </c>
      <c r="CG17" s="268">
        <f t="shared" si="17"/>
        <v>16462.48832</v>
      </c>
      <c r="CH17" s="268">
        <f t="shared" si="17"/>
        <v>16462.48832</v>
      </c>
      <c r="CI17" s="268">
        <f t="shared" si="17"/>
        <v>16462.48832</v>
      </c>
      <c r="CJ17" s="268">
        <f t="shared" si="17"/>
        <v>16462.48832</v>
      </c>
      <c r="CK17" s="268">
        <f t="shared" si="17"/>
        <v>16462.48832</v>
      </c>
      <c r="CL17" s="268">
        <f t="shared" si="17"/>
        <v>16462.48832</v>
      </c>
      <c r="CM17" s="268">
        <f t="shared" si="17"/>
        <v>16462.48832</v>
      </c>
      <c r="CN17" s="268">
        <f t="shared" si="17"/>
        <v>16462.48832</v>
      </c>
      <c r="CO17" s="268">
        <f t="shared" si="17"/>
        <v>16462.48832</v>
      </c>
      <c r="CP17" s="268">
        <f t="shared" si="17"/>
        <v>16462.48832</v>
      </c>
      <c r="CQ17" s="268">
        <f t="shared" si="17"/>
        <v>16462.48832</v>
      </c>
      <c r="CR17" s="268">
        <f t="shared" si="17"/>
        <v>16462.48832</v>
      </c>
      <c r="CS17" s="268">
        <f t="shared" si="17"/>
        <v>16462.48832</v>
      </c>
      <c r="CT17" s="268">
        <f t="shared" si="17"/>
        <v>16462.48832</v>
      </c>
      <c r="CU17" s="268">
        <f t="shared" si="17"/>
        <v>16462.48832</v>
      </c>
      <c r="CV17" s="268">
        <f t="shared" si="17"/>
        <v>16462.48832</v>
      </c>
      <c r="CW17" s="268">
        <f t="shared" si="17"/>
        <v>16462.48832</v>
      </c>
      <c r="CX17" s="268">
        <f t="shared" si="17"/>
        <v>16462.48832</v>
      </c>
      <c r="CY17" s="268">
        <f t="shared" si="17"/>
        <v>16462.48832</v>
      </c>
      <c r="CZ17" s="268">
        <f t="shared" si="17"/>
        <v>16462.48832</v>
      </c>
      <c r="DA17" s="268">
        <f t="shared" si="17"/>
        <v>16462.48832</v>
      </c>
      <c r="DB17" s="268">
        <f t="shared" si="17"/>
        <v>16462.48832</v>
      </c>
      <c r="DC17" s="268">
        <f t="shared" si="17"/>
        <v>16462.48832</v>
      </c>
      <c r="DD17" s="268">
        <f t="shared" si="17"/>
        <v>16462.48832</v>
      </c>
      <c r="DE17" s="268">
        <f t="shared" si="17"/>
        <v>16462.48832</v>
      </c>
      <c r="DF17" s="268">
        <f t="shared" si="17"/>
        <v>16462.48832</v>
      </c>
      <c r="DG17" s="268">
        <f t="shared" si="17"/>
        <v>16462.48832</v>
      </c>
      <c r="DH17" s="268">
        <f t="shared" si="17"/>
        <v>16462.48832</v>
      </c>
      <c r="DI17" s="268">
        <f t="shared" si="17"/>
        <v>16462.48832</v>
      </c>
      <c r="DJ17" s="268">
        <f t="shared" si="17"/>
        <v>16462.48832</v>
      </c>
      <c r="DK17" s="268">
        <f t="shared" si="17"/>
        <v>16462.48832</v>
      </c>
      <c r="DL17" s="268">
        <f t="shared" si="17"/>
        <v>16462.48832</v>
      </c>
      <c r="DM17" s="268">
        <f t="shared" si="17"/>
        <v>16462.48832</v>
      </c>
      <c r="DN17" s="268">
        <f t="shared" si="17"/>
        <v>16462.48832</v>
      </c>
      <c r="DO17" s="268">
        <f t="shared" si="17"/>
        <v>16462.48832</v>
      </c>
      <c r="DP17" s="268">
        <f t="shared" si="17"/>
        <v>16462.48832</v>
      </c>
      <c r="DQ17" s="268">
        <f t="shared" si="17"/>
        <v>16462.48832</v>
      </c>
      <c r="DR17" s="268">
        <f t="shared" si="17"/>
        <v>16462.48832</v>
      </c>
      <c r="DS17" s="268">
        <f t="shared" si="17"/>
        <v>16462.48832</v>
      </c>
    </row>
    <row r="18" spans="1:123" ht="15" customHeight="1" x14ac:dyDescent="0.2">
      <c r="A18" s="25"/>
      <c r="B18" s="267" t="s">
        <v>1934</v>
      </c>
      <c r="C18" s="26"/>
      <c r="D18" s="283" cm="1">
        <f t="array" ref="D18">INDEX(SUP_PLANTA_OPEX!$C$33:$F$33,D14)/MAX(D6+D7+D8,1)+SUP_PLANTA_OPEX!$C$30</f>
        <v>10945.104375000001</v>
      </c>
      <c r="E18" s="283" cm="1">
        <f t="array" ref="E18">INDEX(SUP_PLANTA_OPEX!$C$33:$F$33,E14)/MAX(E6+E7+E8,1)+SUP_PLANTA_OPEX!$C$30</f>
        <v>10945.104375000001</v>
      </c>
      <c r="F18" s="283" cm="1">
        <f t="array" ref="F18">INDEX(SUP_PLANTA_OPEX!$C$33:$F$33,F14)/MAX(F6+F7+F8,1)+SUP_PLANTA_OPEX!$C$30</f>
        <v>10945.104375000001</v>
      </c>
      <c r="G18" s="283" cm="1">
        <f t="array" ref="G18">INDEX(SUP_PLANTA_OPEX!$C$33:$F$33,G14)/MAX(G6+G7+G8,1)+SUP_PLANTA_OPEX!$C$30</f>
        <v>1.180961896452968</v>
      </c>
      <c r="H18" s="283" cm="1">
        <f t="array" ref="H18">INDEX(SUP_PLANTA_OPEX!$C$33:$F$33,H14)/MAX(H6+H7+H8,1)+SUP_PLANTA_OPEX!$C$30</f>
        <v>0.54430537259166301</v>
      </c>
      <c r="I18" s="283" cm="1">
        <f t="array" ref="I18">INDEX(SUP_PLANTA_OPEX!$C$33:$F$33,I14)/MAX(I6+I7+I8,1)+SUP_PLANTA_OPEX!$C$30</f>
        <v>0.33869542255571666</v>
      </c>
      <c r="J18" s="283" cm="1">
        <f t="array" ref="J18">INDEX(SUP_PLANTA_OPEX!$C$33:$F$33,J14)/MAX(J6+J7+J8,1)+SUP_PLANTA_OPEX!$C$30</f>
        <v>0.24234564364352326</v>
      </c>
      <c r="K18" s="283" cm="1">
        <f t="array" ref="K18">INDEX(SUP_PLANTA_OPEX!$C$33:$F$33,K14)/MAX(K6+K7+K8,1)+SUP_PLANTA_OPEX!$C$30</f>
        <v>0.18627587263776521</v>
      </c>
      <c r="L18" s="283" cm="1">
        <f t="array" ref="L18">INDEX(SUP_PLANTA_OPEX!$C$33:$F$33,L14)/MAX(L6+L7+L8,1)+SUP_PLANTA_OPEX!$C$30</f>
        <v>0.17464763606414416</v>
      </c>
      <c r="M18" s="283" cm="1">
        <f t="array" ref="M18">INDEX(SUP_PLANTA_OPEX!$C$33:$F$33,M14)/MAX(M6+M7+M8,1)+SUP_PLANTA_OPEX!$C$30</f>
        <v>0.16911437202148211</v>
      </c>
      <c r="N18" s="283" cm="1">
        <f t="array" ref="N18">INDEX(SUP_PLANTA_OPEX!$C$33:$F$33,N14)/MAX(N6+N7+N8,1)+SUP_PLANTA_OPEX!$C$30</f>
        <v>0.16911437202148211</v>
      </c>
      <c r="O18" s="283" cm="1">
        <f t="array" ref="O18">INDEX(SUP_PLANTA_OPEX!$C$33:$F$33,O14)/MAX(O6+O7+O8,1)+SUP_PLANTA_OPEX!$C$30</f>
        <v>0.16911437202148211</v>
      </c>
      <c r="P18" s="283" cm="1">
        <f t="array" ref="P18">INDEX(SUP_PLANTA_OPEX!$C$33:$F$33,P14)/MAX(P6+P7+P8,1)+SUP_PLANTA_OPEX!$C$30</f>
        <v>0.16911437202148211</v>
      </c>
      <c r="Q18" s="283" cm="1">
        <f t="array" ref="Q18">INDEX(SUP_PLANTA_OPEX!$C$33:$F$33,Q14)/MAX(Q6+Q7+Q8,1)+SUP_PLANTA_OPEX!$C$30</f>
        <v>0.16911437202148211</v>
      </c>
      <c r="R18" s="283" cm="1">
        <f t="array" ref="R18">INDEX(SUP_PLANTA_OPEX!$C$33:$F$33,R14)/MAX(R6+R7+R8,1)+SUP_PLANTA_OPEX!$C$30</f>
        <v>0.16911437202148211</v>
      </c>
      <c r="S18" s="283" cm="1">
        <f t="array" ref="S18">INDEX(SUP_PLANTA_OPEX!$C$33:$F$33,S14)/MAX(S6+S7+S8,1)+SUP_PLANTA_OPEX!$C$30</f>
        <v>0.16911437202148211</v>
      </c>
      <c r="T18" s="283" cm="1">
        <f t="array" ref="T18">INDEX(SUP_PLANTA_OPEX!$C$33:$F$33,T14)/MAX(T6+T7+T8,1)+SUP_PLANTA_OPEX!$C$30</f>
        <v>0.16072265411551123</v>
      </c>
      <c r="U18" s="283" cm="1">
        <f t="array" ref="U18">INDEX(SUP_PLANTA_OPEX!$C$33:$F$33,U14)/MAX(U6+U7+U8,1)+SUP_PLANTA_OPEX!$C$30</f>
        <v>0.15891851752428673</v>
      </c>
      <c r="V18" s="283" cm="1">
        <f t="array" ref="V18">INDEX(SUP_PLANTA_OPEX!$C$33:$F$33,V14)/MAX(V6+V7+V8,1)+SUP_PLANTA_OPEX!$C$30</f>
        <v>0.15054993213125742</v>
      </c>
      <c r="W18" s="283" cm="1">
        <f t="array" ref="W18">INDEX(SUP_PLANTA_OPEX!$C$33:$F$33,W14)/MAX(W6+W7+W8,1)+SUP_PLANTA_OPEX!$C$30</f>
        <v>0.14174881311117266</v>
      </c>
      <c r="X18" s="283" cm="1">
        <f t="array" ref="X18">INDEX(SUP_PLANTA_OPEX!$C$33:$F$33,X14)/MAX(X6+X7+X8,1)+SUP_PLANTA_OPEX!$C$30</f>
        <v>0.13951078345839374</v>
      </c>
      <c r="Y18" s="283" cm="1">
        <f t="array" ref="Y18">INDEX(SUP_PLANTA_OPEX!$C$33:$F$33,Y14)/MAX(Y6+Y7+Y8,1)+SUP_PLANTA_OPEX!$C$30</f>
        <v>0.13777874311841701</v>
      </c>
      <c r="Z18" s="283" cm="1">
        <f t="array" ref="Z18">INDEX(SUP_PLANTA_OPEX!$C$33:$F$33,Z14)/MAX(Z6+Z7+Z8,1)+SUP_PLANTA_OPEX!$C$30</f>
        <v>0.13693141403123416</v>
      </c>
      <c r="AA18" s="283" cm="1">
        <f t="array" ref="AA18">INDEX(SUP_PLANTA_OPEX!$C$33:$F$33,AA14)/MAX(AA6+AA7+AA8,1)+SUP_PLANTA_OPEX!$C$30</f>
        <v>0.17977210435393887</v>
      </c>
      <c r="AB18" s="283" cm="1">
        <f t="array" ref="AB18">INDEX(SUP_PLANTA_OPEX!$C$33:$F$33,AB14)/MAX(AB6+AB7+AB8,1)+SUP_PLANTA_OPEX!$C$30</f>
        <v>0.17977210435393887</v>
      </c>
      <c r="AC18" s="283" cm="1">
        <f t="array" ref="AC18">INDEX(SUP_PLANTA_OPEX!$C$33:$F$33,AC14)/MAX(AC6+AC7+AC8,1)+SUP_PLANTA_OPEX!$C$30</f>
        <v>0.17977210435393887</v>
      </c>
      <c r="AD18" s="283" cm="1">
        <f t="array" ref="AD18">INDEX(SUP_PLANTA_OPEX!$C$33:$F$33,AD14)/MAX(AD6+AD7+AD8,1)+SUP_PLANTA_OPEX!$C$30</f>
        <v>0.18081334181895367</v>
      </c>
      <c r="AE18" s="283" cm="1">
        <f t="array" ref="AE18">INDEX(SUP_PLANTA_OPEX!$C$33:$F$33,AE14)/MAX(AE6+AE7+AE8,1)+SUP_PLANTA_OPEX!$C$30</f>
        <v>0.18081334181895367</v>
      </c>
      <c r="AF18" s="283" cm="1">
        <f t="array" ref="AF18">INDEX(SUP_PLANTA_OPEX!$C$33:$F$33,AF14)/MAX(AF6+AF7+AF8,1)+SUP_PLANTA_OPEX!$C$30</f>
        <v>0.17180351208126993</v>
      </c>
      <c r="AG18" s="283" cm="1">
        <f t="array" ref="AG18">INDEX(SUP_PLANTA_OPEX!$C$33:$F$33,AG14)/MAX(AG6+AG7+AG8,1)+SUP_PLANTA_OPEX!$C$30</f>
        <v>0.163749700667328</v>
      </c>
      <c r="AH18" s="283" cm="1">
        <f t="array" ref="AH18">INDEX(SUP_PLANTA_OPEX!$C$33:$F$33,AH14)/MAX(AH6+AH7+AH8,1)+SUP_PLANTA_OPEX!$C$30</f>
        <v>0.16126622842965418</v>
      </c>
      <c r="AI18" s="283" cm="1">
        <f t="array" ref="AI18">INDEX(SUP_PLANTA_OPEX!$C$33:$F$33,AI14)/MAX(AI6+AI7+AI8,1)+SUP_PLANTA_OPEX!$C$30</f>
        <v>0.15399090473436605</v>
      </c>
      <c r="AJ18" s="283" cm="1">
        <f t="array" ref="AJ18">INDEX(SUP_PLANTA_OPEX!$C$33:$F$33,AJ14)/MAX(AJ6+AJ7+AJ8,1)+SUP_PLANTA_OPEX!$C$30</f>
        <v>0.14728655970882648</v>
      </c>
      <c r="AK18" s="283" cm="1">
        <f t="array" ref="AK18">INDEX(SUP_PLANTA_OPEX!$C$33:$F$33,AK14)/MAX(AK6+AK7+AK8,1)+SUP_PLANTA_OPEX!$C$30</f>
        <v>0.14554167611756644</v>
      </c>
      <c r="AL18" s="283" cm="1">
        <f t="array" ref="AL18">INDEX(SUP_PLANTA_OPEX!$C$33:$F$33,AL14)/MAX(AL6+AL7+AL8,1)+SUP_PLANTA_OPEX!$C$30</f>
        <v>0.14544240005195155</v>
      </c>
      <c r="AM18" s="283" cm="1">
        <f t="array" ref="AM18">INDEX(SUP_PLANTA_OPEX!$C$33:$F$33,AM14)/MAX(AM6+AM7+AM8,1)+SUP_PLANTA_OPEX!$C$30</f>
        <v>0.13941868393034643</v>
      </c>
      <c r="AN18" s="283" cm="1">
        <f t="array" ref="AN18">INDEX(SUP_PLANTA_OPEX!$C$33:$F$33,AN14)/MAX(AN6+AN7+AN8,1)+SUP_PLANTA_OPEX!$C$30</f>
        <v>0.13450215387136485</v>
      </c>
      <c r="AO18" s="283" cm="1">
        <f t="array" ref="AO18">INDEX(SUP_PLANTA_OPEX!$C$33:$F$33,AO14)/MAX(AO6+AO7+AO8,1)+SUP_PLANTA_OPEX!$C$30</f>
        <v>0.12953874099947474</v>
      </c>
      <c r="AP18" s="283" cm="1">
        <f t="array" ref="AP18">INDEX(SUP_PLANTA_OPEX!$C$33:$F$33,AP14)/MAX(AP6+AP7+AP8,1)+SUP_PLANTA_OPEX!$C$30</f>
        <v>0.12452081987597512</v>
      </c>
      <c r="AQ18" s="283" cm="1">
        <f t="array" ref="AQ18">INDEX(SUP_PLANTA_OPEX!$C$33:$F$33,AQ14)/MAX(AQ6+AQ7+AQ8,1)+SUP_PLANTA_OPEX!$C$30</f>
        <v>0.12291875016890658</v>
      </c>
      <c r="AR18" s="283" cm="1">
        <f t="array" ref="AR18">INDEX(SUP_PLANTA_OPEX!$C$33:$F$33,AR14)/MAX(AR6+AR7+AR8,1)+SUP_PLANTA_OPEX!$C$30</f>
        <v>0.11841486263175506</v>
      </c>
      <c r="AS18" s="283" cm="1">
        <f t="array" ref="AS18">INDEX(SUP_PLANTA_OPEX!$C$33:$F$33,AS14)/MAX(AS6+AS7+AS8,1)+SUP_PLANTA_OPEX!$C$30</f>
        <v>0.11721390646973276</v>
      </c>
      <c r="AT18" s="283" cm="1">
        <f t="array" ref="AT18">INDEX(SUP_PLANTA_OPEX!$C$33:$F$33,AT14)/MAX(AT6+AT7+AT8,1)+SUP_PLANTA_OPEX!$C$30</f>
        <v>0.114175289120883</v>
      </c>
      <c r="AU18" s="283" cm="1">
        <f t="array" ref="AU18">INDEX(SUP_PLANTA_OPEX!$C$33:$F$33,AU14)/MAX(AU6+AU7+AU8,1)+SUP_PLANTA_OPEX!$C$30</f>
        <v>0.11079166626206272</v>
      </c>
      <c r="AV18" s="283" cm="1">
        <f t="array" ref="AV18">INDEX(SUP_PLANTA_OPEX!$C$33:$F$33,AV14)/MAX(AV6+AV7+AV8,1)+SUP_PLANTA_OPEX!$C$30</f>
        <v>0.10992315870428597</v>
      </c>
      <c r="AW18" s="283" cm="1">
        <f t="array" ref="AW18">INDEX(SUP_PLANTA_OPEX!$C$33:$F$33,AW14)/MAX(AW6+AW7+AW8,1)+SUP_PLANTA_OPEX!$C$30</f>
        <v>0.15241303644291265</v>
      </c>
      <c r="AX18" s="283" cm="1">
        <f t="array" ref="AX18">INDEX(SUP_PLANTA_OPEX!$C$33:$F$33,AX14)/MAX(AX6+AX7+AX8,1)+SUP_PLANTA_OPEX!$C$30</f>
        <v>0.15191212445380695</v>
      </c>
      <c r="AY18" s="283" cm="1">
        <f t="array" ref="AY18">INDEX(SUP_PLANTA_OPEX!$C$33:$F$33,AY14)/MAX(AY6+AY7+AY8,1)+SUP_PLANTA_OPEX!$C$30</f>
        <v>0.15191212445380695</v>
      </c>
      <c r="AZ18" s="283" cm="1">
        <f t="array" ref="AZ18">INDEX(SUP_PLANTA_OPEX!$C$33:$F$33,AZ14)/MAX(AZ6+AZ7+AZ8,1)+SUP_PLANTA_OPEX!$C$30</f>
        <v>0.15191212445380695</v>
      </c>
      <c r="BA18" s="283" cm="1">
        <f t="array" ref="BA18">INDEX(SUP_PLANTA_OPEX!$C$33:$F$33,BA14)/MAX(BA6+BA7+BA8,1)+SUP_PLANTA_OPEX!$C$30</f>
        <v>0.15390892493978886</v>
      </c>
      <c r="BB18" s="283" cm="1">
        <f t="array" ref="BB18">INDEX(SUP_PLANTA_OPEX!$C$33:$F$33,BB14)/MAX(BB6+BB7+BB8,1)+SUP_PLANTA_OPEX!$C$30</f>
        <v>0.15390892493978886</v>
      </c>
      <c r="BC18" s="283" cm="1">
        <f t="array" ref="BC18">INDEX(SUP_PLANTA_OPEX!$C$33:$F$33,BC14)/MAX(BC6+BC7+BC8,1)+SUP_PLANTA_OPEX!$C$30</f>
        <v>0.15390892493978886</v>
      </c>
      <c r="BD18" s="283" cm="1">
        <f t="array" ref="BD18">INDEX(SUP_PLANTA_OPEX!$C$33:$F$33,BD14)/MAX(BD6+BD7+BD8,1)+SUP_PLANTA_OPEX!$C$30</f>
        <v>0.14770232618657281</v>
      </c>
      <c r="BE18" s="283" cm="1">
        <f t="array" ref="BE18">INDEX(SUP_PLANTA_OPEX!$C$33:$F$33,BE14)/MAX(BE6+BE7+BE8,1)+SUP_PLANTA_OPEX!$C$30</f>
        <v>0.14351866050372308</v>
      </c>
      <c r="BF18" s="283" cm="1">
        <f t="array" ref="BF18">INDEX(SUP_PLANTA_OPEX!$C$33:$F$33,BF14)/MAX(BF6+BF7+BF8,1)+SUP_PLANTA_OPEX!$C$30</f>
        <v>0.1402178298432471</v>
      </c>
      <c r="BG18" s="283" cm="1">
        <f t="array" ref="BG18">INDEX(SUP_PLANTA_OPEX!$C$33:$F$33,BG14)/MAX(BG6+BG7+BG8,1)+SUP_PLANTA_OPEX!$C$30</f>
        <v>0.13586198885124728</v>
      </c>
      <c r="BH18" s="283" cm="1">
        <f t="array" ref="BH18">INDEX(SUP_PLANTA_OPEX!$C$33:$F$33,BH14)/MAX(BH6+BH7+BH8,1)+SUP_PLANTA_OPEX!$C$30</f>
        <v>0.13220480880272148</v>
      </c>
      <c r="BI18" s="283" cm="1">
        <f t="array" ref="BI18">INDEX(SUP_PLANTA_OPEX!$C$33:$F$33,BI14)/MAX(BI6+BI7+BI8,1)+SUP_PLANTA_OPEX!$C$30</f>
        <v>0.12877144165434312</v>
      </c>
      <c r="BJ18" s="283" cm="1">
        <f t="array" ref="BJ18">INDEX(SUP_PLANTA_OPEX!$C$33:$F$33,BJ14)/MAX(BJ6+BJ7+BJ8,1)+SUP_PLANTA_OPEX!$C$30</f>
        <v>0.12504234312230678</v>
      </c>
      <c r="BK18" s="283" cm="1">
        <f t="array" ref="BK18">INDEX(SUP_PLANTA_OPEX!$C$33:$F$33,BK14)/MAX(BK6+BK7+BK8,1)+SUP_PLANTA_OPEX!$C$30</f>
        <v>0.12350903480795865</v>
      </c>
      <c r="BL18" s="283" cm="1">
        <f t="array" ref="BL18">INDEX(SUP_PLANTA_OPEX!$C$33:$F$33,BL14)/MAX(BL6+BL7+BL8,1)+SUP_PLANTA_OPEX!$C$30</f>
        <v>0.12064354902992905</v>
      </c>
      <c r="BM18" s="283" cm="1">
        <f t="array" ref="BM18">INDEX(SUP_PLANTA_OPEX!$C$33:$F$33,BM14)/MAX(BM6+BM7+BM8,1)+SUP_PLANTA_OPEX!$C$30</f>
        <v>0.11793244249043999</v>
      </c>
      <c r="BN18" s="283" cm="1">
        <f t="array" ref="BN18">INDEX(SUP_PLANTA_OPEX!$C$33:$F$33,BN14)/MAX(BN6+BN7+BN8,1)+SUP_PLANTA_OPEX!$C$30</f>
        <v>0.11496451904109341</v>
      </c>
      <c r="BO18" s="283" cm="1">
        <f t="array" ref="BO18">INDEX(SUP_PLANTA_OPEX!$C$33:$F$33,BO14)/MAX(BO6+BO7+BO8,1)+SUP_PLANTA_OPEX!$C$30</f>
        <v>0.11251276909414934</v>
      </c>
      <c r="BP18" s="283" cm="1">
        <f t="array" ref="BP18">INDEX(SUP_PLANTA_OPEX!$C$33:$F$33,BP14)/MAX(BP6+BP7+BP8,1)+SUP_PLANTA_OPEX!$C$30</f>
        <v>0.11130896081106394</v>
      </c>
      <c r="BQ18" s="283" cm="1">
        <f t="array" ref="BQ18">INDEX(SUP_PLANTA_OPEX!$C$33:$F$33,BQ14)/MAX(BQ6+BQ7+BQ8,1)+SUP_PLANTA_OPEX!$C$30</f>
        <v>0.10910906171400088</v>
      </c>
      <c r="BR18" s="283" cm="1">
        <f t="array" ref="BR18">INDEX(SUP_PLANTA_OPEX!$C$33:$F$33,BR14)/MAX(BR6+BR7+BR8,1)+SUP_PLANTA_OPEX!$C$30</f>
        <v>0.10668597541311586</v>
      </c>
      <c r="BS18" s="283" cm="1">
        <f t="array" ref="BS18">INDEX(SUP_PLANTA_OPEX!$C$33:$F$33,BS14)/MAX(BS6+BS7+BS8,1)+SUP_PLANTA_OPEX!$C$30</f>
        <v>0.10346667202601657</v>
      </c>
      <c r="BT18" s="283" cm="1">
        <f t="array" ref="BT18">INDEX(SUP_PLANTA_OPEX!$C$33:$F$33,BT14)/MAX(BT6+BT7+BT8,1)+SUP_PLANTA_OPEX!$C$30</f>
        <v>0.10136312138226938</v>
      </c>
      <c r="BU18" s="283" cm="1">
        <f t="array" ref="BU18">INDEX(SUP_PLANTA_OPEX!$C$33:$F$33,BU14)/MAX(BU6+BU7+BU8,1)+SUP_PLANTA_OPEX!$C$30</f>
        <v>0.10047453018910374</v>
      </c>
      <c r="BV18" s="283" cm="1">
        <f t="array" ref="BV18">INDEX(SUP_PLANTA_OPEX!$C$33:$F$33,BV14)/MAX(BV6+BV7+BV8,1)+SUP_PLANTA_OPEX!$C$30</f>
        <v>9.8677987821126356E-2</v>
      </c>
      <c r="BW18" s="283" cm="1">
        <f t="array" ref="BW18">INDEX(SUP_PLANTA_OPEX!$C$33:$F$33,BW14)/MAX(BW6+BW7+BW8,1)+SUP_PLANTA_OPEX!$C$30</f>
        <v>9.6815040821439685E-2</v>
      </c>
      <c r="BX18" s="283" cm="1">
        <f t="array" ref="BX18">INDEX(SUP_PLANTA_OPEX!$C$33:$F$33,BX14)/MAX(BX6+BX7+BX8,1)+SUP_PLANTA_OPEX!$C$30</f>
        <v>9.5256776059249426E-2</v>
      </c>
      <c r="BY18" s="283" cm="1">
        <f t="array" ref="BY18">INDEX(SUP_PLANTA_OPEX!$C$33:$F$33,BY14)/MAX(BY6+BY7+BY8,1)+SUP_PLANTA_OPEX!$C$30</f>
        <v>9.3781532956838595E-2</v>
      </c>
      <c r="BZ18" s="283" cm="1">
        <f t="array" ref="BZ18">INDEX(SUP_PLANTA_OPEX!$C$33:$F$33,BZ14)/MAX(BZ6+BZ7+BZ8,1)+SUP_PLANTA_OPEX!$C$30</f>
        <v>9.2143594555528632E-2</v>
      </c>
      <c r="CA18" s="283" cm="1">
        <f t="array" ref="CA18">INDEX(SUP_PLANTA_OPEX!$C$33:$F$33,CA14)/MAX(CA6+CA7+CA8,1)+SUP_PLANTA_OPEX!$C$30</f>
        <v>9.0402190004621769E-2</v>
      </c>
      <c r="CB18" s="283" cm="1">
        <f t="array" ref="CB18">INDEX(SUP_PLANTA_OPEX!$C$33:$F$33,CB14)/MAX(CB6+CB7+CB8,1)+SUP_PLANTA_OPEX!$C$30</f>
        <v>0.10176183093255546</v>
      </c>
      <c r="CC18" s="283" cm="1">
        <f t="array" ref="CC18">INDEX(SUP_PLANTA_OPEX!$C$33:$F$33,CC14)/MAX(CC6+CC7+CC8,1)+SUP_PLANTA_OPEX!$C$30</f>
        <v>0.10107746674860987</v>
      </c>
      <c r="CD18" s="283" cm="1">
        <f t="array" ref="CD18">INDEX(SUP_PLANTA_OPEX!$C$33:$F$33,CD14)/MAX(CD6+CD7+CD8,1)+SUP_PLANTA_OPEX!$C$30</f>
        <v>0.10075358604031792</v>
      </c>
      <c r="CE18" s="283" cm="1">
        <f t="array" ref="CE18">INDEX(SUP_PLANTA_OPEX!$C$33:$F$33,CE14)/MAX(CE6+CE7+CE8,1)+SUP_PLANTA_OPEX!$C$30</f>
        <v>0.1006135740433854</v>
      </c>
      <c r="CF18" s="283" cm="1">
        <f t="array" ref="CF18">INDEX(SUP_PLANTA_OPEX!$C$33:$F$33,CF14)/MAX(CF6+CF7+CF8,1)+SUP_PLANTA_OPEX!$C$30</f>
        <v>0.1006135740433854</v>
      </c>
      <c r="CG18" s="283" cm="1">
        <f t="array" ref="CG18">INDEX(SUP_PLANTA_OPEX!$C$33:$F$33,CG14)/MAX(CG6+CG7+CG8,1)+SUP_PLANTA_OPEX!$C$30</f>
        <v>0.1006135740433854</v>
      </c>
      <c r="CH18" s="283" cm="1">
        <f t="array" ref="CH18">INDEX(SUP_PLANTA_OPEX!$C$33:$F$33,CH14)/MAX(CH6+CH7+CH8,1)+SUP_PLANTA_OPEX!$C$30</f>
        <v>0.1006135740433854</v>
      </c>
      <c r="CI18" s="283" cm="1">
        <f t="array" ref="CI18">INDEX(SUP_PLANTA_OPEX!$C$33:$F$33,CI14)/MAX(CI6+CI7+CI8,1)+SUP_PLANTA_OPEX!$C$30</f>
        <v>0.1006135740433854</v>
      </c>
      <c r="CJ18" s="283" cm="1">
        <f t="array" ref="CJ18">INDEX(SUP_PLANTA_OPEX!$C$33:$F$33,CJ14)/MAX(CJ6+CJ7+CJ8,1)+SUP_PLANTA_OPEX!$C$30</f>
        <v>0.1006135740433854</v>
      </c>
      <c r="CK18" s="283" cm="1">
        <f t="array" ref="CK18">INDEX(SUP_PLANTA_OPEX!$C$33:$F$33,CK14)/MAX(CK6+CK7+CK8,1)+SUP_PLANTA_OPEX!$C$30</f>
        <v>0.1006135740433854</v>
      </c>
      <c r="CL18" s="283" cm="1">
        <f t="array" ref="CL18">INDEX(SUP_PLANTA_OPEX!$C$33:$F$33,CL14)/MAX(CL6+CL7+CL8,1)+SUP_PLANTA_OPEX!$C$30</f>
        <v>0.1006135740433854</v>
      </c>
      <c r="CM18" s="283" cm="1">
        <f t="array" ref="CM18">INDEX(SUP_PLANTA_OPEX!$C$33:$F$33,CM14)/MAX(CM6+CM7+CM8,1)+SUP_PLANTA_OPEX!$C$30</f>
        <v>0.1006135740433854</v>
      </c>
      <c r="CN18" s="283" cm="1">
        <f t="array" ref="CN18">INDEX(SUP_PLANTA_OPEX!$C$33:$F$33,CN14)/MAX(CN6+CN7+CN8,1)+SUP_PLANTA_OPEX!$C$30</f>
        <v>0.1006135740433854</v>
      </c>
      <c r="CO18" s="283" cm="1">
        <f t="array" ref="CO18">INDEX(SUP_PLANTA_OPEX!$C$33:$F$33,CO14)/MAX(CO6+CO7+CO8,1)+SUP_PLANTA_OPEX!$C$30</f>
        <v>0.1006135740433854</v>
      </c>
      <c r="CP18" s="283" cm="1">
        <f t="array" ref="CP18">INDEX(SUP_PLANTA_OPEX!$C$33:$F$33,CP14)/MAX(CP6+CP7+CP8,1)+SUP_PLANTA_OPEX!$C$30</f>
        <v>0.1006135740433854</v>
      </c>
      <c r="CQ18" s="283" cm="1">
        <f t="array" ref="CQ18">INDEX(SUP_PLANTA_OPEX!$C$33:$F$33,CQ14)/MAX(CQ6+CQ7+CQ8,1)+SUP_PLANTA_OPEX!$C$30</f>
        <v>0.1006135740433854</v>
      </c>
      <c r="CR18" s="283" cm="1">
        <f t="array" ref="CR18">INDEX(SUP_PLANTA_OPEX!$C$33:$F$33,CR14)/MAX(CR6+CR7+CR8,1)+SUP_PLANTA_OPEX!$C$30</f>
        <v>0.1006135740433854</v>
      </c>
      <c r="CS18" s="283" cm="1">
        <f t="array" ref="CS18">INDEX(SUP_PLANTA_OPEX!$C$33:$F$33,CS14)/MAX(CS6+CS7+CS8,1)+SUP_PLANTA_OPEX!$C$30</f>
        <v>0.1006135740433854</v>
      </c>
      <c r="CT18" s="283" cm="1">
        <f t="array" ref="CT18">INDEX(SUP_PLANTA_OPEX!$C$33:$F$33,CT14)/MAX(CT6+CT7+CT8,1)+SUP_PLANTA_OPEX!$C$30</f>
        <v>0.1006135740433854</v>
      </c>
      <c r="CU18" s="283" cm="1">
        <f t="array" ref="CU18">INDEX(SUP_PLANTA_OPEX!$C$33:$F$33,CU14)/MAX(CU6+CU7+CU8,1)+SUP_PLANTA_OPEX!$C$30</f>
        <v>0.1006135740433854</v>
      </c>
      <c r="CV18" s="283" cm="1">
        <f t="array" ref="CV18">INDEX(SUP_PLANTA_OPEX!$C$33:$F$33,CV14)/MAX(CV6+CV7+CV8,1)+SUP_PLANTA_OPEX!$C$30</f>
        <v>0.1006135740433854</v>
      </c>
      <c r="CW18" s="283" cm="1">
        <f t="array" ref="CW18">INDEX(SUP_PLANTA_OPEX!$C$33:$F$33,CW14)/MAX(CW6+CW7+CW8,1)+SUP_PLANTA_OPEX!$C$30</f>
        <v>0.1006135740433854</v>
      </c>
      <c r="CX18" s="283" cm="1">
        <f t="array" ref="CX18">INDEX(SUP_PLANTA_OPEX!$C$33:$F$33,CX14)/MAX(CX6+CX7+CX8,1)+SUP_PLANTA_OPEX!$C$30</f>
        <v>0.1006135740433854</v>
      </c>
      <c r="CY18" s="283" cm="1">
        <f t="array" ref="CY18">INDEX(SUP_PLANTA_OPEX!$C$33:$F$33,CY14)/MAX(CY6+CY7+CY8,1)+SUP_PLANTA_OPEX!$C$30</f>
        <v>0.1006135740433854</v>
      </c>
      <c r="CZ18" s="283" cm="1">
        <f t="array" ref="CZ18">INDEX(SUP_PLANTA_OPEX!$C$33:$F$33,CZ14)/MAX(CZ6+CZ7+CZ8,1)+SUP_PLANTA_OPEX!$C$30</f>
        <v>0.1006135740433854</v>
      </c>
      <c r="DA18" s="283" cm="1">
        <f t="array" ref="DA18">INDEX(SUP_PLANTA_OPEX!$C$33:$F$33,DA14)/MAX(DA6+DA7+DA8,1)+SUP_PLANTA_OPEX!$C$30</f>
        <v>0.1006135740433854</v>
      </c>
      <c r="DB18" s="283" cm="1">
        <f t="array" ref="DB18">INDEX(SUP_PLANTA_OPEX!$C$33:$F$33,DB14)/MAX(DB6+DB7+DB8,1)+SUP_PLANTA_OPEX!$C$30</f>
        <v>0.1006135740433854</v>
      </c>
      <c r="DC18" s="283" cm="1">
        <f t="array" ref="DC18">INDEX(SUP_PLANTA_OPEX!$C$33:$F$33,DC14)/MAX(DC6+DC7+DC8,1)+SUP_PLANTA_OPEX!$C$30</f>
        <v>0.1006135740433854</v>
      </c>
      <c r="DD18" s="283" cm="1">
        <f t="array" ref="DD18">INDEX(SUP_PLANTA_OPEX!$C$33:$F$33,DD14)/MAX(DD6+DD7+DD8,1)+SUP_PLANTA_OPEX!$C$30</f>
        <v>0.1006135740433854</v>
      </c>
      <c r="DE18" s="283" cm="1">
        <f t="array" ref="DE18">INDEX(SUP_PLANTA_OPEX!$C$33:$F$33,DE14)/MAX(DE6+DE7+DE8,1)+SUP_PLANTA_OPEX!$C$30</f>
        <v>0.1006135740433854</v>
      </c>
      <c r="DF18" s="283" cm="1">
        <f t="array" ref="DF18">INDEX(SUP_PLANTA_OPEX!$C$33:$F$33,DF14)/MAX(DF6+DF7+DF8,1)+SUP_PLANTA_OPEX!$C$30</f>
        <v>0.1006135740433854</v>
      </c>
      <c r="DG18" s="283" cm="1">
        <f t="array" ref="DG18">INDEX(SUP_PLANTA_OPEX!$C$33:$F$33,DG14)/MAX(DG6+DG7+DG8,1)+SUP_PLANTA_OPEX!$C$30</f>
        <v>0.1006135740433854</v>
      </c>
      <c r="DH18" s="283" cm="1">
        <f t="array" ref="DH18">INDEX(SUP_PLANTA_OPEX!$C$33:$F$33,DH14)/MAX(DH6+DH7+DH8,1)+SUP_PLANTA_OPEX!$C$30</f>
        <v>0.1006135740433854</v>
      </c>
      <c r="DI18" s="283" cm="1">
        <f t="array" ref="DI18">INDEX(SUP_PLANTA_OPEX!$C$33:$F$33,DI14)/MAX(DI6+DI7+DI8,1)+SUP_PLANTA_OPEX!$C$30</f>
        <v>0.1006135740433854</v>
      </c>
      <c r="DJ18" s="283" cm="1">
        <f t="array" ref="DJ18">INDEX(SUP_PLANTA_OPEX!$C$33:$F$33,DJ14)/MAX(DJ6+DJ7+DJ8,1)+SUP_PLANTA_OPEX!$C$30</f>
        <v>0.1006135740433854</v>
      </c>
      <c r="DK18" s="283" cm="1">
        <f t="array" ref="DK18">INDEX(SUP_PLANTA_OPEX!$C$33:$F$33,DK14)/MAX(DK6+DK7+DK8,1)+SUP_PLANTA_OPEX!$C$30</f>
        <v>0.1006135740433854</v>
      </c>
      <c r="DL18" s="283" cm="1">
        <f t="array" ref="DL18">INDEX(SUP_PLANTA_OPEX!$C$33:$F$33,DL14)/MAX(DL6+DL7+DL8,1)+SUP_PLANTA_OPEX!$C$30</f>
        <v>0.1006135740433854</v>
      </c>
      <c r="DM18" s="283" cm="1">
        <f t="array" ref="DM18">INDEX(SUP_PLANTA_OPEX!$C$33:$F$33,DM14)/MAX(DM6+DM7+DM8,1)+SUP_PLANTA_OPEX!$C$30</f>
        <v>0.1006135740433854</v>
      </c>
      <c r="DN18" s="283" cm="1">
        <f t="array" ref="DN18">INDEX(SUP_PLANTA_OPEX!$C$33:$F$33,DN14)/MAX(DN6+DN7+DN8,1)+SUP_PLANTA_OPEX!$C$30</f>
        <v>0.1006135740433854</v>
      </c>
      <c r="DO18" s="283" cm="1">
        <f t="array" ref="DO18">INDEX(SUP_PLANTA_OPEX!$C$33:$F$33,DO14)/MAX(DO6+DO7+DO8,1)+SUP_PLANTA_OPEX!$C$30</f>
        <v>0.1006135740433854</v>
      </c>
      <c r="DP18" s="283" cm="1">
        <f t="array" ref="DP18">INDEX(SUP_PLANTA_OPEX!$C$33:$F$33,DP14)/MAX(DP6+DP7+DP8,1)+SUP_PLANTA_OPEX!$C$30</f>
        <v>0.1006135740433854</v>
      </c>
      <c r="DQ18" s="283" cm="1">
        <f t="array" ref="DQ18">INDEX(SUP_PLANTA_OPEX!$C$33:$F$33,DQ14)/MAX(DQ6+DQ7+DQ8,1)+SUP_PLANTA_OPEX!$C$30</f>
        <v>0.1006135740433854</v>
      </c>
      <c r="DR18" s="283" cm="1">
        <f t="array" ref="DR18">INDEX(SUP_PLANTA_OPEX!$C$33:$F$33,DR14)/MAX(DR6+DR7+DR8,1)+SUP_PLANTA_OPEX!$C$30</f>
        <v>0.1006135740433854</v>
      </c>
      <c r="DS18" s="283" cm="1">
        <f t="array" ref="DS18">INDEX(SUP_PLANTA_OPEX!$C$33:$F$33,DS14)/MAX(DS6+DS7+DS8,1)+SUP_PLANTA_OPEX!$C$30</f>
        <v>0.1006135740433854</v>
      </c>
    </row>
    <row r="19" spans="1:123" ht="15" customHeight="1" x14ac:dyDescent="0.2">
      <c r="A19" s="25"/>
      <c r="B19" s="267" t="s">
        <v>1935</v>
      </c>
      <c r="C19" s="26"/>
      <c r="D19" s="284">
        <f>(D6+D7+D8)*D18</f>
        <v>0</v>
      </c>
      <c r="E19" s="284">
        <f t="shared" ref="E19:BP19" si="18">(E6+E7+E8)*E18</f>
        <v>0</v>
      </c>
      <c r="F19" s="284">
        <f t="shared" si="18"/>
        <v>0</v>
      </c>
      <c r="G19" s="284">
        <f t="shared" si="18"/>
        <v>11133.636375</v>
      </c>
      <c r="H19" s="284">
        <f t="shared" si="18"/>
        <v>11362.592375</v>
      </c>
      <c r="I19" s="284">
        <f t="shared" si="18"/>
        <v>11631.952375000001</v>
      </c>
      <c r="J19" s="284">
        <f t="shared" si="18"/>
        <v>11929.595175</v>
      </c>
      <c r="K19" s="284">
        <f t="shared" si="18"/>
        <v>12261.581375</v>
      </c>
      <c r="L19" s="284">
        <f t="shared" si="18"/>
        <v>12360.571174999999</v>
      </c>
      <c r="M19" s="284">
        <f t="shared" si="18"/>
        <v>12413.096375000001</v>
      </c>
      <c r="N19" s="284">
        <f t="shared" si="18"/>
        <v>12413.096375000001</v>
      </c>
      <c r="O19" s="284">
        <f t="shared" si="18"/>
        <v>12413.096375000001</v>
      </c>
      <c r="P19" s="284">
        <f t="shared" si="18"/>
        <v>12413.096375000001</v>
      </c>
      <c r="Q19" s="284">
        <f t="shared" si="18"/>
        <v>12413.096375000001</v>
      </c>
      <c r="R19" s="284">
        <f t="shared" si="18"/>
        <v>12413.096375000001</v>
      </c>
      <c r="S19" s="284">
        <f t="shared" si="18"/>
        <v>12413.096375000001</v>
      </c>
      <c r="T19" s="284">
        <f t="shared" si="18"/>
        <v>12500.638375</v>
      </c>
      <c r="U19" s="284">
        <f t="shared" si="18"/>
        <v>12520.840374999998</v>
      </c>
      <c r="V19" s="284">
        <f t="shared" si="18"/>
        <v>12621.850375</v>
      </c>
      <c r="W19" s="284">
        <f t="shared" si="18"/>
        <v>12743.062375000001</v>
      </c>
      <c r="X19" s="284">
        <f t="shared" si="18"/>
        <v>12776.732375</v>
      </c>
      <c r="Y19" s="284">
        <f t="shared" si="18"/>
        <v>12803.668374999999</v>
      </c>
      <c r="Z19" s="284">
        <f t="shared" si="18"/>
        <v>12817.136374999998</v>
      </c>
      <c r="AA19" s="284">
        <f t="shared" si="18"/>
        <v>16827.136374999998</v>
      </c>
      <c r="AB19" s="284">
        <f t="shared" si="18"/>
        <v>16827.136374999998</v>
      </c>
      <c r="AC19" s="284">
        <f t="shared" si="18"/>
        <v>16827.136374999998</v>
      </c>
      <c r="AD19" s="284">
        <f t="shared" si="18"/>
        <v>16815.015175</v>
      </c>
      <c r="AE19" s="284">
        <f t="shared" si="18"/>
        <v>16815.015175</v>
      </c>
      <c r="AF19" s="284">
        <f t="shared" si="18"/>
        <v>16925.405637</v>
      </c>
      <c r="AG19" s="284">
        <f t="shared" si="18"/>
        <v>17035.796098999999</v>
      </c>
      <c r="AH19" s="284">
        <f t="shared" si="18"/>
        <v>17072.375187000001</v>
      </c>
      <c r="AI19" s="284">
        <f t="shared" si="18"/>
        <v>17187.338034999997</v>
      </c>
      <c r="AJ19" s="284">
        <f t="shared" si="18"/>
        <v>17304.913675</v>
      </c>
      <c r="AK19" s="284">
        <f t="shared" si="18"/>
        <v>17337.573574999999</v>
      </c>
      <c r="AL19" s="284">
        <f t="shared" si="18"/>
        <v>17339.459094999998</v>
      </c>
      <c r="AM19" s="284">
        <f t="shared" si="18"/>
        <v>17459.731702000001</v>
      </c>
      <c r="AN19" s="284">
        <f t="shared" si="18"/>
        <v>17567.277049</v>
      </c>
      <c r="AO19" s="284">
        <f t="shared" si="18"/>
        <v>17685.640567000002</v>
      </c>
      <c r="AP19" s="284">
        <f t="shared" si="18"/>
        <v>17816.731345</v>
      </c>
      <c r="AQ19" s="284">
        <f t="shared" si="18"/>
        <v>17861.276755000003</v>
      </c>
      <c r="AR19" s="284">
        <f t="shared" si="18"/>
        <v>17994.276622000001</v>
      </c>
      <c r="AS19" s="284">
        <f t="shared" si="18"/>
        <v>18031.822039000002</v>
      </c>
      <c r="AT19" s="284">
        <f t="shared" si="18"/>
        <v>18131.094667000001</v>
      </c>
      <c r="AU19" s="284">
        <f t="shared" si="18"/>
        <v>18249.458185</v>
      </c>
      <c r="AV19" s="284">
        <f t="shared" si="18"/>
        <v>18281.276334999999</v>
      </c>
      <c r="AW19" s="284">
        <f t="shared" si="18"/>
        <v>25541.730854999994</v>
      </c>
      <c r="AX19" s="284">
        <f t="shared" si="18"/>
        <v>25554.458114999998</v>
      </c>
      <c r="AY19" s="284">
        <f t="shared" si="18"/>
        <v>25554.458114999998</v>
      </c>
      <c r="AZ19" s="284">
        <f t="shared" si="18"/>
        <v>25554.458114999998</v>
      </c>
      <c r="BA19" s="284">
        <f t="shared" si="18"/>
        <v>25504.289814999996</v>
      </c>
      <c r="BB19" s="284">
        <f t="shared" si="18"/>
        <v>25504.289814999996</v>
      </c>
      <c r="BC19" s="284">
        <f t="shared" si="18"/>
        <v>25504.289814999996</v>
      </c>
      <c r="BD19" s="284">
        <f t="shared" si="18"/>
        <v>25665.367094999998</v>
      </c>
      <c r="BE19" s="284">
        <f t="shared" si="18"/>
        <v>25783.077414999996</v>
      </c>
      <c r="BF19" s="284">
        <f t="shared" si="18"/>
        <v>25881.730514999999</v>
      </c>
      <c r="BG19" s="284">
        <f t="shared" si="18"/>
        <v>26020.518254999995</v>
      </c>
      <c r="BH19" s="284">
        <f t="shared" si="18"/>
        <v>26145.366614999999</v>
      </c>
      <c r="BI19" s="284">
        <f t="shared" si="18"/>
        <v>26270.214974999999</v>
      </c>
      <c r="BJ19" s="284">
        <f t="shared" si="18"/>
        <v>26415.063314999999</v>
      </c>
      <c r="BK19" s="284">
        <f t="shared" si="18"/>
        <v>26477.649110999999</v>
      </c>
      <c r="BL19" s="284">
        <f t="shared" si="18"/>
        <v>26599.723063000001</v>
      </c>
      <c r="BM19" s="284">
        <f t="shared" si="18"/>
        <v>26721.797015</v>
      </c>
      <c r="BN19" s="284">
        <f t="shared" si="18"/>
        <v>26863.426503000002</v>
      </c>
      <c r="BO19" s="284">
        <f t="shared" si="18"/>
        <v>26987.278231</v>
      </c>
      <c r="BP19" s="284">
        <f t="shared" si="18"/>
        <v>27050.523959000002</v>
      </c>
      <c r="BQ19" s="284">
        <f t="shared" ref="BQ19:DS19" si="19">(BQ6+BQ7+BQ8)*BQ18</f>
        <v>27170.517104999999</v>
      </c>
      <c r="BR19" s="284">
        <f t="shared" si="19"/>
        <v>27309.732454000001</v>
      </c>
      <c r="BS19" s="284">
        <f t="shared" si="19"/>
        <v>27507.196903</v>
      </c>
      <c r="BT19" s="284">
        <f t="shared" si="19"/>
        <v>27644.664779000002</v>
      </c>
      <c r="BU19" s="284">
        <f t="shared" si="19"/>
        <v>27704.893674999999</v>
      </c>
      <c r="BV19" s="284">
        <f t="shared" si="19"/>
        <v>27830.819474999997</v>
      </c>
      <c r="BW19" s="284">
        <f t="shared" si="19"/>
        <v>27967.620684999998</v>
      </c>
      <c r="BX19" s="284">
        <f t="shared" si="19"/>
        <v>28087.250194999997</v>
      </c>
      <c r="BY19" s="284">
        <f t="shared" si="19"/>
        <v>28205.162534999996</v>
      </c>
      <c r="BZ19" s="284">
        <f t="shared" si="19"/>
        <v>28341.728054999996</v>
      </c>
      <c r="CA19" s="284">
        <f t="shared" si="19"/>
        <v>28493.889519</v>
      </c>
      <c r="CB19" s="284">
        <f t="shared" si="19"/>
        <v>32733.424743</v>
      </c>
      <c r="CC19" s="284">
        <f t="shared" si="19"/>
        <v>32787.727719000002</v>
      </c>
      <c r="CD19" s="284">
        <f t="shared" si="19"/>
        <v>32813.747894999993</v>
      </c>
      <c r="CE19" s="284">
        <f t="shared" si="19"/>
        <v>32825.061014999999</v>
      </c>
      <c r="CF19" s="284">
        <f t="shared" si="19"/>
        <v>32825.061014999999</v>
      </c>
      <c r="CG19" s="284">
        <f t="shared" si="19"/>
        <v>32825.061014999999</v>
      </c>
      <c r="CH19" s="284">
        <f t="shared" si="19"/>
        <v>32825.061014999999</v>
      </c>
      <c r="CI19" s="284">
        <f t="shared" si="19"/>
        <v>32825.061014999999</v>
      </c>
      <c r="CJ19" s="284">
        <f t="shared" si="19"/>
        <v>32825.061014999999</v>
      </c>
      <c r="CK19" s="284">
        <f t="shared" si="19"/>
        <v>32825.061014999999</v>
      </c>
      <c r="CL19" s="284">
        <f t="shared" si="19"/>
        <v>32825.061014999999</v>
      </c>
      <c r="CM19" s="284">
        <f t="shared" si="19"/>
        <v>32825.061014999999</v>
      </c>
      <c r="CN19" s="284">
        <f t="shared" si="19"/>
        <v>32825.061014999999</v>
      </c>
      <c r="CO19" s="284">
        <f t="shared" si="19"/>
        <v>32825.061014999999</v>
      </c>
      <c r="CP19" s="284">
        <f t="shared" si="19"/>
        <v>32825.061014999999</v>
      </c>
      <c r="CQ19" s="284">
        <f t="shared" si="19"/>
        <v>32825.061014999999</v>
      </c>
      <c r="CR19" s="284">
        <f t="shared" si="19"/>
        <v>32825.061014999999</v>
      </c>
      <c r="CS19" s="284">
        <f t="shared" si="19"/>
        <v>32825.061014999999</v>
      </c>
      <c r="CT19" s="284">
        <f t="shared" si="19"/>
        <v>32825.061014999999</v>
      </c>
      <c r="CU19" s="284">
        <f t="shared" si="19"/>
        <v>32825.061014999999</v>
      </c>
      <c r="CV19" s="284">
        <f t="shared" si="19"/>
        <v>32825.061014999999</v>
      </c>
      <c r="CW19" s="284">
        <f t="shared" si="19"/>
        <v>32825.061014999999</v>
      </c>
      <c r="CX19" s="284">
        <f t="shared" si="19"/>
        <v>32825.061014999999</v>
      </c>
      <c r="CY19" s="284">
        <f t="shared" si="19"/>
        <v>32825.061014999999</v>
      </c>
      <c r="CZ19" s="284">
        <f t="shared" si="19"/>
        <v>32825.061014999999</v>
      </c>
      <c r="DA19" s="284">
        <f t="shared" si="19"/>
        <v>32825.061014999999</v>
      </c>
      <c r="DB19" s="284">
        <f t="shared" si="19"/>
        <v>32825.061014999999</v>
      </c>
      <c r="DC19" s="284">
        <f t="shared" si="19"/>
        <v>32825.061014999999</v>
      </c>
      <c r="DD19" s="284">
        <f t="shared" si="19"/>
        <v>32825.061014999999</v>
      </c>
      <c r="DE19" s="284">
        <f t="shared" si="19"/>
        <v>32825.061014999999</v>
      </c>
      <c r="DF19" s="284">
        <f t="shared" si="19"/>
        <v>32825.061014999999</v>
      </c>
      <c r="DG19" s="284">
        <f t="shared" si="19"/>
        <v>32825.061014999999</v>
      </c>
      <c r="DH19" s="284">
        <f t="shared" si="19"/>
        <v>32825.061014999999</v>
      </c>
      <c r="DI19" s="284">
        <f t="shared" si="19"/>
        <v>32825.061014999999</v>
      </c>
      <c r="DJ19" s="284">
        <f t="shared" si="19"/>
        <v>32825.061014999999</v>
      </c>
      <c r="DK19" s="284">
        <f t="shared" si="19"/>
        <v>32825.061014999999</v>
      </c>
      <c r="DL19" s="284">
        <f t="shared" si="19"/>
        <v>32825.061014999999</v>
      </c>
      <c r="DM19" s="284">
        <f t="shared" si="19"/>
        <v>32825.061014999999</v>
      </c>
      <c r="DN19" s="284">
        <f t="shared" si="19"/>
        <v>32825.061014999999</v>
      </c>
      <c r="DO19" s="284">
        <f t="shared" si="19"/>
        <v>32825.061014999999</v>
      </c>
      <c r="DP19" s="284">
        <f t="shared" si="19"/>
        <v>32825.061014999999</v>
      </c>
      <c r="DQ19" s="284">
        <f t="shared" si="19"/>
        <v>32825.061014999999</v>
      </c>
      <c r="DR19" s="284">
        <f t="shared" si="19"/>
        <v>32825.061014999999</v>
      </c>
      <c r="DS19" s="284">
        <f t="shared" si="19"/>
        <v>32825.061014999999</v>
      </c>
    </row>
    <row r="20" spans="1:123" ht="15" customHeight="1" x14ac:dyDescent="0.2">
      <c r="B20" s="20" t="s">
        <v>625</v>
      </c>
      <c r="D20" s="83">
        <v>1</v>
      </c>
      <c r="E20" s="83">
        <v>2</v>
      </c>
      <c r="F20" s="83">
        <v>3</v>
      </c>
      <c r="G20" s="83">
        <v>4</v>
      </c>
      <c r="H20" s="83">
        <v>5</v>
      </c>
      <c r="I20" s="83">
        <v>6</v>
      </c>
      <c r="J20" s="83">
        <v>7</v>
      </c>
      <c r="K20" s="83">
        <v>8</v>
      </c>
      <c r="L20" s="83">
        <v>9</v>
      </c>
      <c r="M20" s="83">
        <v>10</v>
      </c>
    </row>
    <row r="21" spans="1:123" ht="15" customHeight="1" x14ac:dyDescent="0.2">
      <c r="B21" s="20" t="s">
        <v>1145</v>
      </c>
      <c r="D21" s="99">
        <f>AVERAGE(D11:O11)</f>
        <v>39.222744166666665</v>
      </c>
      <c r="E21" s="99">
        <f>AVERAGE(P11:AA11)</f>
        <v>82.968491666666679</v>
      </c>
      <c r="F21" s="99">
        <f>AVERAGE(AB11:AM11)</f>
        <v>106.19118168750002</v>
      </c>
      <c r="G21" s="99">
        <f>AVERAGE(AN11:AY11)</f>
        <v>154.59786728750001</v>
      </c>
      <c r="H21" s="99">
        <f>AVERAGE(AZ11:BK11)</f>
        <v>185.18875981666667</v>
      </c>
      <c r="I21" s="99">
        <f>AVERAGE(BL11:BW11)</f>
        <v>254.48825561250001</v>
      </c>
      <c r="J21" s="99">
        <f>AVERAGE(BX11:CI11)</f>
        <v>318.4467634833332</v>
      </c>
      <c r="K21" s="99">
        <f>AVERAGE(CJ11:CU11)</f>
        <v>326.24883199999988</v>
      </c>
      <c r="L21" s="99">
        <f>AVERAGE(CV11:DG11)</f>
        <v>326.24883199999988</v>
      </c>
      <c r="M21" s="99">
        <f>AVERAGE(DH11:DS11)</f>
        <v>326.24883199999988</v>
      </c>
    </row>
    <row r="22" spans="1:123" ht="15" customHeight="1" x14ac:dyDescent="0.2">
      <c r="B22" s="20" t="s">
        <v>1273</v>
      </c>
      <c r="D22" s="89">
        <f>AVERAGE(D13:O13)</f>
        <v>0.42796229314420803</v>
      </c>
      <c r="E22" s="89">
        <f>AVERAGE(P13:AA13)</f>
        <v>0.86272104018912532</v>
      </c>
      <c r="F22" s="89">
        <f>AVERAGE(AB13:AM13)</f>
        <v>0.57932996010638294</v>
      </c>
      <c r="G22" s="89">
        <f>AVERAGE(AN13:AY13)</f>
        <v>0.72884367996453914</v>
      </c>
      <c r="H22" s="89">
        <f>AVERAGE(AZ13:BK13)</f>
        <v>0.50515209988179677</v>
      </c>
      <c r="I22" s="89">
        <f>AVERAGE(BL13:BW13)</f>
        <v>0.69418509441489373</v>
      </c>
      <c r="J22" s="89">
        <f>AVERAGE(BX13:CI13)</f>
        <v>0.67141805811662714</v>
      </c>
      <c r="K22" s="89">
        <f>AVERAGE(CJ13:CU13)</f>
        <v>0.59328756501182023</v>
      </c>
      <c r="L22" s="89">
        <f>AVERAGE(CV13:DG13)</f>
        <v>0.59328756501182023</v>
      </c>
      <c r="M22" s="89">
        <f>AVERAGE(DH13:DS13)</f>
        <v>0.59328756501182023</v>
      </c>
    </row>
    <row r="23" spans="1:123" ht="15" customHeight="1" x14ac:dyDescent="0.2">
      <c r="B23" s="20" t="s">
        <v>1274</v>
      </c>
      <c r="D23" s="88">
        <f>O14</f>
        <v>1</v>
      </c>
      <c r="E23" s="88">
        <f>AA14</f>
        <v>2</v>
      </c>
      <c r="F23" s="88">
        <f>AM14</f>
        <v>2</v>
      </c>
      <c r="G23" s="88">
        <f>AY14</f>
        <v>3</v>
      </c>
      <c r="H23" s="88">
        <f>BK14</f>
        <v>3</v>
      </c>
      <c r="I23" s="88">
        <f>BW14</f>
        <v>3</v>
      </c>
      <c r="J23" s="88">
        <f>CI14</f>
        <v>4</v>
      </c>
      <c r="K23" s="88">
        <f>CU14</f>
        <v>4</v>
      </c>
      <c r="L23" s="88">
        <f>DG14</f>
        <v>4</v>
      </c>
      <c r="M23" s="88">
        <f>DS14</f>
        <v>4</v>
      </c>
    </row>
    <row r="25" spans="1:123" ht="15" customHeight="1" x14ac:dyDescent="0.2">
      <c r="B25" s="20" t="s">
        <v>1275</v>
      </c>
      <c r="C25" s="76">
        <f>AVERAGE(DH11:DS11)/200</f>
        <v>1.6312441599999994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808080"/>
  </sheetPr>
  <dimension ref="A1:I28"/>
  <sheetViews>
    <sheetView zoomScaleNormal="100" workbookViewId="0"/>
  </sheetViews>
  <sheetFormatPr baseColWidth="10" defaultColWidth="8.6640625" defaultRowHeight="15" x14ac:dyDescent="0.2"/>
  <cols>
    <col min="1" max="1" width="4" customWidth="1"/>
    <col min="2" max="2" width="100" customWidth="1"/>
    <col min="3" max="3" width="14" customWidth="1"/>
  </cols>
  <sheetData>
    <row r="1" spans="1:9" ht="15" customHeight="1" x14ac:dyDescent="0.2">
      <c r="A1" s="24" t="s">
        <v>1276</v>
      </c>
      <c r="B1" s="14"/>
      <c r="C1" s="14"/>
      <c r="D1" s="14"/>
      <c r="E1" s="14"/>
      <c r="F1" s="14"/>
      <c r="G1" s="14"/>
      <c r="H1" s="14"/>
      <c r="I1" s="14"/>
    </row>
    <row r="4" spans="1:9" ht="15" customHeight="1" x14ac:dyDescent="0.2">
      <c r="A4" s="25" t="s">
        <v>1277</v>
      </c>
      <c r="B4" s="26"/>
      <c r="C4" s="26"/>
    </row>
    <row r="5" spans="1:9" ht="15" customHeight="1" x14ac:dyDescent="0.2">
      <c r="B5" s="37" t="s">
        <v>1278</v>
      </c>
      <c r="C5" s="104" t="s">
        <v>15</v>
      </c>
    </row>
    <row r="6" spans="1:9" ht="15" customHeight="1" x14ac:dyDescent="0.2">
      <c r="B6" s="37" t="s">
        <v>1279</v>
      </c>
      <c r="C6" s="104" t="s">
        <v>1280</v>
      </c>
    </row>
    <row r="7" spans="1:9" ht="15" customHeight="1" x14ac:dyDescent="0.2">
      <c r="B7" s="37" t="s">
        <v>1281</v>
      </c>
      <c r="C7" s="104" t="s">
        <v>1282</v>
      </c>
    </row>
    <row r="8" spans="1:9" ht="15" customHeight="1" x14ac:dyDescent="0.2">
      <c r="B8" s="37" t="s">
        <v>1283</v>
      </c>
      <c r="C8" s="104" t="s">
        <v>6</v>
      </c>
    </row>
    <row r="9" spans="1:9" ht="15" customHeight="1" x14ac:dyDescent="0.2">
      <c r="B9" s="37" t="s">
        <v>1284</v>
      </c>
      <c r="C9" s="104" t="s">
        <v>32</v>
      </c>
    </row>
    <row r="10" spans="1:9" ht="15" customHeight="1" x14ac:dyDescent="0.2">
      <c r="B10" s="37" t="s">
        <v>1285</v>
      </c>
      <c r="C10" s="104" t="s">
        <v>1286</v>
      </c>
    </row>
    <row r="11" spans="1:9" ht="15" customHeight="1" x14ac:dyDescent="0.2">
      <c r="B11" s="37" t="s">
        <v>1287</v>
      </c>
      <c r="C11" s="104" t="s">
        <v>1288</v>
      </c>
    </row>
    <row r="12" spans="1:9" ht="15" customHeight="1" x14ac:dyDescent="0.2">
      <c r="B12" s="37" t="s">
        <v>1289</v>
      </c>
      <c r="C12" s="104" t="s">
        <v>42</v>
      </c>
    </row>
    <row r="13" spans="1:9" ht="15" customHeight="1" x14ac:dyDescent="0.2">
      <c r="B13" s="37" t="s">
        <v>1290</v>
      </c>
      <c r="C13" s="104" t="s">
        <v>1291</v>
      </c>
    </row>
    <row r="14" spans="1:9" ht="15" customHeight="1" x14ac:dyDescent="0.2">
      <c r="B14" s="37" t="s">
        <v>1292</v>
      </c>
      <c r="C14" s="104" t="s">
        <v>40</v>
      </c>
    </row>
    <row r="15" spans="1:9" ht="15" customHeight="1" x14ac:dyDescent="0.2">
      <c r="B15" s="37" t="s">
        <v>1293</v>
      </c>
      <c r="C15" s="104" t="s">
        <v>1294</v>
      </c>
    </row>
    <row r="16" spans="1:9" ht="15" customHeight="1" x14ac:dyDescent="0.2">
      <c r="B16" s="37" t="s">
        <v>1295</v>
      </c>
      <c r="C16" s="104" t="s">
        <v>44</v>
      </c>
    </row>
    <row r="17" spans="2:3" ht="15" customHeight="1" x14ac:dyDescent="0.2">
      <c r="B17" s="37" t="s">
        <v>1296</v>
      </c>
      <c r="C17" s="104" t="s">
        <v>56</v>
      </c>
    </row>
    <row r="18" spans="2:3" ht="15" customHeight="1" x14ac:dyDescent="0.2">
      <c r="B18" s="37" t="s">
        <v>1297</v>
      </c>
      <c r="C18" s="104" t="s">
        <v>33</v>
      </c>
    </row>
    <row r="19" spans="2:3" ht="15" customHeight="1" x14ac:dyDescent="0.2">
      <c r="B19" s="37" t="s">
        <v>1298</v>
      </c>
      <c r="C19" s="104" t="s">
        <v>1299</v>
      </c>
    </row>
    <row r="20" spans="2:3" ht="15" customHeight="1" x14ac:dyDescent="0.2">
      <c r="B20" s="37" t="s">
        <v>1300</v>
      </c>
      <c r="C20" s="104" t="s">
        <v>154</v>
      </c>
    </row>
    <row r="21" spans="2:3" ht="15" customHeight="1" x14ac:dyDescent="0.2">
      <c r="B21" s="37" t="s">
        <v>1301</v>
      </c>
      <c r="C21" s="104" t="s">
        <v>1302</v>
      </c>
    </row>
    <row r="22" spans="2:3" ht="15" customHeight="1" x14ac:dyDescent="0.2">
      <c r="B22" s="37" t="s">
        <v>1303</v>
      </c>
      <c r="C22" s="104" t="s">
        <v>1304</v>
      </c>
    </row>
    <row r="23" spans="2:3" ht="15" customHeight="1" x14ac:dyDescent="0.2">
      <c r="B23" s="37" t="s">
        <v>1305</v>
      </c>
      <c r="C23" s="104" t="s">
        <v>1306</v>
      </c>
    </row>
    <row r="24" spans="2:3" ht="15" customHeight="1" x14ac:dyDescent="0.2">
      <c r="B24" s="37" t="s">
        <v>1307</v>
      </c>
      <c r="C24" s="104" t="s">
        <v>1308</v>
      </c>
    </row>
    <row r="25" spans="2:3" ht="15" customHeight="1" x14ac:dyDescent="0.2">
      <c r="B25" s="37" t="s">
        <v>1309</v>
      </c>
      <c r="C25" s="104" t="s">
        <v>1310</v>
      </c>
    </row>
    <row r="26" spans="2:3" ht="15" customHeight="1" x14ac:dyDescent="0.2">
      <c r="B26" s="37" t="s">
        <v>1311</v>
      </c>
      <c r="C26" s="104" t="s">
        <v>1312</v>
      </c>
    </row>
    <row r="27" spans="2:3" ht="15" customHeight="1" x14ac:dyDescent="0.2">
      <c r="B27" s="37" t="s">
        <v>1313</v>
      </c>
      <c r="C27" s="104" t="s">
        <v>1314</v>
      </c>
    </row>
    <row r="28" spans="2:3" ht="15" customHeight="1" x14ac:dyDescent="0.2">
      <c r="B28" s="37" t="s">
        <v>1315</v>
      </c>
      <c r="C28" s="104" t="s">
        <v>1316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F4E79"/>
  </sheetPr>
  <dimension ref="A1:E44"/>
  <sheetViews>
    <sheetView showGridLines="0" topLeftCell="A12" zoomScale="160" zoomScaleNormal="160" workbookViewId="0"/>
  </sheetViews>
  <sheetFormatPr baseColWidth="10" defaultColWidth="8.6640625" defaultRowHeight="15" x14ac:dyDescent="0.2"/>
  <cols>
    <col min="1" max="1" width="3" customWidth="1"/>
    <col min="2" max="2" width="30" customWidth="1"/>
    <col min="3" max="3" width="95" customWidth="1"/>
  </cols>
  <sheetData>
    <row r="1" spans="1:5" ht="21" customHeight="1" x14ac:dyDescent="0.25">
      <c r="A1" s="14"/>
      <c r="B1" s="15" t="s">
        <v>1851</v>
      </c>
      <c r="C1" s="14"/>
      <c r="D1" s="14"/>
      <c r="E1" s="14"/>
    </row>
    <row r="2" spans="1:5" ht="15" customHeight="1" x14ac:dyDescent="0.2">
      <c r="A2" s="14"/>
      <c r="B2" s="16" t="s">
        <v>63</v>
      </c>
      <c r="C2" s="14"/>
      <c r="D2" s="14"/>
      <c r="E2" s="14"/>
    </row>
    <row r="4" spans="1:5" ht="15" customHeight="1" x14ac:dyDescent="0.2">
      <c r="B4" s="17" t="s">
        <v>1852</v>
      </c>
    </row>
    <row r="6" spans="1:5" ht="30" customHeight="1" x14ac:dyDescent="0.2">
      <c r="B6" s="18" t="s">
        <v>64</v>
      </c>
      <c r="C6" s="19" t="s">
        <v>1853</v>
      </c>
    </row>
    <row r="7" spans="1:5" ht="30" customHeight="1" x14ac:dyDescent="0.2">
      <c r="B7" s="18" t="s">
        <v>65</v>
      </c>
      <c r="C7" s="19" t="s">
        <v>66</v>
      </c>
    </row>
    <row r="8" spans="1:5" ht="30" customHeight="1" x14ac:dyDescent="0.2">
      <c r="B8" s="18" t="s">
        <v>10</v>
      </c>
      <c r="C8" s="19" t="s">
        <v>67</v>
      </c>
    </row>
    <row r="9" spans="1:5" ht="30" customHeight="1" x14ac:dyDescent="0.2">
      <c r="B9" s="18" t="s">
        <v>12</v>
      </c>
      <c r="C9" s="19" t="s">
        <v>68</v>
      </c>
    </row>
    <row r="10" spans="1:5" ht="30" customHeight="1" x14ac:dyDescent="0.2">
      <c r="B10" s="18" t="s">
        <v>14</v>
      </c>
      <c r="C10" s="19" t="s">
        <v>1854</v>
      </c>
    </row>
    <row r="11" spans="1:5" ht="30" customHeight="1" x14ac:dyDescent="0.2">
      <c r="B11" s="18" t="s">
        <v>27</v>
      </c>
      <c r="C11" s="19" t="s">
        <v>1970</v>
      </c>
    </row>
    <row r="12" spans="1:5" ht="30" customHeight="1" x14ac:dyDescent="0.2">
      <c r="B12" s="18" t="s">
        <v>28</v>
      </c>
      <c r="C12" s="19" t="s">
        <v>1855</v>
      </c>
    </row>
    <row r="13" spans="1:5" ht="30" customHeight="1" x14ac:dyDescent="0.2">
      <c r="B13" s="18" t="s">
        <v>30</v>
      </c>
      <c r="C13" s="19" t="s">
        <v>1856</v>
      </c>
    </row>
    <row r="14" spans="1:5" ht="30" customHeight="1" x14ac:dyDescent="0.2">
      <c r="B14" s="18" t="s">
        <v>32</v>
      </c>
      <c r="C14" s="19" t="s">
        <v>1857</v>
      </c>
    </row>
    <row r="15" spans="1:5" ht="30" customHeight="1" x14ac:dyDescent="0.2">
      <c r="B15" s="18" t="s">
        <v>15</v>
      </c>
      <c r="C15" s="19" t="s">
        <v>69</v>
      </c>
    </row>
    <row r="16" spans="1:5" ht="30" customHeight="1" x14ac:dyDescent="0.2">
      <c r="B16" s="18" t="s">
        <v>70</v>
      </c>
      <c r="C16" s="19" t="s">
        <v>71</v>
      </c>
    </row>
    <row r="17" spans="1:3" ht="30" customHeight="1" x14ac:dyDescent="0.2">
      <c r="B17" s="18" t="s">
        <v>72</v>
      </c>
      <c r="C17" s="19" t="s">
        <v>1972</v>
      </c>
    </row>
    <row r="18" spans="1:3" ht="30" customHeight="1" x14ac:dyDescent="0.2">
      <c r="B18" s="18" t="s">
        <v>73</v>
      </c>
      <c r="C18" s="19" t="s">
        <v>1858</v>
      </c>
    </row>
    <row r="20" spans="1:3" ht="24" customHeight="1" x14ac:dyDescent="0.2">
      <c r="B20" s="20" t="s">
        <v>74</v>
      </c>
      <c r="C20" s="21" t="s">
        <v>75</v>
      </c>
    </row>
    <row r="22" spans="1:3" ht="15" customHeight="1" x14ac:dyDescent="0.2">
      <c r="A22" s="22" t="s">
        <v>76</v>
      </c>
    </row>
    <row r="23" spans="1:3" ht="15" customHeight="1" x14ac:dyDescent="0.2">
      <c r="A23" s="23" t="s">
        <v>77</v>
      </c>
    </row>
    <row r="24" spans="1:3" ht="15" customHeight="1" x14ac:dyDescent="0.2">
      <c r="A24" s="23" t="s">
        <v>78</v>
      </c>
    </row>
    <row r="25" spans="1:3" ht="15" customHeight="1" x14ac:dyDescent="0.2">
      <c r="A25" s="23" t="s">
        <v>79</v>
      </c>
    </row>
    <row r="26" spans="1:3" ht="15" customHeight="1" x14ac:dyDescent="0.2">
      <c r="A26" s="23" t="s">
        <v>80</v>
      </c>
    </row>
    <row r="27" spans="1:3" ht="15" customHeight="1" x14ac:dyDescent="0.2">
      <c r="A27" s="23" t="s">
        <v>81</v>
      </c>
    </row>
    <row r="28" spans="1:3" ht="15" customHeight="1" x14ac:dyDescent="0.2">
      <c r="A28" s="23" t="s">
        <v>82</v>
      </c>
    </row>
    <row r="29" spans="1:3" ht="15" customHeight="1" x14ac:dyDescent="0.2">
      <c r="A29" s="23" t="s">
        <v>83</v>
      </c>
    </row>
    <row r="30" spans="1:3" ht="15" customHeight="1" x14ac:dyDescent="0.2">
      <c r="A30" s="23" t="s">
        <v>84</v>
      </c>
    </row>
    <row r="31" spans="1:3" ht="15" customHeight="1" x14ac:dyDescent="0.2">
      <c r="A31" s="23" t="s">
        <v>85</v>
      </c>
    </row>
    <row r="32" spans="1:3" ht="15" customHeight="1" x14ac:dyDescent="0.2">
      <c r="A32" s="23" t="s">
        <v>86</v>
      </c>
    </row>
    <row r="34" spans="1:1" x14ac:dyDescent="0.2">
      <c r="A34" s="273" t="s">
        <v>1859</v>
      </c>
    </row>
    <row r="35" spans="1:1" x14ac:dyDescent="0.2">
      <c r="A35" s="23" t="s">
        <v>1860</v>
      </c>
    </row>
    <row r="36" spans="1:1" x14ac:dyDescent="0.2">
      <c r="A36" s="23" t="s">
        <v>1971</v>
      </c>
    </row>
    <row r="37" spans="1:1" x14ac:dyDescent="0.2">
      <c r="A37" s="23" t="s">
        <v>1861</v>
      </c>
    </row>
    <row r="38" spans="1:1" x14ac:dyDescent="0.2">
      <c r="A38" s="23" t="s">
        <v>1862</v>
      </c>
    </row>
    <row r="39" spans="1:1" x14ac:dyDescent="0.2">
      <c r="A39" s="23" t="s">
        <v>1863</v>
      </c>
    </row>
    <row r="40" spans="1:1" x14ac:dyDescent="0.2">
      <c r="A40" s="23" t="s">
        <v>1982</v>
      </c>
    </row>
    <row r="41" spans="1:1" x14ac:dyDescent="0.2">
      <c r="A41" s="23" t="s">
        <v>1864</v>
      </c>
    </row>
    <row r="42" spans="1:1" x14ac:dyDescent="0.2">
      <c r="A42" s="23" t="s">
        <v>1942</v>
      </c>
    </row>
    <row r="43" spans="1:1" x14ac:dyDescent="0.2">
      <c r="A43" s="23" t="s">
        <v>1943</v>
      </c>
    </row>
    <row r="44" spans="1:1" x14ac:dyDescent="0.2">
      <c r="A44" s="23" t="s">
        <v>2018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F4E79"/>
  </sheetPr>
  <dimension ref="A1:I47"/>
  <sheetViews>
    <sheetView tabSelected="1" topLeftCell="A10" zoomScale="140" zoomScaleNormal="140" workbookViewId="0">
      <selection activeCell="C24" sqref="C24"/>
    </sheetView>
  </sheetViews>
  <sheetFormatPr baseColWidth="10" defaultColWidth="8.6640625" defaultRowHeight="15" x14ac:dyDescent="0.2"/>
  <cols>
    <col min="1" max="1" width="4" customWidth="1"/>
    <col min="2" max="2" width="52" customWidth="1"/>
    <col min="3" max="3" width="12" customWidth="1"/>
    <col min="4" max="6" width="11" customWidth="1"/>
    <col min="7" max="7" width="95" customWidth="1"/>
  </cols>
  <sheetData>
    <row r="1" spans="1:9" ht="15" customHeight="1" x14ac:dyDescent="0.2">
      <c r="A1" s="24" t="s">
        <v>87</v>
      </c>
      <c r="B1" s="14"/>
      <c r="C1" s="14"/>
      <c r="D1" s="14"/>
      <c r="E1" s="14"/>
      <c r="F1" s="14"/>
      <c r="G1" s="14"/>
      <c r="H1" s="14"/>
      <c r="I1" s="14"/>
    </row>
    <row r="2" spans="1:9" ht="15" customHeight="1" x14ac:dyDescent="0.2">
      <c r="A2" s="23" t="s">
        <v>88</v>
      </c>
    </row>
    <row r="3" spans="1:9" ht="15" customHeight="1" x14ac:dyDescent="0.2">
      <c r="A3" s="23" t="s">
        <v>89</v>
      </c>
    </row>
    <row r="5" spans="1:9" ht="15" customHeight="1" x14ac:dyDescent="0.2">
      <c r="A5" s="25" t="s">
        <v>90</v>
      </c>
      <c r="B5" s="26"/>
      <c r="C5" s="26"/>
      <c r="D5" s="26"/>
      <c r="E5" s="26"/>
      <c r="F5" s="26"/>
      <c r="G5" s="26"/>
      <c r="H5" s="26"/>
      <c r="I5" s="26"/>
    </row>
    <row r="6" spans="1:9" ht="15" customHeight="1" x14ac:dyDescent="0.2">
      <c r="B6" t="s">
        <v>91</v>
      </c>
      <c r="C6" s="27">
        <v>2</v>
      </c>
      <c r="G6" s="23" t="s">
        <v>92</v>
      </c>
    </row>
    <row r="7" spans="1:9" ht="15" customHeight="1" x14ac:dyDescent="0.2">
      <c r="B7" t="s">
        <v>93</v>
      </c>
      <c r="C7" s="20" t="str">
        <f>CHOOSE($C$6,"BÁSICO","MEDIO","ALTO")</f>
        <v>MEDIO</v>
      </c>
    </row>
    <row r="8" spans="1:9" ht="15" customHeight="1" x14ac:dyDescent="0.2">
      <c r="B8" t="s">
        <v>94</v>
      </c>
      <c r="C8" s="28">
        <f>CHOOSE($C$6,SUP_VOLUMEN!$C$23,SUP_VOLUMEN!$D$23,SUP_VOLUMEN!$E$23)</f>
        <v>3367</v>
      </c>
      <c r="G8" s="23" t="s">
        <v>95</v>
      </c>
    </row>
    <row r="10" spans="1:9" ht="15" customHeight="1" x14ac:dyDescent="0.2">
      <c r="A10" s="25" t="s">
        <v>96</v>
      </c>
      <c r="B10" s="26"/>
      <c r="C10" s="26"/>
      <c r="D10" s="26"/>
      <c r="E10" s="26"/>
      <c r="F10" s="26"/>
      <c r="G10" s="26"/>
      <c r="H10" s="26"/>
      <c r="I10" s="26"/>
    </row>
    <row r="11" spans="1:9" ht="15" customHeight="1" x14ac:dyDescent="0.2">
      <c r="B11" t="s">
        <v>97</v>
      </c>
      <c r="C11" s="27">
        <v>1</v>
      </c>
      <c r="G11" s="23" t="s">
        <v>98</v>
      </c>
    </row>
    <row r="12" spans="1:9" ht="15" customHeight="1" x14ac:dyDescent="0.2">
      <c r="B12" t="s">
        <v>99</v>
      </c>
      <c r="C12" s="27">
        <v>0</v>
      </c>
      <c r="G12" s="23" t="s">
        <v>100</v>
      </c>
    </row>
    <row r="13" spans="1:9" ht="15" customHeight="1" x14ac:dyDescent="0.2">
      <c r="B13" t="s">
        <v>101</v>
      </c>
      <c r="C13" s="27">
        <v>1</v>
      </c>
      <c r="G13" s="23" t="s">
        <v>102</v>
      </c>
    </row>
    <row r="14" spans="1:9" ht="15" customHeight="1" x14ac:dyDescent="0.2">
      <c r="B14" t="s">
        <v>103</v>
      </c>
      <c r="C14" s="27">
        <v>0</v>
      </c>
      <c r="G14" s="23" t="s">
        <v>104</v>
      </c>
    </row>
    <row r="16" spans="1:9" ht="15" customHeight="1" x14ac:dyDescent="0.2">
      <c r="A16" s="25" t="s">
        <v>105</v>
      </c>
      <c r="B16" s="26"/>
      <c r="C16" s="26"/>
      <c r="D16" s="26"/>
      <c r="E16" s="26"/>
      <c r="F16" s="26"/>
      <c r="G16" s="26"/>
      <c r="H16" s="26"/>
      <c r="I16" s="26"/>
    </row>
    <row r="17" spans="1:9" ht="15" customHeight="1" x14ac:dyDescent="0.2">
      <c r="B17" t="s">
        <v>106</v>
      </c>
      <c r="C17" s="29">
        <v>7</v>
      </c>
      <c r="G17" s="23" t="s">
        <v>107</v>
      </c>
    </row>
    <row r="18" spans="1:9" ht="15" customHeight="1" x14ac:dyDescent="0.2">
      <c r="B18" t="s">
        <v>108</v>
      </c>
      <c r="C18" s="29">
        <v>3</v>
      </c>
      <c r="G18" s="23" t="s">
        <v>109</v>
      </c>
    </row>
    <row r="19" spans="1:9" ht="15" customHeight="1" x14ac:dyDescent="0.2">
      <c r="B19" t="s">
        <v>110</v>
      </c>
      <c r="C19" s="29">
        <v>1</v>
      </c>
      <c r="G19" s="23" t="s">
        <v>111</v>
      </c>
    </row>
    <row r="20" spans="1:9" ht="15" customHeight="1" x14ac:dyDescent="0.2">
      <c r="B20" t="s">
        <v>112</v>
      </c>
      <c r="C20" s="29">
        <v>30</v>
      </c>
      <c r="G20" s="23" t="s">
        <v>113</v>
      </c>
    </row>
    <row r="21" spans="1:9" ht="15" customHeight="1" x14ac:dyDescent="0.2">
      <c r="B21" t="s">
        <v>114</v>
      </c>
      <c r="C21" s="30">
        <v>50</v>
      </c>
      <c r="G21" s="23" t="s">
        <v>115</v>
      </c>
    </row>
    <row r="22" spans="1:9" ht="15" customHeight="1" x14ac:dyDescent="0.2">
      <c r="B22" t="s">
        <v>116</v>
      </c>
      <c r="C22" s="30">
        <v>36</v>
      </c>
      <c r="G22" s="23" t="s">
        <v>117</v>
      </c>
    </row>
    <row r="23" spans="1:9" ht="15" customHeight="1" x14ac:dyDescent="0.2">
      <c r="B23" t="s">
        <v>118</v>
      </c>
      <c r="C23" s="30">
        <v>120</v>
      </c>
      <c r="G23" s="23" t="s">
        <v>119</v>
      </c>
    </row>
    <row r="24" spans="1:9" x14ac:dyDescent="0.2">
      <c r="B24" t="s">
        <v>2013</v>
      </c>
      <c r="C24" s="296">
        <v>0</v>
      </c>
      <c r="D24" t="s">
        <v>2014</v>
      </c>
      <c r="E24" s="190">
        <v>13</v>
      </c>
      <c r="F24" s="23" t="s">
        <v>2015</v>
      </c>
    </row>
    <row r="25" spans="1:9" ht="15" customHeight="1" x14ac:dyDescent="0.2">
      <c r="A25" s="25" t="s">
        <v>120</v>
      </c>
      <c r="B25" s="26"/>
      <c r="C25" s="26"/>
      <c r="D25" s="26"/>
      <c r="E25" s="26"/>
      <c r="F25" s="26"/>
      <c r="G25" s="26"/>
      <c r="H25" s="26"/>
      <c r="I25" s="26"/>
    </row>
    <row r="26" spans="1:9" ht="15" customHeight="1" x14ac:dyDescent="0.2">
      <c r="B26" t="s">
        <v>121</v>
      </c>
      <c r="C26" s="31">
        <f>SUP_PRECIOS!$J$25/SUP_VOLUMEN!$D$30</f>
        <v>12.97788130119463</v>
      </c>
      <c r="G26" s="23" t="s">
        <v>122</v>
      </c>
    </row>
    <row r="27" spans="1:9" ht="15" customHeight="1" x14ac:dyDescent="0.2">
      <c r="B27" t="s">
        <v>123</v>
      </c>
      <c r="C27" s="31">
        <f>SUP_PRECIOS!$K$25/SUP_VOLUMEN!$D$30</f>
        <v>6.0658451523893451</v>
      </c>
      <c r="G27" s="23" t="s">
        <v>124</v>
      </c>
    </row>
    <row r="28" spans="1:9" ht="15" customHeight="1" x14ac:dyDescent="0.2">
      <c r="B28" t="s">
        <v>125</v>
      </c>
      <c r="C28" s="32">
        <f>SUP_COSTOS!$C$6</f>
        <v>2</v>
      </c>
      <c r="G28" s="23" t="s">
        <v>126</v>
      </c>
    </row>
    <row r="30" spans="1:9" ht="15" customHeight="1" x14ac:dyDescent="0.2">
      <c r="A30" s="25" t="s">
        <v>127</v>
      </c>
      <c r="B30" s="26"/>
      <c r="C30" s="26"/>
      <c r="D30" s="26"/>
      <c r="E30" s="26"/>
      <c r="F30" s="26"/>
      <c r="G30" s="26"/>
      <c r="H30" s="26"/>
      <c r="I30" s="26"/>
    </row>
    <row r="31" spans="1:9" ht="15" customHeight="1" x14ac:dyDescent="0.2">
      <c r="B31" t="s">
        <v>128</v>
      </c>
      <c r="C31" s="33">
        <v>0.25</v>
      </c>
      <c r="G31" s="23" t="s">
        <v>129</v>
      </c>
    </row>
    <row r="32" spans="1:9" ht="15" customHeight="1" x14ac:dyDescent="0.2">
      <c r="B32" t="s">
        <v>130</v>
      </c>
      <c r="C32" s="34">
        <f>(1+$C$31)^(1/12)-1</f>
        <v>1.8769265121506118E-2</v>
      </c>
    </row>
    <row r="33" spans="1:9" ht="15" customHeight="1" x14ac:dyDescent="0.2">
      <c r="B33" t="s">
        <v>131</v>
      </c>
      <c r="C33" s="35">
        <v>0.34</v>
      </c>
      <c r="G33" s="23" t="s">
        <v>132</v>
      </c>
    </row>
    <row r="34" spans="1:9" ht="15" customHeight="1" x14ac:dyDescent="0.2">
      <c r="B34" t="s">
        <v>133</v>
      </c>
      <c r="C34" s="36">
        <f>SUP_PRECIOS!$C$4</f>
        <v>0.16</v>
      </c>
    </row>
    <row r="36" spans="1:9" ht="15" customHeight="1" x14ac:dyDescent="0.2">
      <c r="A36" s="25" t="s">
        <v>134</v>
      </c>
      <c r="B36" s="26"/>
      <c r="C36" s="26"/>
      <c r="D36" s="26"/>
      <c r="E36" s="26"/>
      <c r="F36" s="26"/>
      <c r="G36" s="26"/>
      <c r="H36" s="26"/>
      <c r="I36" s="26"/>
    </row>
    <row r="37" spans="1:9" ht="15" customHeight="1" x14ac:dyDescent="0.2">
      <c r="B37" t="s">
        <v>135</v>
      </c>
      <c r="C37" s="33">
        <v>0.05</v>
      </c>
      <c r="G37" s="23" t="s">
        <v>136</v>
      </c>
    </row>
    <row r="38" spans="1:9" ht="15" customHeight="1" x14ac:dyDescent="0.2">
      <c r="B38" t="s">
        <v>137</v>
      </c>
      <c r="C38" s="35">
        <v>0.5</v>
      </c>
      <c r="G38" s="23" t="s">
        <v>138</v>
      </c>
    </row>
    <row r="40" spans="1:9" ht="15" customHeight="1" x14ac:dyDescent="0.2">
      <c r="A40" s="25" t="s">
        <v>139</v>
      </c>
      <c r="B40" s="26"/>
      <c r="C40" s="26"/>
      <c r="D40" s="26"/>
      <c r="E40" s="26"/>
      <c r="F40" s="26"/>
      <c r="G40" s="26"/>
      <c r="H40" s="26"/>
      <c r="I40" s="26"/>
    </row>
    <row r="41" spans="1:9" ht="15" customHeight="1" x14ac:dyDescent="0.2">
      <c r="B41" s="20" t="s">
        <v>140</v>
      </c>
      <c r="C41" s="5" t="s">
        <v>6</v>
      </c>
      <c r="D41" s="5"/>
      <c r="E41" s="5"/>
      <c r="F41" s="5"/>
      <c r="G41" s="23" t="s">
        <v>141</v>
      </c>
    </row>
    <row r="42" spans="1:9" ht="15" customHeight="1" x14ac:dyDescent="0.2">
      <c r="B42" s="20" t="s">
        <v>142</v>
      </c>
      <c r="C42" s="5" t="s">
        <v>36</v>
      </c>
      <c r="D42" s="5"/>
      <c r="E42" s="5"/>
      <c r="F42" s="5"/>
      <c r="G42" s="23" t="s">
        <v>143</v>
      </c>
    </row>
    <row r="43" spans="1:9" ht="15" customHeight="1" x14ac:dyDescent="0.2">
      <c r="B43" s="20" t="s">
        <v>144</v>
      </c>
      <c r="C43" s="5" t="s">
        <v>145</v>
      </c>
      <c r="D43" s="5"/>
      <c r="E43" s="5"/>
      <c r="F43" s="5"/>
      <c r="G43" s="23" t="s">
        <v>146</v>
      </c>
    </row>
    <row r="44" spans="1:9" ht="15" customHeight="1" x14ac:dyDescent="0.2">
      <c r="B44" s="20" t="s">
        <v>147</v>
      </c>
      <c r="C44" s="5" t="s">
        <v>148</v>
      </c>
      <c r="D44" s="5"/>
      <c r="E44" s="5"/>
      <c r="F44" s="5"/>
      <c r="G44" s="23" t="s">
        <v>149</v>
      </c>
    </row>
    <row r="45" spans="1:9" ht="15" customHeight="1" x14ac:dyDescent="0.2">
      <c r="B45" s="20" t="s">
        <v>150</v>
      </c>
      <c r="C45" s="5" t="s">
        <v>151</v>
      </c>
      <c r="D45" s="5"/>
      <c r="E45" s="5"/>
      <c r="F45" s="5"/>
      <c r="G45" s="23" t="s">
        <v>152</v>
      </c>
    </row>
    <row r="46" spans="1:9" ht="15" customHeight="1" x14ac:dyDescent="0.2">
      <c r="B46" s="20" t="s">
        <v>153</v>
      </c>
      <c r="C46" s="5" t="s">
        <v>154</v>
      </c>
      <c r="D46" s="5"/>
      <c r="E46" s="5"/>
      <c r="F46" s="5"/>
      <c r="G46" s="23" t="s">
        <v>155</v>
      </c>
    </row>
    <row r="47" spans="1:9" ht="15" customHeight="1" x14ac:dyDescent="0.2">
      <c r="B47" s="20" t="s">
        <v>156</v>
      </c>
      <c r="C47" s="5" t="s">
        <v>52</v>
      </c>
      <c r="D47" s="5"/>
      <c r="E47" s="5"/>
      <c r="F47" s="5"/>
      <c r="G47" s="23" t="s">
        <v>157</v>
      </c>
    </row>
  </sheetData>
  <mergeCells count="7">
    <mergeCell ref="C46:F46"/>
    <mergeCell ref="C47:F47"/>
    <mergeCell ref="C41:F41"/>
    <mergeCell ref="C42:F42"/>
    <mergeCell ref="C43:F43"/>
    <mergeCell ref="C44:F44"/>
    <mergeCell ref="C45:F45"/>
  </mergeCells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2E75B6"/>
  </sheetPr>
  <dimension ref="A1:H73"/>
  <sheetViews>
    <sheetView showGridLines="0" topLeftCell="A47" zoomScale="140" zoomScaleNormal="140" workbookViewId="0">
      <selection activeCell="E40" sqref="E40"/>
    </sheetView>
  </sheetViews>
  <sheetFormatPr baseColWidth="10" defaultColWidth="8.6640625" defaultRowHeight="15" x14ac:dyDescent="0.2"/>
  <cols>
    <col min="1" max="1" width="9" customWidth="1"/>
    <col min="2" max="2" width="16" customWidth="1"/>
    <col min="3" max="3" width="46" customWidth="1"/>
    <col min="4" max="4" width="62" customWidth="1"/>
    <col min="5" max="7" width="16" customWidth="1"/>
    <col min="8" max="8" width="60" customWidth="1"/>
  </cols>
  <sheetData>
    <row r="1" spans="1:8" ht="18.75" customHeight="1" x14ac:dyDescent="0.25">
      <c r="A1" s="38" t="s">
        <v>158</v>
      </c>
      <c r="B1" s="14"/>
      <c r="C1" s="14"/>
      <c r="D1" s="14"/>
      <c r="E1" s="14"/>
      <c r="F1" s="14"/>
      <c r="G1" s="14"/>
      <c r="H1" s="14"/>
    </row>
    <row r="2" spans="1:8" ht="15" customHeight="1" x14ac:dyDescent="0.2">
      <c r="A2" s="17" t="s">
        <v>159</v>
      </c>
    </row>
    <row r="3" spans="1:8" ht="15" customHeight="1" x14ac:dyDescent="0.2">
      <c r="A3" s="39" t="s">
        <v>89</v>
      </c>
    </row>
    <row r="5" spans="1:8" ht="15" customHeight="1" x14ac:dyDescent="0.2">
      <c r="A5" s="40" t="s">
        <v>160</v>
      </c>
      <c r="B5" s="41"/>
      <c r="C5" s="41"/>
      <c r="D5" s="41"/>
      <c r="E5" s="41"/>
      <c r="F5" s="41"/>
      <c r="G5" s="41"/>
      <c r="H5" s="41"/>
    </row>
    <row r="6" spans="1:8" ht="15" customHeight="1" x14ac:dyDescent="0.2">
      <c r="A6" s="42" t="s">
        <v>161</v>
      </c>
      <c r="B6" s="42" t="s">
        <v>162</v>
      </c>
      <c r="C6" s="42" t="s">
        <v>163</v>
      </c>
      <c r="D6" s="42" t="s">
        <v>164</v>
      </c>
      <c r="E6" s="42"/>
      <c r="F6" s="42"/>
      <c r="G6" s="42"/>
      <c r="H6" s="42" t="s">
        <v>165</v>
      </c>
    </row>
    <row r="7" spans="1:8" ht="15" customHeight="1" x14ac:dyDescent="0.2">
      <c r="A7" s="43" t="s">
        <v>166</v>
      </c>
      <c r="B7" s="43" t="s">
        <v>167</v>
      </c>
      <c r="C7" s="43" t="s">
        <v>168</v>
      </c>
      <c r="D7" s="44" t="s">
        <v>169</v>
      </c>
      <c r="H7" s="21" t="s">
        <v>170</v>
      </c>
    </row>
    <row r="8" spans="1:8" ht="15" customHeight="1" x14ac:dyDescent="0.2">
      <c r="A8" s="43" t="s">
        <v>171</v>
      </c>
      <c r="B8" s="43" t="s">
        <v>167</v>
      </c>
      <c r="C8" s="43" t="s">
        <v>172</v>
      </c>
      <c r="D8" s="44" t="s">
        <v>173</v>
      </c>
      <c r="H8" s="21" t="s">
        <v>174</v>
      </c>
    </row>
    <row r="9" spans="1:8" ht="15" customHeight="1" x14ac:dyDescent="0.2">
      <c r="A9" s="43" t="s">
        <v>175</v>
      </c>
      <c r="B9" s="43" t="s">
        <v>167</v>
      </c>
      <c r="C9" s="43" t="s">
        <v>176</v>
      </c>
      <c r="D9" s="44" t="s">
        <v>177</v>
      </c>
      <c r="H9" s="21" t="s">
        <v>178</v>
      </c>
    </row>
    <row r="10" spans="1:8" ht="15" customHeight="1" x14ac:dyDescent="0.2">
      <c r="A10" s="43" t="s">
        <v>179</v>
      </c>
      <c r="B10" s="43" t="s">
        <v>167</v>
      </c>
      <c r="C10" s="43" t="s">
        <v>180</v>
      </c>
      <c r="D10" s="44" t="s">
        <v>181</v>
      </c>
      <c r="H10" s="21" t="s">
        <v>182</v>
      </c>
    </row>
    <row r="11" spans="1:8" ht="15" customHeight="1" x14ac:dyDescent="0.2">
      <c r="A11" s="43" t="s">
        <v>183</v>
      </c>
      <c r="B11" s="43" t="s">
        <v>167</v>
      </c>
      <c r="C11" s="43" t="s">
        <v>184</v>
      </c>
      <c r="D11" s="44" t="s">
        <v>185</v>
      </c>
      <c r="H11" s="21" t="s">
        <v>186</v>
      </c>
    </row>
    <row r="12" spans="1:8" ht="15" customHeight="1" x14ac:dyDescent="0.2">
      <c r="A12" s="43" t="s">
        <v>187</v>
      </c>
      <c r="B12" s="43" t="s">
        <v>188</v>
      </c>
      <c r="C12" s="43" t="s">
        <v>189</v>
      </c>
      <c r="D12" s="44" t="s">
        <v>190</v>
      </c>
      <c r="H12" s="21" t="s">
        <v>191</v>
      </c>
    </row>
    <row r="13" spans="1:8" ht="15" customHeight="1" x14ac:dyDescent="0.2">
      <c r="A13" s="43" t="s">
        <v>192</v>
      </c>
      <c r="B13" s="43" t="s">
        <v>188</v>
      </c>
      <c r="C13" s="43" t="s">
        <v>193</v>
      </c>
      <c r="D13" s="44" t="s">
        <v>194</v>
      </c>
      <c r="H13" s="21" t="s">
        <v>195</v>
      </c>
    </row>
    <row r="14" spans="1:8" ht="15" customHeight="1" x14ac:dyDescent="0.2">
      <c r="A14" s="43" t="s">
        <v>196</v>
      </c>
      <c r="B14" s="43" t="s">
        <v>188</v>
      </c>
      <c r="C14" s="43" t="s">
        <v>197</v>
      </c>
      <c r="D14" s="44" t="s">
        <v>198</v>
      </c>
      <c r="H14" s="21" t="s">
        <v>199</v>
      </c>
    </row>
    <row r="15" spans="1:8" ht="15" customHeight="1" x14ac:dyDescent="0.2">
      <c r="A15" s="43" t="s">
        <v>200</v>
      </c>
      <c r="B15" s="43" t="s">
        <v>188</v>
      </c>
      <c r="C15" s="43" t="s">
        <v>201</v>
      </c>
      <c r="D15" s="44" t="s">
        <v>202</v>
      </c>
      <c r="H15" s="21" t="s">
        <v>203</v>
      </c>
    </row>
    <row r="16" spans="1:8" ht="15" customHeight="1" x14ac:dyDescent="0.2">
      <c r="A16" s="43" t="s">
        <v>204</v>
      </c>
      <c r="B16" s="45" t="s">
        <v>205</v>
      </c>
      <c r="C16" s="45" t="s">
        <v>206</v>
      </c>
      <c r="D16" s="44" t="s">
        <v>207</v>
      </c>
      <c r="H16" s="21" t="s">
        <v>208</v>
      </c>
    </row>
    <row r="17" spans="1:8" ht="15" customHeight="1" x14ac:dyDescent="0.2">
      <c r="A17" s="43" t="s">
        <v>209</v>
      </c>
      <c r="B17" s="43" t="s">
        <v>210</v>
      </c>
      <c r="C17" s="43" t="s">
        <v>211</v>
      </c>
      <c r="D17" s="44" t="s">
        <v>212</v>
      </c>
      <c r="H17" s="21" t="s">
        <v>213</v>
      </c>
    </row>
    <row r="18" spans="1:8" ht="23.25" customHeight="1" x14ac:dyDescent="0.2">
      <c r="A18" s="43" t="s">
        <v>214</v>
      </c>
      <c r="B18" s="43" t="s">
        <v>215</v>
      </c>
      <c r="C18" s="43" t="s">
        <v>216</v>
      </c>
      <c r="D18" s="44" t="s">
        <v>217</v>
      </c>
      <c r="H18" s="21" t="s">
        <v>218</v>
      </c>
    </row>
    <row r="19" spans="1:8" ht="15" customHeight="1" x14ac:dyDescent="0.2">
      <c r="A19" s="43" t="s">
        <v>219</v>
      </c>
      <c r="B19" s="43" t="s">
        <v>220</v>
      </c>
      <c r="C19" s="43" t="s">
        <v>221</v>
      </c>
      <c r="D19" s="44" t="s">
        <v>222</v>
      </c>
      <c r="H19" s="21" t="s">
        <v>223</v>
      </c>
    </row>
    <row r="20" spans="1:8" ht="15" customHeight="1" x14ac:dyDescent="0.2">
      <c r="A20" s="43" t="s">
        <v>224</v>
      </c>
      <c r="B20" s="43" t="s">
        <v>220</v>
      </c>
      <c r="C20" s="43" t="s">
        <v>225</v>
      </c>
      <c r="D20" s="44" t="s">
        <v>226</v>
      </c>
      <c r="H20" s="21" t="s">
        <v>227</v>
      </c>
    </row>
    <row r="21" spans="1:8" ht="15" customHeight="1" x14ac:dyDescent="0.2">
      <c r="A21" s="43" t="s">
        <v>228</v>
      </c>
      <c r="B21" s="43" t="s">
        <v>229</v>
      </c>
      <c r="C21" s="43" t="s">
        <v>230</v>
      </c>
      <c r="D21" s="44" t="s">
        <v>231</v>
      </c>
      <c r="H21" s="21" t="s">
        <v>232</v>
      </c>
    </row>
    <row r="22" spans="1:8" ht="15" customHeight="1" x14ac:dyDescent="0.2">
      <c r="A22" s="43" t="s">
        <v>233</v>
      </c>
      <c r="B22" s="43" t="s">
        <v>229</v>
      </c>
      <c r="C22" s="43" t="s">
        <v>234</v>
      </c>
      <c r="D22" s="44" t="s">
        <v>235</v>
      </c>
      <c r="H22" s="21" t="s">
        <v>236</v>
      </c>
    </row>
    <row r="23" spans="1:8" ht="15" customHeight="1" x14ac:dyDescent="0.2">
      <c r="A23" s="43" t="s">
        <v>237</v>
      </c>
      <c r="B23" s="43" t="s">
        <v>229</v>
      </c>
      <c r="C23" s="43" t="s">
        <v>238</v>
      </c>
      <c r="D23" s="44" t="s">
        <v>239</v>
      </c>
      <c r="H23" s="21" t="s">
        <v>240</v>
      </c>
    </row>
    <row r="25" spans="1:8" ht="36" customHeight="1" x14ac:dyDescent="0.2">
      <c r="C25" s="21" t="s">
        <v>241</v>
      </c>
    </row>
    <row r="27" spans="1:8" ht="15" customHeight="1" x14ac:dyDescent="0.2">
      <c r="A27" s="40" t="s">
        <v>242</v>
      </c>
      <c r="B27" s="41"/>
      <c r="C27" s="41"/>
      <c r="D27" s="41"/>
      <c r="E27" s="41"/>
      <c r="F27" s="41"/>
      <c r="G27" s="41"/>
      <c r="H27" s="41"/>
    </row>
    <row r="28" spans="1:8" ht="15" customHeight="1" x14ac:dyDescent="0.2">
      <c r="B28" s="46"/>
      <c r="C28" s="46" t="s">
        <v>243</v>
      </c>
      <c r="E28" s="47">
        <v>0.5</v>
      </c>
      <c r="H28" s="39" t="s">
        <v>244</v>
      </c>
    </row>
    <row r="29" spans="1:8" ht="15" customHeight="1" x14ac:dyDescent="0.2">
      <c r="B29" s="46"/>
      <c r="C29" s="46" t="s">
        <v>245</v>
      </c>
      <c r="E29" s="48">
        <v>0.35</v>
      </c>
      <c r="H29" s="39" t="s">
        <v>246</v>
      </c>
    </row>
    <row r="30" spans="1:8" ht="15" customHeight="1" x14ac:dyDescent="0.2">
      <c r="B30" s="46"/>
      <c r="C30" s="46" t="s">
        <v>247</v>
      </c>
      <c r="E30" s="48">
        <v>0.15</v>
      </c>
      <c r="H30" s="39" t="s">
        <v>248</v>
      </c>
    </row>
    <row r="31" spans="1:8" ht="15" customHeight="1" x14ac:dyDescent="0.2">
      <c r="B31" s="46"/>
      <c r="C31" s="46" t="s">
        <v>249</v>
      </c>
      <c r="E31" s="49">
        <f>SUM(E28:E30)</f>
        <v>1</v>
      </c>
      <c r="H31" s="39"/>
    </row>
    <row r="32" spans="1:8" ht="15" customHeight="1" x14ac:dyDescent="0.2">
      <c r="B32" s="46"/>
      <c r="C32" s="46" t="s">
        <v>250</v>
      </c>
      <c r="E32" s="48">
        <v>0.45</v>
      </c>
      <c r="H32" s="39" t="s">
        <v>251</v>
      </c>
    </row>
    <row r="33" spans="1:8" ht="15" customHeight="1" x14ac:dyDescent="0.2">
      <c r="B33" s="46"/>
      <c r="C33" s="46" t="s">
        <v>252</v>
      </c>
      <c r="E33" s="48">
        <v>0.35</v>
      </c>
      <c r="H33" s="39"/>
    </row>
    <row r="34" spans="1:8" ht="15" customHeight="1" x14ac:dyDescent="0.2">
      <c r="B34" s="46"/>
      <c r="C34" s="46" t="s">
        <v>253</v>
      </c>
      <c r="E34" s="48">
        <v>0.2</v>
      </c>
      <c r="H34" s="39" t="s">
        <v>254</v>
      </c>
    </row>
    <row r="35" spans="1:8" ht="15" customHeight="1" x14ac:dyDescent="0.2">
      <c r="B35" s="46"/>
      <c r="C35" s="46" t="s">
        <v>255</v>
      </c>
      <c r="E35" s="49">
        <f>SUM(E32:E34)</f>
        <v>1</v>
      </c>
      <c r="H35" s="39"/>
    </row>
    <row r="36" spans="1:8" ht="15" customHeight="1" x14ac:dyDescent="0.2">
      <c r="B36" s="46"/>
      <c r="C36" s="46" t="s">
        <v>256</v>
      </c>
      <c r="E36" s="47">
        <v>0.35</v>
      </c>
      <c r="H36" s="39" t="s">
        <v>257</v>
      </c>
    </row>
    <row r="37" spans="1:8" ht="15" customHeight="1" x14ac:dyDescent="0.2">
      <c r="B37" s="46"/>
      <c r="C37" s="46" t="s">
        <v>258</v>
      </c>
      <c r="E37" s="48">
        <v>0.12</v>
      </c>
      <c r="H37" s="39" t="s">
        <v>259</v>
      </c>
    </row>
    <row r="38" spans="1:8" ht="15" customHeight="1" x14ac:dyDescent="0.2">
      <c r="B38" s="46"/>
      <c r="C38" s="46" t="s">
        <v>260</v>
      </c>
      <c r="E38" s="47">
        <v>0.2</v>
      </c>
      <c r="H38" s="39" t="s">
        <v>261</v>
      </c>
    </row>
    <row r="39" spans="1:8" ht="15" customHeight="1" x14ac:dyDescent="0.2">
      <c r="B39" s="46"/>
      <c r="C39" s="46" t="s">
        <v>262</v>
      </c>
      <c r="E39" s="48">
        <v>0</v>
      </c>
      <c r="H39" s="39"/>
    </row>
    <row r="40" spans="1:8" ht="15" customHeight="1" x14ac:dyDescent="0.2">
      <c r="B40" s="46"/>
      <c r="C40" s="46" t="s">
        <v>263</v>
      </c>
      <c r="E40" s="50">
        <v>300</v>
      </c>
      <c r="H40" s="39" t="s">
        <v>264</v>
      </c>
    </row>
    <row r="41" spans="1:8" ht="15" customHeight="1" x14ac:dyDescent="0.2">
      <c r="B41" s="46"/>
      <c r="C41" s="46" t="s">
        <v>265</v>
      </c>
      <c r="E41" s="50">
        <v>120</v>
      </c>
      <c r="H41" s="39"/>
    </row>
    <row r="43" spans="1:8" ht="15" customHeight="1" x14ac:dyDescent="0.2">
      <c r="A43" s="40" t="s">
        <v>266</v>
      </c>
      <c r="B43" s="41"/>
      <c r="C43" s="41"/>
      <c r="D43" s="41"/>
      <c r="E43" s="41"/>
      <c r="F43" s="41"/>
      <c r="G43" s="41"/>
      <c r="H43" s="41"/>
    </row>
    <row r="44" spans="1:8" ht="15" customHeight="1" x14ac:dyDescent="0.2">
      <c r="C44" s="46" t="s">
        <v>267</v>
      </c>
      <c r="E44" s="51">
        <f>SUP_VOLUMEN!$D$23</f>
        <v>3367</v>
      </c>
    </row>
    <row r="45" spans="1:8" ht="15" customHeight="1" x14ac:dyDescent="0.2">
      <c r="C45" s="43" t="s">
        <v>268</v>
      </c>
      <c r="E45" s="52">
        <f>$E$44*SUP_VOLUMEN!$C$35</f>
        <v>1683.5</v>
      </c>
      <c r="H45" s="39" t="s">
        <v>269</v>
      </c>
    </row>
    <row r="46" spans="1:8" ht="15" customHeight="1" x14ac:dyDescent="0.2">
      <c r="C46" s="43" t="s">
        <v>270</v>
      </c>
      <c r="E46" s="52">
        <f>$E$44*SUP_VOLUMEN!$C$36</f>
        <v>1010.0999999999999</v>
      </c>
    </row>
    <row r="47" spans="1:8" ht="15" customHeight="1" x14ac:dyDescent="0.2">
      <c r="C47" s="43" t="s">
        <v>271</v>
      </c>
      <c r="E47" s="52">
        <f>$E$44*SUP_VOLUMEN!$C$37</f>
        <v>202.01999999999998</v>
      </c>
    </row>
    <row r="48" spans="1:8" ht="15" customHeight="1" x14ac:dyDescent="0.2">
      <c r="C48" s="43" t="s">
        <v>272</v>
      </c>
      <c r="E48" s="52">
        <f>$E$44*SUP_VOLUMEN!$C$38</f>
        <v>269.36</v>
      </c>
    </row>
    <row r="49" spans="1:8" ht="15" customHeight="1" x14ac:dyDescent="0.2">
      <c r="C49" s="43" t="s">
        <v>273</v>
      </c>
      <c r="E49" s="52">
        <f>$E$44*SUP_VOLUMEN!$C$39</f>
        <v>202.01999999999998</v>
      </c>
    </row>
    <row r="51" spans="1:8" ht="15" customHeight="1" x14ac:dyDescent="0.2">
      <c r="A51" s="40" t="s">
        <v>274</v>
      </c>
      <c r="B51" s="41"/>
      <c r="C51" s="41"/>
      <c r="D51" s="41"/>
      <c r="E51" s="41"/>
      <c r="F51" s="41"/>
      <c r="G51" s="41"/>
      <c r="H51" s="41"/>
    </row>
    <row r="52" spans="1:8" ht="15" customHeight="1" x14ac:dyDescent="0.2">
      <c r="A52" s="42" t="s">
        <v>161</v>
      </c>
      <c r="B52" s="42"/>
      <c r="C52" s="42" t="s">
        <v>163</v>
      </c>
      <c r="D52" s="42"/>
      <c r="E52" s="42" t="s">
        <v>275</v>
      </c>
      <c r="F52" s="42" t="s">
        <v>276</v>
      </c>
      <c r="G52" s="42" t="s">
        <v>277</v>
      </c>
      <c r="H52" s="42" t="s">
        <v>278</v>
      </c>
    </row>
    <row r="53" spans="1:8" ht="15" customHeight="1" x14ac:dyDescent="0.2">
      <c r="A53" s="43" t="s">
        <v>166</v>
      </c>
      <c r="C53" s="43" t="s">
        <v>168</v>
      </c>
      <c r="E53" s="52">
        <f>$E$45*$E$28*(1-$E$36)</f>
        <v>547.13750000000005</v>
      </c>
      <c r="F53" s="51">
        <f>E53*(1+SUP_VOLUMEN!$C$26)</f>
        <v>711.27875000000006</v>
      </c>
      <c r="G53" s="51">
        <f>E53*(1+SUP_VOLUMEN!$C$27)</f>
        <v>1094.2750000000001</v>
      </c>
      <c r="H53" s="39" t="s">
        <v>279</v>
      </c>
    </row>
    <row r="54" spans="1:8" ht="15" customHeight="1" x14ac:dyDescent="0.2">
      <c r="A54" s="43" t="s">
        <v>171</v>
      </c>
      <c r="C54" s="43" t="s">
        <v>172</v>
      </c>
      <c r="E54" s="52">
        <f>$E$45*$E$28*$E$36</f>
        <v>294.61249999999995</v>
      </c>
      <c r="F54" s="51">
        <f>E54*(1+SUP_VOLUMEN!$C$26)</f>
        <v>382.99624999999997</v>
      </c>
      <c r="G54" s="51">
        <f>E54*(1+SUP_VOLUMEN!$C$27)</f>
        <v>589.22499999999991</v>
      </c>
      <c r="H54" s="39" t="s">
        <v>280</v>
      </c>
    </row>
    <row r="55" spans="1:8" ht="15" customHeight="1" x14ac:dyDescent="0.2">
      <c r="A55" s="43" t="s">
        <v>175</v>
      </c>
      <c r="C55" s="43" t="s">
        <v>176</v>
      </c>
      <c r="E55" s="52">
        <f>$E$45*$E$29*2*(1-$E$36)</f>
        <v>765.99249999999995</v>
      </c>
      <c r="F55" s="51">
        <f>E55*(1+SUP_VOLUMEN!$C$26)</f>
        <v>995.79025000000001</v>
      </c>
      <c r="G55" s="51">
        <f>E55*(1+SUP_VOLUMEN!$C$27)</f>
        <v>1531.9849999999999</v>
      </c>
      <c r="H55" s="39" t="s">
        <v>281</v>
      </c>
    </row>
    <row r="56" spans="1:8" ht="15" customHeight="1" x14ac:dyDescent="0.2">
      <c r="A56" s="43" t="s">
        <v>179</v>
      </c>
      <c r="C56" s="43" t="s">
        <v>180</v>
      </c>
      <c r="E56" s="52">
        <f>$E$45*$E$29*2*$E$36</f>
        <v>412.45749999999992</v>
      </c>
      <c r="F56" s="51">
        <f>E56*(1+SUP_VOLUMEN!$C$26)</f>
        <v>536.19474999999989</v>
      </c>
      <c r="G56" s="51">
        <f>E56*(1+SUP_VOLUMEN!$C$27)</f>
        <v>824.91499999999985</v>
      </c>
      <c r="H56" s="39" t="s">
        <v>282</v>
      </c>
    </row>
    <row r="57" spans="1:8" ht="15" customHeight="1" x14ac:dyDescent="0.2">
      <c r="A57" s="43" t="s">
        <v>183</v>
      </c>
      <c r="C57" s="43" t="s">
        <v>184</v>
      </c>
      <c r="E57" s="52">
        <f>$E$45*$E$30*4</f>
        <v>1010.0999999999999</v>
      </c>
      <c r="F57" s="51">
        <f>E57*(1+SUP_VOLUMEN!$C$26)</f>
        <v>1313.1299999999999</v>
      </c>
      <c r="G57" s="51">
        <f>E57*(1+SUP_VOLUMEN!$C$27)</f>
        <v>2020.1999999999998</v>
      </c>
      <c r="H57" s="39" t="s">
        <v>283</v>
      </c>
    </row>
    <row r="58" spans="1:8" ht="15" customHeight="1" x14ac:dyDescent="0.2">
      <c r="A58" s="43" t="s">
        <v>187</v>
      </c>
      <c r="C58" s="43" t="s">
        <v>189</v>
      </c>
      <c r="E58" s="52">
        <f>$E$46*SUP_COSTOS!$C$9*$E$32/8*(1-$E$36)</f>
        <v>332.38603124999997</v>
      </c>
      <c r="F58" s="51">
        <f>E58*(1+SUP_VOLUMEN!$C$26)</f>
        <v>432.10184062499997</v>
      </c>
      <c r="G58" s="51">
        <f>E58*(1+SUP_VOLUMEN!$C$27)</f>
        <v>664.77206249999995</v>
      </c>
      <c r="H58" s="39" t="s">
        <v>284</v>
      </c>
    </row>
    <row r="59" spans="1:8" ht="15" customHeight="1" x14ac:dyDescent="0.2">
      <c r="A59" s="43" t="s">
        <v>192</v>
      </c>
      <c r="C59" s="43" t="s">
        <v>193</v>
      </c>
      <c r="E59" s="52">
        <f>$E$46*SUP_COSTOS!$C$9*$E$32/8*$E$36</f>
        <v>178.97709374999997</v>
      </c>
      <c r="F59" s="51">
        <f>E59*(1+SUP_VOLUMEN!$C$26)</f>
        <v>232.67022187499995</v>
      </c>
      <c r="G59" s="51">
        <f>E59*(1+SUP_VOLUMEN!$C$27)</f>
        <v>357.95418749999993</v>
      </c>
      <c r="H59" s="39" t="s">
        <v>285</v>
      </c>
    </row>
    <row r="60" spans="1:8" ht="15" customHeight="1" x14ac:dyDescent="0.2">
      <c r="A60" s="43" t="s">
        <v>196</v>
      </c>
      <c r="C60" s="43" t="s">
        <v>197</v>
      </c>
      <c r="E60" s="52">
        <f>$E$46*SUP_COSTOS!$C$9*$E$33/4</f>
        <v>795.4537499999999</v>
      </c>
      <c r="F60" s="51">
        <f>E60*(1+SUP_VOLUMEN!$C$26)</f>
        <v>1034.0898749999999</v>
      </c>
      <c r="G60" s="51">
        <f>E60*(1+SUP_VOLUMEN!$C$27)</f>
        <v>1590.9074999999998</v>
      </c>
      <c r="H60" s="39" t="s">
        <v>286</v>
      </c>
    </row>
    <row r="61" spans="1:8" ht="15" customHeight="1" x14ac:dyDescent="0.2">
      <c r="A61" s="43" t="s">
        <v>200</v>
      </c>
      <c r="C61" s="43" t="s">
        <v>201</v>
      </c>
      <c r="E61" s="52">
        <f>$E$46*SUP_COSTOS!$C$9*$E$34/2</f>
        <v>909.09</v>
      </c>
      <c r="F61" s="51">
        <f>E61*(1+SUP_VOLUMEN!$C$26)</f>
        <v>1181.817</v>
      </c>
      <c r="G61" s="51">
        <f>E61*(1+SUP_VOLUMEN!$C$27)</f>
        <v>1818.18</v>
      </c>
      <c r="H61" s="39" t="s">
        <v>287</v>
      </c>
    </row>
    <row r="62" spans="1:8" ht="15" customHeight="1" x14ac:dyDescent="0.2">
      <c r="A62" s="43" t="s">
        <v>204</v>
      </c>
      <c r="C62" s="43" t="s">
        <v>206</v>
      </c>
      <c r="E62" s="52">
        <f>$E$47*SUP_COSTOS!$C$10</f>
        <v>1616.1599999999999</v>
      </c>
      <c r="F62" s="51">
        <f>E62*(1+SUP_VOLUMEN!$C$26)</f>
        <v>2101.0079999999998</v>
      </c>
      <c r="G62" s="51">
        <f>E62*(1+SUP_VOLUMEN!$C$27)</f>
        <v>3232.3199999999997</v>
      </c>
      <c r="H62" s="39" t="s">
        <v>288</v>
      </c>
    </row>
    <row r="63" spans="1:8" ht="15" customHeight="1" x14ac:dyDescent="0.2">
      <c r="A63" s="43" t="s">
        <v>209</v>
      </c>
      <c r="C63" s="43" t="s">
        <v>211</v>
      </c>
      <c r="E63" s="52">
        <f>$E$48*SUP_COSTOS!$C$6/SUP_COSTOS!$C$12</f>
        <v>979.4909090909091</v>
      </c>
      <c r="F63" s="51">
        <f>E63*(1+SUP_VOLUMEN!$C$26)</f>
        <v>1273.338181818182</v>
      </c>
      <c r="G63" s="51">
        <f>E63*(1+SUP_VOLUMEN!$C$27)</f>
        <v>1958.9818181818182</v>
      </c>
      <c r="H63" s="39" t="s">
        <v>289</v>
      </c>
    </row>
    <row r="64" spans="1:8" ht="15" customHeight="1" x14ac:dyDescent="0.2">
      <c r="A64" s="43" t="s">
        <v>214</v>
      </c>
      <c r="C64" s="43" t="s">
        <v>216</v>
      </c>
      <c r="E64" s="52">
        <f>$E$49/(1+8/9)</f>
        <v>106.95176470588234</v>
      </c>
      <c r="F64" s="51">
        <f>E64*(1+SUP_VOLUMEN!$C$26)</f>
        <v>139.03729411764704</v>
      </c>
      <c r="G64" s="51">
        <f>E64*(1+SUP_VOLUMEN!$C$27)</f>
        <v>213.90352941176468</v>
      </c>
      <c r="H64" s="39" t="s">
        <v>290</v>
      </c>
    </row>
    <row r="65" spans="1:8" ht="15" customHeight="1" x14ac:dyDescent="0.2">
      <c r="A65" s="43" t="s">
        <v>219</v>
      </c>
      <c r="C65" s="43" t="s">
        <v>221</v>
      </c>
      <c r="E65" s="52">
        <f>$E$40</f>
        <v>300</v>
      </c>
      <c r="F65" s="51">
        <f>E65*(1+SUP_VOLUMEN!$C$26)</f>
        <v>390</v>
      </c>
      <c r="G65" s="51">
        <f>E65*(1+SUP_VOLUMEN!$C$27)</f>
        <v>600</v>
      </c>
      <c r="H65" s="39" t="s">
        <v>291</v>
      </c>
    </row>
    <row r="66" spans="1:8" ht="15" customHeight="1" x14ac:dyDescent="0.2">
      <c r="A66" s="43" t="s">
        <v>224</v>
      </c>
      <c r="C66" s="43" t="s">
        <v>225</v>
      </c>
      <c r="E66" s="52">
        <f>$E$41</f>
        <v>120</v>
      </c>
      <c r="F66" s="51">
        <f>E66*(1+SUP_VOLUMEN!$C$26)</f>
        <v>156</v>
      </c>
      <c r="G66" s="51">
        <f>E66*(1+SUP_VOLUMEN!$C$27)</f>
        <v>240</v>
      </c>
      <c r="H66" s="39" t="s">
        <v>291</v>
      </c>
    </row>
    <row r="67" spans="1:8" ht="15" customHeight="1" x14ac:dyDescent="0.2">
      <c r="A67" s="43" t="s">
        <v>228</v>
      </c>
      <c r="C67" s="43" t="s">
        <v>230</v>
      </c>
      <c r="E67" s="52">
        <f>$E$71*$E$37</f>
        <v>1004.2571458556149</v>
      </c>
      <c r="F67" s="51">
        <f>E67*(1+SUP_VOLUMEN!$C$26)</f>
        <v>1305.5342896122995</v>
      </c>
      <c r="G67" s="51">
        <f>E67*(1+SUP_VOLUMEN!$C$27)</f>
        <v>2008.5142917112298</v>
      </c>
      <c r="H67" s="39" t="s">
        <v>292</v>
      </c>
    </row>
    <row r="68" spans="1:8" ht="15" customHeight="1" x14ac:dyDescent="0.2">
      <c r="A68" s="43" t="s">
        <v>233</v>
      </c>
      <c r="C68" s="43" t="s">
        <v>234</v>
      </c>
      <c r="E68" s="52">
        <f>$E$71*$E$38</f>
        <v>1673.7619097593583</v>
      </c>
      <c r="F68" s="51">
        <f>E68*(1+SUP_VOLUMEN!$C$26)</f>
        <v>2175.8904826871658</v>
      </c>
      <c r="G68" s="51">
        <f>E68*(1+SUP_VOLUMEN!$C$27)</f>
        <v>3347.5238195187167</v>
      </c>
      <c r="H68" s="39" t="s">
        <v>293</v>
      </c>
    </row>
    <row r="69" spans="1:8" ht="15" customHeight="1" x14ac:dyDescent="0.2">
      <c r="A69" s="43" t="s">
        <v>237</v>
      </c>
      <c r="C69" s="43" t="s">
        <v>238</v>
      </c>
      <c r="E69" s="52">
        <f>$E$71*$E$39</f>
        <v>0</v>
      </c>
      <c r="F69" s="51">
        <f>E69*(1+SUP_VOLUMEN!$C$26)</f>
        <v>0</v>
      </c>
      <c r="G69" s="51">
        <f>E69*(1+SUP_VOLUMEN!$C$27)</f>
        <v>0</v>
      </c>
      <c r="H69" s="39" t="s">
        <v>294</v>
      </c>
    </row>
    <row r="71" spans="1:8" ht="15" customHeight="1" x14ac:dyDescent="0.2">
      <c r="C71" s="20" t="s">
        <v>295</v>
      </c>
      <c r="E71" s="53">
        <f>SUM(E53:E66)</f>
        <v>8368.8095487967912</v>
      </c>
      <c r="H71" s="39" t="s">
        <v>296</v>
      </c>
    </row>
    <row r="73" spans="1:8" ht="36" customHeight="1" x14ac:dyDescent="0.2">
      <c r="C73" s="21" t="s">
        <v>297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2E75B6"/>
  </sheetPr>
  <dimension ref="A1:M30"/>
  <sheetViews>
    <sheetView showGridLines="0" topLeftCell="A10" zoomScale="130" zoomScaleNormal="130" workbookViewId="0">
      <selection activeCell="B32" sqref="B32"/>
    </sheetView>
  </sheetViews>
  <sheetFormatPr baseColWidth="10" defaultColWidth="8.6640625" defaultRowHeight="15" x14ac:dyDescent="0.2"/>
  <cols>
    <col min="1" max="1" width="9" customWidth="1"/>
    <col min="2" max="2" width="58" bestFit="1" customWidth="1"/>
    <col min="3" max="3" width="46" customWidth="1"/>
    <col min="4" max="5" width="13" customWidth="1"/>
    <col min="6" max="7" width="12" customWidth="1"/>
    <col min="8" max="8" width="11" customWidth="1"/>
    <col min="9" max="9" width="13" customWidth="1"/>
    <col min="10" max="10" width="15" customWidth="1"/>
    <col min="11" max="11" width="16" customWidth="1"/>
    <col min="12" max="13" width="12" customWidth="1"/>
  </cols>
  <sheetData>
    <row r="1" spans="1:13" ht="18.75" customHeight="1" x14ac:dyDescent="0.25">
      <c r="A1" s="38" t="s">
        <v>298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15" customHeight="1" x14ac:dyDescent="0.2">
      <c r="A2" s="17" t="s">
        <v>299</v>
      </c>
    </row>
    <row r="3" spans="1:13" ht="15" customHeight="1" x14ac:dyDescent="0.2">
      <c r="A3" s="39" t="s">
        <v>89</v>
      </c>
    </row>
    <row r="4" spans="1:13" ht="15" customHeight="1" x14ac:dyDescent="0.2">
      <c r="B4" s="46" t="s">
        <v>300</v>
      </c>
      <c r="C4" s="47">
        <v>0.16</v>
      </c>
      <c r="E4" s="39" t="s">
        <v>301</v>
      </c>
    </row>
    <row r="5" spans="1:13" ht="15" customHeight="1" x14ac:dyDescent="0.2">
      <c r="B5" s="46" t="s">
        <v>302</v>
      </c>
      <c r="C5" s="39" t="s">
        <v>303</v>
      </c>
    </row>
    <row r="7" spans="1:13" ht="30" customHeight="1" x14ac:dyDescent="0.2">
      <c r="A7" s="42" t="s">
        <v>161</v>
      </c>
      <c r="B7" s="42" t="s">
        <v>163</v>
      </c>
      <c r="C7" s="42" t="s">
        <v>304</v>
      </c>
      <c r="D7" s="42" t="s">
        <v>305</v>
      </c>
      <c r="E7" s="42" t="s">
        <v>306</v>
      </c>
      <c r="F7" s="42" t="s">
        <v>307</v>
      </c>
      <c r="G7" s="42" t="s">
        <v>308</v>
      </c>
      <c r="H7" s="42" t="s">
        <v>309</v>
      </c>
      <c r="I7" s="42" t="s">
        <v>310</v>
      </c>
      <c r="J7" s="42" t="s">
        <v>311</v>
      </c>
      <c r="K7" s="42" t="s">
        <v>312</v>
      </c>
      <c r="L7" s="42" t="s">
        <v>313</v>
      </c>
      <c r="M7" s="42" t="s">
        <v>314</v>
      </c>
    </row>
    <row r="8" spans="1:13" ht="20.25" customHeight="1" x14ac:dyDescent="0.2">
      <c r="A8" s="43" t="s">
        <v>166</v>
      </c>
      <c r="B8" s="43" t="s">
        <v>168</v>
      </c>
      <c r="C8" s="54" t="s">
        <v>170</v>
      </c>
      <c r="D8" s="55">
        <v>11.9</v>
      </c>
      <c r="E8" s="56">
        <f t="shared" ref="E8:E24" si="0">D8/(1+$C$4)</f>
        <v>10.258620689655173</v>
      </c>
      <c r="F8" s="57">
        <f>SUP_COSTOS!$C$48</f>
        <v>5.7597959999999979</v>
      </c>
      <c r="G8" s="56">
        <f t="shared" ref="G8:G24" si="1">E8-F8</f>
        <v>4.4988246896551747</v>
      </c>
      <c r="H8" s="58">
        <f t="shared" ref="H8:H24" si="2">IF(E8=0,0,G8/E8)</f>
        <v>0.4385408941176473</v>
      </c>
      <c r="I8" s="51">
        <f>SUP_MENU!$E$53</f>
        <v>547.13750000000005</v>
      </c>
      <c r="J8" s="52">
        <f t="shared" ref="J8:J24" si="3">E8*I8</f>
        <v>5612.8760775862074</v>
      </c>
      <c r="K8" s="52">
        <f t="shared" ref="K8:K24" si="4">G8*I8</f>
        <v>2461.4756936362082</v>
      </c>
      <c r="L8" s="58">
        <f t="shared" ref="L8:L24" si="5">IF($J$25=0,0,J8/$J$25)</f>
        <v>0.12845131060919118</v>
      </c>
      <c r="M8" s="58">
        <f t="shared" ref="M8:M24" si="6">IF($K$25=0,0,K8/$K$25)</f>
        <v>0.12052055298196999</v>
      </c>
    </row>
    <row r="9" spans="1:13" ht="15" customHeight="1" x14ac:dyDescent="0.2">
      <c r="A9" s="43" t="s">
        <v>171</v>
      </c>
      <c r="B9" s="43" t="s">
        <v>172</v>
      </c>
      <c r="C9" s="54" t="s">
        <v>174</v>
      </c>
      <c r="D9" s="59">
        <v>13.9</v>
      </c>
      <c r="E9" s="56">
        <f t="shared" si="0"/>
        <v>11.982758620689657</v>
      </c>
      <c r="F9" s="57">
        <f>SUP_COSTOS!$C$49</f>
        <v>7.0197959999999986</v>
      </c>
      <c r="G9" s="56">
        <f t="shared" si="1"/>
        <v>4.962962620689658</v>
      </c>
      <c r="H9" s="58">
        <f t="shared" si="2"/>
        <v>0.4141752978417268</v>
      </c>
      <c r="I9" s="51">
        <f>SUP_MENU!$E$54</f>
        <v>294.61249999999995</v>
      </c>
      <c r="J9" s="52">
        <f t="shared" si="3"/>
        <v>3530.2704741379307</v>
      </c>
      <c r="K9" s="52">
        <f t="shared" si="4"/>
        <v>1462.1508250879317</v>
      </c>
      <c r="L9" s="58">
        <f t="shared" si="5"/>
        <v>8.0790643324332903E-2</v>
      </c>
      <c r="M9" s="58">
        <f t="shared" si="6"/>
        <v>7.1590886084404864E-2</v>
      </c>
    </row>
    <row r="10" spans="1:13" ht="15" customHeight="1" x14ac:dyDescent="0.2">
      <c r="A10" s="43" t="s">
        <v>175</v>
      </c>
      <c r="B10" s="43" t="s">
        <v>176</v>
      </c>
      <c r="C10" s="54" t="s">
        <v>178</v>
      </c>
      <c r="D10" s="59">
        <v>6.5</v>
      </c>
      <c r="E10" s="56">
        <f t="shared" si="0"/>
        <v>5.6034482758620694</v>
      </c>
      <c r="F10" s="57">
        <f>SUP_COSTOS!$C$50</f>
        <v>2.9974979999999998</v>
      </c>
      <c r="G10" s="56">
        <f t="shared" si="1"/>
        <v>2.6059502758620696</v>
      </c>
      <c r="H10" s="58">
        <f t="shared" si="2"/>
        <v>0.46506189538461545</v>
      </c>
      <c r="I10" s="51">
        <f>SUP_MENU!$E$55</f>
        <v>765.99249999999995</v>
      </c>
      <c r="J10" s="52">
        <f t="shared" si="3"/>
        <v>4292.1993534482763</v>
      </c>
      <c r="K10" s="52">
        <f t="shared" si="4"/>
        <v>1996.1383666832762</v>
      </c>
      <c r="L10" s="58">
        <f t="shared" si="5"/>
        <v>9.8227472818793252E-2</v>
      </c>
      <c r="M10" s="58">
        <f t="shared" si="6"/>
        <v>9.7736370260802799E-2</v>
      </c>
    </row>
    <row r="11" spans="1:13" ht="15" customHeight="1" x14ac:dyDescent="0.2">
      <c r="A11" s="43" t="s">
        <v>179</v>
      </c>
      <c r="B11" s="43" t="s">
        <v>180</v>
      </c>
      <c r="C11" s="54" t="s">
        <v>182</v>
      </c>
      <c r="D11" s="59">
        <v>8.5</v>
      </c>
      <c r="E11" s="56">
        <f t="shared" si="0"/>
        <v>7.3275862068965525</v>
      </c>
      <c r="F11" s="57">
        <f>SUP_COSTOS!$C$51</f>
        <v>4.257498</v>
      </c>
      <c r="G11" s="56">
        <f t="shared" si="1"/>
        <v>3.0700882068965525</v>
      </c>
      <c r="H11" s="58">
        <f t="shared" si="2"/>
        <v>0.41897674352941183</v>
      </c>
      <c r="I11" s="51">
        <f>SUP_MENU!$E$56</f>
        <v>412.45749999999992</v>
      </c>
      <c r="J11" s="52">
        <f t="shared" si="3"/>
        <v>3022.3178879310344</v>
      </c>
      <c r="K11" s="52">
        <f t="shared" si="4"/>
        <v>1266.2809065960346</v>
      </c>
      <c r="L11" s="58">
        <f t="shared" si="5"/>
        <v>6.9166090328026009E-2</v>
      </c>
      <c r="M11" s="58">
        <f t="shared" si="6"/>
        <v>6.2000561487575545E-2</v>
      </c>
    </row>
    <row r="12" spans="1:13" ht="15" customHeight="1" x14ac:dyDescent="0.2">
      <c r="A12" s="43" t="s">
        <v>183</v>
      </c>
      <c r="B12" s="43" t="s">
        <v>184</v>
      </c>
      <c r="C12" s="54" t="s">
        <v>186</v>
      </c>
      <c r="D12" s="59">
        <v>2.9</v>
      </c>
      <c r="E12" s="56">
        <f t="shared" si="0"/>
        <v>2.5</v>
      </c>
      <c r="F12" s="57">
        <f>SUP_COSTOS!$C$52</f>
        <v>1.246308</v>
      </c>
      <c r="G12" s="56">
        <f t="shared" si="1"/>
        <v>1.253692</v>
      </c>
      <c r="H12" s="58">
        <f t="shared" si="2"/>
        <v>0.50147680000000006</v>
      </c>
      <c r="I12" s="51">
        <f>SUP_MENU!$E$57</f>
        <v>1010.0999999999999</v>
      </c>
      <c r="J12" s="52">
        <f t="shared" si="3"/>
        <v>2525.25</v>
      </c>
      <c r="K12" s="52">
        <f t="shared" si="4"/>
        <v>1266.3542891999998</v>
      </c>
      <c r="L12" s="58">
        <f t="shared" si="5"/>
        <v>5.7790634895925695E-2</v>
      </c>
      <c r="M12" s="58">
        <f t="shared" si="6"/>
        <v>6.2004154499699128E-2</v>
      </c>
    </row>
    <row r="13" spans="1:13" ht="15" customHeight="1" x14ac:dyDescent="0.2">
      <c r="A13" s="43" t="s">
        <v>187</v>
      </c>
      <c r="B13" s="43" t="s">
        <v>189</v>
      </c>
      <c r="C13" s="54" t="s">
        <v>191</v>
      </c>
      <c r="D13" s="55">
        <v>12.5</v>
      </c>
      <c r="E13" s="56">
        <f t="shared" si="0"/>
        <v>10.775862068965518</v>
      </c>
      <c r="F13" s="57">
        <f>SUP_COSTOS!$C$53</f>
        <v>5.3770708180000009</v>
      </c>
      <c r="G13" s="56">
        <f t="shared" si="1"/>
        <v>5.3987912509655169</v>
      </c>
      <c r="H13" s="58">
        <f t="shared" si="2"/>
        <v>0.50100782808959998</v>
      </c>
      <c r="I13" s="51">
        <f>SUP_MENU!$E$58</f>
        <v>332.38603124999997</v>
      </c>
      <c r="J13" s="52">
        <f t="shared" si="3"/>
        <v>3581.7460264008619</v>
      </c>
      <c r="K13" s="52">
        <f t="shared" si="4"/>
        <v>1794.4827974556508</v>
      </c>
      <c r="L13" s="58">
        <f t="shared" si="5"/>
        <v>8.1968667221726507E-2</v>
      </c>
      <c r="M13" s="58">
        <f t="shared" si="6"/>
        <v>8.786276444863049E-2</v>
      </c>
    </row>
    <row r="14" spans="1:13" ht="15" customHeight="1" x14ac:dyDescent="0.2">
      <c r="A14" s="43" t="s">
        <v>192</v>
      </c>
      <c r="B14" s="43" t="s">
        <v>193</v>
      </c>
      <c r="C14" s="54" t="s">
        <v>195</v>
      </c>
      <c r="D14" s="59">
        <v>14.5</v>
      </c>
      <c r="E14" s="56">
        <f t="shared" si="0"/>
        <v>12.5</v>
      </c>
      <c r="F14" s="57">
        <f>SUP_COSTOS!$C$54</f>
        <v>6.6370708180000006</v>
      </c>
      <c r="G14" s="56">
        <f t="shared" si="1"/>
        <v>5.8629291819999994</v>
      </c>
      <c r="H14" s="58">
        <f t="shared" si="2"/>
        <v>0.46903433455999993</v>
      </c>
      <c r="I14" s="51">
        <f>SUP_MENU!$E$59</f>
        <v>178.97709374999997</v>
      </c>
      <c r="J14" s="52">
        <f t="shared" si="3"/>
        <v>2237.2136718749994</v>
      </c>
      <c r="K14" s="52">
        <f t="shared" si="4"/>
        <v>1049.3300258564245</v>
      </c>
      <c r="L14" s="58">
        <f t="shared" si="5"/>
        <v>5.1198890603109157E-2</v>
      </c>
      <c r="M14" s="58">
        <f t="shared" si="6"/>
        <v>5.1378055572013324E-2</v>
      </c>
    </row>
    <row r="15" spans="1:13" ht="15" customHeight="1" x14ac:dyDescent="0.2">
      <c r="A15" s="43" t="s">
        <v>196</v>
      </c>
      <c r="B15" s="43" t="s">
        <v>197</v>
      </c>
      <c r="C15" s="54" t="s">
        <v>199</v>
      </c>
      <c r="D15" s="59">
        <v>6.5</v>
      </c>
      <c r="E15" s="56">
        <f t="shared" si="0"/>
        <v>5.6034482758620694</v>
      </c>
      <c r="F15" s="57">
        <f>SUP_COSTOS!$C$55</f>
        <v>2.7620354090000006</v>
      </c>
      <c r="G15" s="56">
        <f t="shared" si="1"/>
        <v>2.8414128668620688</v>
      </c>
      <c r="H15" s="58">
        <f t="shared" si="2"/>
        <v>0.50708291162461527</v>
      </c>
      <c r="I15" s="51">
        <f>SUP_MENU!$E$60</f>
        <v>795.4537499999999</v>
      </c>
      <c r="J15" s="52">
        <f t="shared" si="3"/>
        <v>4457.2839439655172</v>
      </c>
      <c r="K15" s="52">
        <f t="shared" si="4"/>
        <v>2260.2125202436832</v>
      </c>
      <c r="L15" s="58">
        <f t="shared" si="5"/>
        <v>0.10200545254259298</v>
      </c>
      <c r="M15" s="58">
        <f t="shared" si="6"/>
        <v>0.11066615993844553</v>
      </c>
    </row>
    <row r="16" spans="1:13" ht="15" customHeight="1" x14ac:dyDescent="0.2">
      <c r="A16" s="43" t="s">
        <v>200</v>
      </c>
      <c r="B16" s="43" t="s">
        <v>201</v>
      </c>
      <c r="C16" s="54" t="s">
        <v>203</v>
      </c>
      <c r="D16" s="59">
        <v>2.9</v>
      </c>
      <c r="E16" s="56">
        <f t="shared" si="0"/>
        <v>2.5</v>
      </c>
      <c r="F16" s="57">
        <f>SUP_COSTOS!$C$56</f>
        <v>1.2146767045000002</v>
      </c>
      <c r="G16" s="56">
        <f t="shared" si="1"/>
        <v>1.2853232954999998</v>
      </c>
      <c r="H16" s="58">
        <f t="shared" si="2"/>
        <v>0.51412931819999996</v>
      </c>
      <c r="I16" s="51">
        <f>SUP_MENU!$E$61</f>
        <v>909.09</v>
      </c>
      <c r="J16" s="52">
        <f t="shared" si="3"/>
        <v>2272.7249999999999</v>
      </c>
      <c r="K16" s="52">
        <f t="shared" si="4"/>
        <v>1168.4745547060948</v>
      </c>
      <c r="L16" s="58">
        <f t="shared" si="5"/>
        <v>5.2011571406333126E-2</v>
      </c>
      <c r="M16" s="58">
        <f t="shared" si="6"/>
        <v>5.7211696155531011E-2</v>
      </c>
    </row>
    <row r="17" spans="1:13" ht="15" customHeight="1" x14ac:dyDescent="0.2">
      <c r="A17" s="43" t="s">
        <v>204</v>
      </c>
      <c r="B17" s="43" t="s">
        <v>206</v>
      </c>
      <c r="C17" s="54" t="s">
        <v>208</v>
      </c>
      <c r="D17" s="55">
        <v>1.2</v>
      </c>
      <c r="E17" s="56">
        <f t="shared" si="0"/>
        <v>1.0344827586206897</v>
      </c>
      <c r="F17" s="57">
        <f>SUP_COSTOS!$C$57</f>
        <v>0.73636500000000005</v>
      </c>
      <c r="G17" s="56">
        <f t="shared" si="1"/>
        <v>0.29811775862068968</v>
      </c>
      <c r="H17" s="58">
        <f t="shared" si="2"/>
        <v>0.28818050000000001</v>
      </c>
      <c r="I17" s="51">
        <f>SUP_MENU!$E$62</f>
        <v>1616.1599999999999</v>
      </c>
      <c r="J17" s="52">
        <f t="shared" si="3"/>
        <v>1671.8896551724138</v>
      </c>
      <c r="K17" s="52">
        <f t="shared" si="4"/>
        <v>481.80599677241378</v>
      </c>
      <c r="L17" s="58">
        <f t="shared" si="5"/>
        <v>3.8261385862130119E-2</v>
      </c>
      <c r="M17" s="58">
        <f t="shared" si="6"/>
        <v>2.3590533642548574E-2</v>
      </c>
    </row>
    <row r="18" spans="1:13" ht="15" customHeight="1" x14ac:dyDescent="0.2">
      <c r="A18" s="43" t="s">
        <v>209</v>
      </c>
      <c r="B18" s="43" t="s">
        <v>211</v>
      </c>
      <c r="C18" s="54" t="s">
        <v>213</v>
      </c>
      <c r="D18" s="59">
        <v>2.4900000000000002</v>
      </c>
      <c r="E18" s="56">
        <f t="shared" si="0"/>
        <v>2.1465517241379315</v>
      </c>
      <c r="F18" s="57">
        <f>SUP_COSTOS!$C$58</f>
        <v>1.03908</v>
      </c>
      <c r="G18" s="56">
        <f t="shared" si="1"/>
        <v>1.1074717241379315</v>
      </c>
      <c r="H18" s="58">
        <f t="shared" si="2"/>
        <v>0.51593060240963862</v>
      </c>
      <c r="I18" s="51">
        <f>SUP_MENU!$E$63</f>
        <v>979.4909090909091</v>
      </c>
      <c r="J18" s="52">
        <f t="shared" si="3"/>
        <v>2102.5278996865209</v>
      </c>
      <c r="K18" s="52">
        <f t="shared" si="4"/>
        <v>1084.758485868339</v>
      </c>
      <c r="L18" s="58">
        <f t="shared" si="5"/>
        <v>4.8116591311466672E-2</v>
      </c>
      <c r="M18" s="58">
        <f t="shared" si="6"/>
        <v>5.3112729451984864E-2</v>
      </c>
    </row>
    <row r="19" spans="1:13" ht="15" customHeight="1" x14ac:dyDescent="0.2">
      <c r="A19" s="43" t="s">
        <v>214</v>
      </c>
      <c r="B19" s="43" t="s">
        <v>216</v>
      </c>
      <c r="C19" s="54" t="s">
        <v>218</v>
      </c>
      <c r="D19" s="59">
        <v>22.9</v>
      </c>
      <c r="E19" s="56">
        <f t="shared" si="0"/>
        <v>19.741379310344829</v>
      </c>
      <c r="F19" s="57">
        <f>SUP_COSTOS!$C$59</f>
        <v>10.493930817999997</v>
      </c>
      <c r="G19" s="56">
        <f t="shared" si="1"/>
        <v>9.2474484923448319</v>
      </c>
      <c r="H19" s="58">
        <f t="shared" si="2"/>
        <v>0.46842970528908318</v>
      </c>
      <c r="I19" s="51">
        <f>SUP_MENU!$E$64</f>
        <v>106.95176470588234</v>
      </c>
      <c r="J19" s="52">
        <f t="shared" si="3"/>
        <v>2111.3753549695739</v>
      </c>
      <c r="K19" s="52">
        <f t="shared" si="4"/>
        <v>989.03093528303089</v>
      </c>
      <c r="L19" s="58">
        <f t="shared" si="5"/>
        <v>4.8319066336917994E-2</v>
      </c>
      <c r="M19" s="58">
        <f t="shared" si="6"/>
        <v>4.8425647892748482E-2</v>
      </c>
    </row>
    <row r="20" spans="1:13" ht="15" customHeight="1" x14ac:dyDescent="0.2">
      <c r="A20" s="43" t="s">
        <v>219</v>
      </c>
      <c r="B20" s="43" t="s">
        <v>221</v>
      </c>
      <c r="C20" s="54" t="s">
        <v>223</v>
      </c>
      <c r="D20" s="59">
        <v>5.99</v>
      </c>
      <c r="E20" s="56">
        <f t="shared" si="0"/>
        <v>5.1637931034482767</v>
      </c>
      <c r="F20" s="57">
        <f>SUP_COSTOS!$C$60</f>
        <v>2.5898179999999997</v>
      </c>
      <c r="G20" s="56">
        <f t="shared" si="1"/>
        <v>2.573975103448277</v>
      </c>
      <c r="H20" s="58">
        <f t="shared" si="2"/>
        <v>0.49846596327212034</v>
      </c>
      <c r="I20" s="51">
        <f>SUP_MENU!$E$65</f>
        <v>300</v>
      </c>
      <c r="J20" s="52">
        <f t="shared" si="3"/>
        <v>1549.137931034483</v>
      </c>
      <c r="K20" s="52">
        <f t="shared" si="4"/>
        <v>772.19253103448307</v>
      </c>
      <c r="L20" s="58">
        <f t="shared" si="5"/>
        <v>3.5452198624232663E-2</v>
      </c>
      <c r="M20" s="58">
        <f t="shared" si="6"/>
        <v>3.7808649132481505E-2</v>
      </c>
    </row>
    <row r="21" spans="1:13" ht="15" customHeight="1" x14ac:dyDescent="0.2">
      <c r="A21" s="43" t="s">
        <v>224</v>
      </c>
      <c r="B21" s="43" t="s">
        <v>225</v>
      </c>
      <c r="C21" s="54" t="s">
        <v>227</v>
      </c>
      <c r="D21" s="59">
        <v>10.99</v>
      </c>
      <c r="E21" s="56">
        <f t="shared" si="0"/>
        <v>9.474137931034484</v>
      </c>
      <c r="F21" s="57">
        <f>SUP_COSTOS!$C$61</f>
        <v>5.0221359999999997</v>
      </c>
      <c r="G21" s="56">
        <f t="shared" si="1"/>
        <v>4.4520019310344843</v>
      </c>
      <c r="H21" s="58">
        <f t="shared" si="2"/>
        <v>0.46991103184713384</v>
      </c>
      <c r="I21" s="51">
        <f>SUP_MENU!$E$66</f>
        <v>120</v>
      </c>
      <c r="J21" s="52">
        <f t="shared" si="3"/>
        <v>1136.8965517241381</v>
      </c>
      <c r="K21" s="52">
        <f t="shared" si="4"/>
        <v>534.24023172413808</v>
      </c>
      <c r="L21" s="58">
        <f t="shared" si="5"/>
        <v>2.6018007537917661E-2</v>
      </c>
      <c r="M21" s="58">
        <f t="shared" si="6"/>
        <v>2.6157856573222341E-2</v>
      </c>
    </row>
    <row r="22" spans="1:13" ht="15" customHeight="1" x14ac:dyDescent="0.2">
      <c r="A22" s="43" t="s">
        <v>228</v>
      </c>
      <c r="B22" s="43" t="s">
        <v>230</v>
      </c>
      <c r="C22" s="54" t="s">
        <v>232</v>
      </c>
      <c r="D22" s="59">
        <v>2.5</v>
      </c>
      <c r="E22" s="56">
        <f t="shared" si="0"/>
        <v>2.1551724137931036</v>
      </c>
      <c r="F22" s="57">
        <f>SUP_COSTOS!$C$62</f>
        <v>1.26</v>
      </c>
      <c r="G22" s="56">
        <f t="shared" si="1"/>
        <v>0.89517241379310364</v>
      </c>
      <c r="H22" s="58">
        <f t="shared" si="2"/>
        <v>0.41536000000000006</v>
      </c>
      <c r="I22" s="51">
        <f>SUP_MENU!$E$67</f>
        <v>1004.2571458556149</v>
      </c>
      <c r="J22" s="52">
        <f t="shared" si="3"/>
        <v>2164.3472971026185</v>
      </c>
      <c r="K22" s="52">
        <f t="shared" si="4"/>
        <v>898.98329332454375</v>
      </c>
      <c r="L22" s="58">
        <f t="shared" si="5"/>
        <v>4.9531335287532341E-2</v>
      </c>
      <c r="M22" s="58">
        <f t="shared" si="6"/>
        <v>4.4016670127249059E-2</v>
      </c>
    </row>
    <row r="23" spans="1:13" ht="15" customHeight="1" x14ac:dyDescent="0.2">
      <c r="A23" s="43" t="s">
        <v>233</v>
      </c>
      <c r="B23" s="43" t="s">
        <v>234</v>
      </c>
      <c r="C23" s="54" t="s">
        <v>236</v>
      </c>
      <c r="D23" s="59">
        <v>0.99</v>
      </c>
      <c r="E23" s="56">
        <f t="shared" si="0"/>
        <v>0.85344827586206906</v>
      </c>
      <c r="F23" s="57">
        <f>SUP_COSTOS!$C$63</f>
        <v>0.29315999999999998</v>
      </c>
      <c r="G23" s="56">
        <f t="shared" si="1"/>
        <v>0.56028827586206909</v>
      </c>
      <c r="H23" s="58">
        <f t="shared" si="2"/>
        <v>0.65649939393939405</v>
      </c>
      <c r="I23" s="51">
        <f>SUP_MENU!$E$68</f>
        <v>1673.7619097593583</v>
      </c>
      <c r="J23" s="52">
        <f t="shared" si="3"/>
        <v>1428.4692160877285</v>
      </c>
      <c r="K23" s="52">
        <f t="shared" si="4"/>
        <v>937.78917462267498</v>
      </c>
      <c r="L23" s="58">
        <f t="shared" si="5"/>
        <v>3.2690681289771352E-2</v>
      </c>
      <c r="M23" s="58">
        <f t="shared" si="6"/>
        <v>4.5916711750692646E-2</v>
      </c>
    </row>
    <row r="24" spans="1:13" ht="15" customHeight="1" x14ac:dyDescent="0.2">
      <c r="A24" s="43" t="s">
        <v>237</v>
      </c>
      <c r="B24" s="43" t="s">
        <v>1549</v>
      </c>
      <c r="C24" s="54" t="s">
        <v>240</v>
      </c>
      <c r="D24" s="59">
        <v>0.99</v>
      </c>
      <c r="E24" s="56">
        <f t="shared" si="0"/>
        <v>0.85344827586206906</v>
      </c>
      <c r="F24" s="57">
        <f>SUP_COSTOS!$C$64/4</f>
        <v>0.74812499999999993</v>
      </c>
      <c r="G24" s="56">
        <f t="shared" si="1"/>
        <v>0.10532327586206913</v>
      </c>
      <c r="H24" s="58">
        <f t="shared" si="2"/>
        <v>0.12340909090909109</v>
      </c>
      <c r="I24" s="51">
        <f>SUP_MENU!$E$69</f>
        <v>0</v>
      </c>
      <c r="J24" s="52">
        <f t="shared" si="3"/>
        <v>0</v>
      </c>
      <c r="K24" s="52">
        <f t="shared" si="4"/>
        <v>0</v>
      </c>
      <c r="L24" s="58">
        <f t="shared" si="5"/>
        <v>0</v>
      </c>
      <c r="M24" s="58">
        <f t="shared" si="6"/>
        <v>0</v>
      </c>
    </row>
    <row r="25" spans="1:13" ht="15" customHeight="1" x14ac:dyDescent="0.2">
      <c r="B25" s="20" t="s">
        <v>315</v>
      </c>
      <c r="I25" s="53">
        <f>SUM(I8:I24)</f>
        <v>11046.828604411765</v>
      </c>
      <c r="J25" s="60">
        <f>SUM(J8:J24)</f>
        <v>43696.52634112232</v>
      </c>
      <c r="K25" s="60">
        <f>SUM(K8:K24)</f>
        <v>20423.700628094924</v>
      </c>
    </row>
    <row r="26" spans="1:13" ht="15" customHeight="1" x14ac:dyDescent="0.2">
      <c r="B26" s="20" t="s">
        <v>1962</v>
      </c>
      <c r="C26" s="61">
        <f>K25/J25</f>
        <v>0.46739872338260452</v>
      </c>
      <c r="E26" s="39" t="s">
        <v>316</v>
      </c>
    </row>
    <row r="27" spans="1:13" ht="15" customHeight="1" x14ac:dyDescent="0.2">
      <c r="B27" s="46" t="s">
        <v>317</v>
      </c>
      <c r="C27" s="56">
        <f>J25/SUP_MENU!$E$71</f>
        <v>5.2213550907494009</v>
      </c>
    </row>
    <row r="29" spans="1:13" ht="71" customHeight="1" x14ac:dyDescent="0.2">
      <c r="B29" s="21" t="s">
        <v>318</v>
      </c>
    </row>
    <row r="30" spans="1:13" ht="36" x14ac:dyDescent="0.2">
      <c r="B30" s="21" t="s">
        <v>1963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9F7F9-EA40-4E4C-A2AF-258B7BA4B9B9}">
  <dimension ref="A1:L300"/>
  <sheetViews>
    <sheetView topLeftCell="B224" workbookViewId="0">
      <selection activeCell="E288" sqref="E288"/>
    </sheetView>
  </sheetViews>
  <sheetFormatPr baseColWidth="10" defaultRowHeight="15" x14ac:dyDescent="0.2"/>
  <cols>
    <col min="1" max="1" width="9.1640625" customWidth="1"/>
    <col min="2" max="2" width="55" customWidth="1"/>
    <col min="3" max="3" width="16.6640625" customWidth="1"/>
    <col min="4" max="4" width="12.5" customWidth="1"/>
    <col min="5" max="5" width="13.33203125" customWidth="1"/>
    <col min="6" max="6" width="47.5" bestFit="1" customWidth="1"/>
    <col min="7" max="7" width="160.5" bestFit="1" customWidth="1"/>
  </cols>
  <sheetData>
    <row r="1" spans="1:12" ht="16" x14ac:dyDescent="0.2">
      <c r="A1" s="151" t="s">
        <v>319</v>
      </c>
    </row>
    <row r="2" spans="1:12" x14ac:dyDescent="0.2">
      <c r="A2" s="155" t="s">
        <v>320</v>
      </c>
    </row>
    <row r="3" spans="1:12" x14ac:dyDescent="0.2">
      <c r="A3" s="155" t="s">
        <v>89</v>
      </c>
    </row>
    <row r="5" spans="1:12" x14ac:dyDescent="0.2">
      <c r="A5" s="152" t="s">
        <v>321</v>
      </c>
      <c r="B5" s="152"/>
      <c r="C5" s="152"/>
      <c r="D5" s="152"/>
      <c r="E5" s="152"/>
      <c r="F5" s="152"/>
      <c r="G5" s="152"/>
    </row>
    <row r="6" spans="1:12" x14ac:dyDescent="0.2">
      <c r="B6" t="s">
        <v>322</v>
      </c>
      <c r="C6" s="153">
        <v>2</v>
      </c>
      <c r="D6" t="s">
        <v>1503</v>
      </c>
      <c r="G6" t="s">
        <v>323</v>
      </c>
    </row>
    <row r="7" spans="1:12" x14ac:dyDescent="0.2">
      <c r="B7" t="s">
        <v>1504</v>
      </c>
      <c r="C7" s="153">
        <v>0.23699999999999999</v>
      </c>
      <c r="G7" t="s">
        <v>1505</v>
      </c>
    </row>
    <row r="8" spans="1:12" x14ac:dyDescent="0.2">
      <c r="B8" t="s">
        <v>1506</v>
      </c>
      <c r="C8" s="153">
        <v>0.23699999999999999</v>
      </c>
      <c r="G8" t="s">
        <v>1505</v>
      </c>
    </row>
    <row r="9" spans="1:12" x14ac:dyDescent="0.2">
      <c r="B9" t="s">
        <v>324</v>
      </c>
      <c r="C9" s="153">
        <v>9</v>
      </c>
      <c r="G9" t="s">
        <v>325</v>
      </c>
    </row>
    <row r="10" spans="1:12" x14ac:dyDescent="0.2">
      <c r="B10" t="s">
        <v>326</v>
      </c>
      <c r="C10" s="153">
        <v>8</v>
      </c>
      <c r="G10" t="s">
        <v>327</v>
      </c>
    </row>
    <row r="11" spans="1:12" x14ac:dyDescent="0.2">
      <c r="B11" t="s">
        <v>1542</v>
      </c>
      <c r="C11" s="153">
        <v>80</v>
      </c>
      <c r="G11" t="s">
        <v>1543</v>
      </c>
      <c r="H11">
        <v>2500</v>
      </c>
      <c r="I11">
        <v>6.5</v>
      </c>
      <c r="J11">
        <f>+I11/H11</f>
        <v>2.5999999999999999E-3</v>
      </c>
      <c r="K11">
        <v>80</v>
      </c>
      <c r="L11">
        <f>+J11*K11</f>
        <v>0.20799999999999999</v>
      </c>
    </row>
    <row r="12" spans="1:12" x14ac:dyDescent="0.2">
      <c r="B12" t="s">
        <v>328</v>
      </c>
      <c r="C12" s="153">
        <v>0.55000000000000004</v>
      </c>
      <c r="G12" t="s">
        <v>329</v>
      </c>
    </row>
    <row r="13" spans="1:12" x14ac:dyDescent="0.2">
      <c r="B13" t="s">
        <v>330</v>
      </c>
      <c r="C13" s="161">
        <v>0.25</v>
      </c>
      <c r="G13" t="s">
        <v>331</v>
      </c>
    </row>
    <row r="14" spans="1:12" x14ac:dyDescent="0.2">
      <c r="B14" t="s">
        <v>332</v>
      </c>
      <c r="C14" s="153">
        <v>0.6</v>
      </c>
      <c r="G14" t="s">
        <v>333</v>
      </c>
    </row>
    <row r="15" spans="1:12" x14ac:dyDescent="0.2">
      <c r="B15" t="s">
        <v>334</v>
      </c>
      <c r="C15" s="161">
        <v>0.05</v>
      </c>
      <c r="G15" t="s">
        <v>335</v>
      </c>
    </row>
    <row r="17" spans="1:7" x14ac:dyDescent="0.2">
      <c r="A17" s="152" t="s">
        <v>336</v>
      </c>
      <c r="B17" s="152"/>
      <c r="C17" s="152"/>
      <c r="D17" s="152"/>
      <c r="E17" s="152"/>
      <c r="F17" s="152"/>
      <c r="G17" s="152"/>
    </row>
    <row r="18" spans="1:7" x14ac:dyDescent="0.2">
      <c r="A18" s="156" t="s">
        <v>337</v>
      </c>
      <c r="B18" s="156" t="s">
        <v>338</v>
      </c>
      <c r="C18" s="156" t="s">
        <v>339</v>
      </c>
      <c r="D18" s="156" t="s">
        <v>1507</v>
      </c>
      <c r="E18" s="156" t="s">
        <v>307</v>
      </c>
      <c r="F18" s="156" t="s">
        <v>1317</v>
      </c>
      <c r="G18" s="156" t="s">
        <v>340</v>
      </c>
    </row>
    <row r="19" spans="1:7" x14ac:dyDescent="0.2">
      <c r="A19" t="s">
        <v>341</v>
      </c>
      <c r="B19" t="s">
        <v>342</v>
      </c>
      <c r="C19" t="s">
        <v>343</v>
      </c>
      <c r="D19" s="153">
        <v>1</v>
      </c>
      <c r="E19" s="165">
        <f>IFERROR(D19*VLOOKUP(F19,SUP_INSUMOS!B:F,4,0),0)</f>
        <v>1.25</v>
      </c>
      <c r="F19" t="s">
        <v>342</v>
      </c>
      <c r="G19" t="s">
        <v>344</v>
      </c>
    </row>
    <row r="20" spans="1:7" x14ac:dyDescent="0.2">
      <c r="A20" t="s">
        <v>345</v>
      </c>
      <c r="B20" t="s">
        <v>1508</v>
      </c>
      <c r="C20" t="s">
        <v>346</v>
      </c>
      <c r="D20" s="153">
        <v>300</v>
      </c>
      <c r="E20" s="165">
        <f>IFERROR(D20*VLOOKUP(F20,SUP_INSUMOS!B:F,4,0),0)</f>
        <v>0.222</v>
      </c>
      <c r="F20" t="s">
        <v>1421</v>
      </c>
      <c r="G20" t="s">
        <v>347</v>
      </c>
    </row>
    <row r="21" spans="1:7" x14ac:dyDescent="0.2">
      <c r="A21" t="s">
        <v>348</v>
      </c>
      <c r="B21" t="s">
        <v>1509</v>
      </c>
      <c r="C21" t="s">
        <v>346</v>
      </c>
      <c r="D21" s="153">
        <f>D20</f>
        <v>300</v>
      </c>
      <c r="E21" s="165">
        <f>IFERROR(D21*VLOOKUP(F21,SUP_INSUMOS!B:F,4,0),0)</f>
        <v>0.63300000000000001</v>
      </c>
      <c r="F21" t="s">
        <v>1426</v>
      </c>
    </row>
    <row r="22" spans="1:7" x14ac:dyDescent="0.2">
      <c r="A22" t="s">
        <v>351</v>
      </c>
      <c r="B22" t="s">
        <v>1510</v>
      </c>
      <c r="C22" t="s">
        <v>346</v>
      </c>
      <c r="D22" s="153">
        <f>D21</f>
        <v>300</v>
      </c>
      <c r="E22" s="165">
        <f>IFERROR(D22*VLOOKUP(F22,SUP_INSUMOS!B:F,4,0),0)</f>
        <v>1.3619999999999999</v>
      </c>
      <c r="F22" t="s">
        <v>1427</v>
      </c>
    </row>
    <row r="23" spans="1:7" x14ac:dyDescent="0.2">
      <c r="A23" t="s">
        <v>354</v>
      </c>
      <c r="B23" t="s">
        <v>1511</v>
      </c>
      <c r="C23" t="s">
        <v>346</v>
      </c>
      <c r="D23" s="153">
        <f>D22</f>
        <v>300</v>
      </c>
      <c r="E23" s="165">
        <f>IFERROR(D23*VLOOKUP(F23,SUP_INSUMOS!B:F,4,0),0)</f>
        <v>0.66</v>
      </c>
      <c r="F23" t="s">
        <v>1428</v>
      </c>
    </row>
    <row r="24" spans="1:7" x14ac:dyDescent="0.2">
      <c r="A24" t="s">
        <v>355</v>
      </c>
      <c r="B24" t="s">
        <v>1512</v>
      </c>
      <c r="C24" t="s">
        <v>346</v>
      </c>
      <c r="D24" s="153">
        <f>D23</f>
        <v>300</v>
      </c>
      <c r="E24" s="165">
        <f>IFERROR(D24*VLOOKUP(F24,SUP_INSUMOS!B:F,4,0),0)</f>
        <v>1.194</v>
      </c>
      <c r="F24" t="s">
        <v>1429</v>
      </c>
    </row>
    <row r="25" spans="1:7" x14ac:dyDescent="0.2">
      <c r="A25" t="s">
        <v>357</v>
      </c>
      <c r="B25" t="s">
        <v>1513</v>
      </c>
      <c r="C25" t="s">
        <v>1332</v>
      </c>
      <c r="D25" s="153">
        <v>200</v>
      </c>
      <c r="E25" s="165">
        <f>IFERROR(D25*VLOOKUP(F25,SUP_INSUMOS!B:F,4,0),0)</f>
        <v>0.15300000000000002</v>
      </c>
      <c r="F25" t="s">
        <v>1357</v>
      </c>
    </row>
    <row r="26" spans="1:7" x14ac:dyDescent="0.2">
      <c r="A26" t="s">
        <v>360</v>
      </c>
      <c r="B26" t="s">
        <v>1514</v>
      </c>
      <c r="C26" t="s">
        <v>1332</v>
      </c>
      <c r="D26" s="153">
        <v>400</v>
      </c>
      <c r="E26" s="165">
        <f>IFERROR(D26*VLOOKUP(F26,SUP_INSUMOS!B:F,4,0),0)</f>
        <v>0.89282000000000006</v>
      </c>
      <c r="F26" t="s">
        <v>1461</v>
      </c>
    </row>
    <row r="27" spans="1:7" x14ac:dyDescent="0.2">
      <c r="A27" t="s">
        <v>362</v>
      </c>
      <c r="B27" t="s">
        <v>349</v>
      </c>
      <c r="C27" t="s">
        <v>346</v>
      </c>
      <c r="D27" s="153"/>
      <c r="E27" s="167">
        <f>+SUP_INSUMOS!E130</f>
        <v>2.2320500000000002E-3</v>
      </c>
      <c r="G27" t="s">
        <v>350</v>
      </c>
    </row>
    <row r="28" spans="1:7" x14ac:dyDescent="0.2">
      <c r="A28" t="s">
        <v>366</v>
      </c>
      <c r="B28" t="s">
        <v>352</v>
      </c>
      <c r="C28" t="s">
        <v>353</v>
      </c>
      <c r="D28" s="153">
        <v>1</v>
      </c>
      <c r="E28" s="167">
        <f>+SUP_INSUMOS!E10</f>
        <v>0.01</v>
      </c>
      <c r="F28" t="s">
        <v>1327</v>
      </c>
      <c r="G28" t="s">
        <v>1515</v>
      </c>
    </row>
    <row r="29" spans="1:7" x14ac:dyDescent="0.2">
      <c r="A29" t="s">
        <v>369</v>
      </c>
      <c r="B29" t="s">
        <v>1541</v>
      </c>
      <c r="C29" t="s">
        <v>343</v>
      </c>
      <c r="D29" s="153">
        <v>2500</v>
      </c>
      <c r="E29" s="167">
        <f>6.5/2500</f>
        <v>2.5999999999999999E-3</v>
      </c>
      <c r="F29" t="s">
        <v>1440</v>
      </c>
      <c r="G29" t="s">
        <v>1544</v>
      </c>
    </row>
    <row r="30" spans="1:7" x14ac:dyDescent="0.2">
      <c r="A30" t="s">
        <v>372</v>
      </c>
      <c r="B30" t="s">
        <v>1516</v>
      </c>
      <c r="C30" t="s">
        <v>356</v>
      </c>
      <c r="D30" s="153">
        <v>1</v>
      </c>
      <c r="E30" s="165">
        <f>IFERROR(D30*VLOOKUP(F30,SUP_INSUMOS!B:F,4,0),0)</f>
        <v>0.7</v>
      </c>
      <c r="F30" t="s">
        <v>1406</v>
      </c>
      <c r="G30" t="s">
        <v>1517</v>
      </c>
    </row>
    <row r="31" spans="1:7" x14ac:dyDescent="0.2">
      <c r="A31" t="s">
        <v>375</v>
      </c>
      <c r="B31" t="s">
        <v>358</v>
      </c>
      <c r="C31" t="s">
        <v>343</v>
      </c>
      <c r="D31" s="153">
        <v>1</v>
      </c>
      <c r="E31" s="165">
        <f>IFERROR(D31*VLOOKUP(F31,SUP_INSUMOS!B:F,4,0),0)</f>
        <v>5.95</v>
      </c>
      <c r="F31" t="s">
        <v>358</v>
      </c>
      <c r="G31" t="s">
        <v>359</v>
      </c>
    </row>
    <row r="32" spans="1:7" x14ac:dyDescent="0.2">
      <c r="A32" t="s">
        <v>378</v>
      </c>
      <c r="B32" t="s">
        <v>361</v>
      </c>
      <c r="C32" t="s">
        <v>356</v>
      </c>
      <c r="D32" s="153">
        <v>1</v>
      </c>
      <c r="E32" s="165">
        <f>IFERROR(D32*VLOOKUP(F32,SUP_INSUMOS!B:F,4,0),0)</f>
        <v>1.2</v>
      </c>
      <c r="F32" t="s">
        <v>230</v>
      </c>
      <c r="G32" t="s">
        <v>1518</v>
      </c>
    </row>
    <row r="33" spans="1:7" x14ac:dyDescent="0.2">
      <c r="A33" t="s">
        <v>381</v>
      </c>
      <c r="B33" t="s">
        <v>363</v>
      </c>
      <c r="C33" t="s">
        <v>364</v>
      </c>
      <c r="D33" s="153">
        <v>1</v>
      </c>
      <c r="E33" s="165">
        <f>IFERROR(D33*VLOOKUP(F33,SUP_INSUMOS!B:F,4,0),0)</f>
        <v>0.05</v>
      </c>
      <c r="F33" t="s">
        <v>462</v>
      </c>
      <c r="G33" t="s">
        <v>365</v>
      </c>
    </row>
    <row r="34" spans="1:7" x14ac:dyDescent="0.2">
      <c r="A34" t="s">
        <v>384</v>
      </c>
      <c r="B34" t="s">
        <v>367</v>
      </c>
      <c r="C34" t="s">
        <v>356</v>
      </c>
      <c r="D34" s="153">
        <v>1</v>
      </c>
      <c r="E34" s="165">
        <f>IFERROR(D34*VLOOKUP(F34,SUP_INSUMOS!B:F,4,0),0)</f>
        <v>0.1</v>
      </c>
      <c r="F34" t="s">
        <v>436</v>
      </c>
      <c r="G34" t="s">
        <v>368</v>
      </c>
    </row>
    <row r="35" spans="1:7" x14ac:dyDescent="0.2">
      <c r="A35" t="s">
        <v>388</v>
      </c>
      <c r="B35" t="s">
        <v>370</v>
      </c>
      <c r="C35" t="s">
        <v>356</v>
      </c>
      <c r="D35" s="153">
        <v>0.25</v>
      </c>
      <c r="E35" s="166">
        <v>0.25</v>
      </c>
      <c r="G35" t="s">
        <v>371</v>
      </c>
    </row>
    <row r="36" spans="1:7" x14ac:dyDescent="0.2">
      <c r="A36" t="s">
        <v>392</v>
      </c>
      <c r="B36" t="s">
        <v>373</v>
      </c>
      <c r="C36" t="s">
        <v>356</v>
      </c>
      <c r="D36" s="153">
        <v>0.15</v>
      </c>
      <c r="E36" s="166">
        <v>0.15</v>
      </c>
      <c r="G36" t="s">
        <v>374</v>
      </c>
    </row>
    <row r="37" spans="1:7" x14ac:dyDescent="0.2">
      <c r="A37" t="s">
        <v>395</v>
      </c>
      <c r="B37" t="s">
        <v>376</v>
      </c>
      <c r="C37" t="s">
        <v>356</v>
      </c>
      <c r="D37" s="153">
        <v>0.03</v>
      </c>
      <c r="E37" s="166">
        <v>0.03</v>
      </c>
      <c r="G37" t="s">
        <v>377</v>
      </c>
    </row>
    <row r="38" spans="1:7" x14ac:dyDescent="0.2">
      <c r="A38" t="s">
        <v>398</v>
      </c>
      <c r="B38" t="s">
        <v>379</v>
      </c>
      <c r="C38" t="s">
        <v>356</v>
      </c>
      <c r="D38" s="153">
        <v>0.01</v>
      </c>
      <c r="E38" s="166">
        <v>0.01</v>
      </c>
      <c r="G38" t="s">
        <v>380</v>
      </c>
    </row>
    <row r="39" spans="1:7" x14ac:dyDescent="0.2">
      <c r="A39" t="s">
        <v>1519</v>
      </c>
      <c r="B39" t="s">
        <v>382</v>
      </c>
      <c r="C39" t="s">
        <v>356</v>
      </c>
      <c r="D39" s="153">
        <v>0.03</v>
      </c>
      <c r="E39" s="166">
        <v>0.03</v>
      </c>
      <c r="G39" t="s">
        <v>383</v>
      </c>
    </row>
    <row r="40" spans="1:7" x14ac:dyDescent="0.2">
      <c r="A40" t="s">
        <v>1520</v>
      </c>
      <c r="B40" t="s">
        <v>385</v>
      </c>
      <c r="C40" t="s">
        <v>386</v>
      </c>
      <c r="D40" s="153">
        <v>0.08</v>
      </c>
      <c r="E40" s="166">
        <v>0.08</v>
      </c>
      <c r="G40" t="s">
        <v>387</v>
      </c>
    </row>
    <row r="41" spans="1:7" x14ac:dyDescent="0.2">
      <c r="A41" t="s">
        <v>1521</v>
      </c>
      <c r="B41" t="s">
        <v>389</v>
      </c>
      <c r="C41" t="s">
        <v>390</v>
      </c>
      <c r="D41" s="153">
        <v>0.04</v>
      </c>
      <c r="E41" s="166">
        <v>0.04</v>
      </c>
      <c r="G41" t="s">
        <v>391</v>
      </c>
    </row>
    <row r="42" spans="1:7" x14ac:dyDescent="0.2">
      <c r="A42" t="s">
        <v>1522</v>
      </c>
      <c r="B42" t="s">
        <v>393</v>
      </c>
      <c r="C42" t="s">
        <v>364</v>
      </c>
      <c r="D42" s="153">
        <v>1</v>
      </c>
      <c r="E42" s="165">
        <f>IFERROR(D42*VLOOKUP(F42,SUP_INSUMOS!B:F,4,0),0)</f>
        <v>0.124</v>
      </c>
      <c r="F42" t="s">
        <v>1475</v>
      </c>
      <c r="G42" t="s">
        <v>394</v>
      </c>
    </row>
    <row r="43" spans="1:7" x14ac:dyDescent="0.2">
      <c r="A43" t="s">
        <v>1523</v>
      </c>
      <c r="B43" t="s">
        <v>396</v>
      </c>
      <c r="C43" t="s">
        <v>356</v>
      </c>
      <c r="D43" s="153">
        <v>0.05</v>
      </c>
      <c r="E43" s="166">
        <v>0.05</v>
      </c>
      <c r="G43" t="s">
        <v>397</v>
      </c>
    </row>
    <row r="44" spans="1:7" x14ac:dyDescent="0.2">
      <c r="A44" t="s">
        <v>1524</v>
      </c>
      <c r="B44" t="s">
        <v>399</v>
      </c>
      <c r="C44" t="s">
        <v>353</v>
      </c>
      <c r="D44" s="153">
        <v>1.4999999999999999E-2</v>
      </c>
      <c r="E44" s="166">
        <v>1.4999999999999999E-2</v>
      </c>
      <c r="G44" t="s">
        <v>400</v>
      </c>
    </row>
    <row r="46" spans="1:7" x14ac:dyDescent="0.2">
      <c r="A46" s="152" t="s">
        <v>401</v>
      </c>
      <c r="B46" s="152"/>
      <c r="C46" s="152"/>
      <c r="D46" s="152"/>
      <c r="E46" s="152"/>
      <c r="F46" s="152"/>
      <c r="G46" s="152"/>
    </row>
    <row r="47" spans="1:7" x14ac:dyDescent="0.2">
      <c r="A47" s="156" t="s">
        <v>161</v>
      </c>
      <c r="B47" s="156" t="s">
        <v>163</v>
      </c>
      <c r="C47" s="156" t="s">
        <v>402</v>
      </c>
      <c r="D47" s="156"/>
      <c r="E47" s="156" t="s">
        <v>403</v>
      </c>
    </row>
    <row r="48" spans="1:7" x14ac:dyDescent="0.2">
      <c r="A48" t="s">
        <v>166</v>
      </c>
      <c r="B48" t="s">
        <v>168</v>
      </c>
      <c r="C48" s="158">
        <f>$F$101</f>
        <v>5.7597959999999979</v>
      </c>
      <c r="E48" t="s">
        <v>1525</v>
      </c>
    </row>
    <row r="49" spans="1:5" x14ac:dyDescent="0.2">
      <c r="A49" t="s">
        <v>171</v>
      </c>
      <c r="B49" t="s">
        <v>172</v>
      </c>
      <c r="C49" s="158">
        <f>$F$116</f>
        <v>7.0197959999999986</v>
      </c>
      <c r="E49" t="s">
        <v>1526</v>
      </c>
    </row>
    <row r="50" spans="1:5" x14ac:dyDescent="0.2">
      <c r="A50" t="s">
        <v>175</v>
      </c>
      <c r="B50" t="s">
        <v>176</v>
      </c>
      <c r="C50" s="158">
        <f>$F$129</f>
        <v>2.9974979999999998</v>
      </c>
      <c r="E50" t="s">
        <v>1527</v>
      </c>
    </row>
    <row r="51" spans="1:5" x14ac:dyDescent="0.2">
      <c r="A51" t="s">
        <v>179</v>
      </c>
      <c r="B51" t="s">
        <v>180</v>
      </c>
      <c r="C51" s="158">
        <f>$F$143</f>
        <v>4.257498</v>
      </c>
      <c r="E51" t="s">
        <v>1528</v>
      </c>
    </row>
    <row r="52" spans="1:5" x14ac:dyDescent="0.2">
      <c r="A52" t="s">
        <v>183</v>
      </c>
      <c r="B52" t="s">
        <v>184</v>
      </c>
      <c r="C52" s="158">
        <f>$F$154</f>
        <v>1.246308</v>
      </c>
      <c r="E52" t="s">
        <v>1529</v>
      </c>
    </row>
    <row r="53" spans="1:5" x14ac:dyDescent="0.2">
      <c r="A53" t="s">
        <v>187</v>
      </c>
      <c r="B53" t="s">
        <v>189</v>
      </c>
      <c r="C53" s="158">
        <f>$F$167</f>
        <v>5.3770708180000009</v>
      </c>
      <c r="E53" t="s">
        <v>1530</v>
      </c>
    </row>
    <row r="54" spans="1:5" x14ac:dyDescent="0.2">
      <c r="A54" t="s">
        <v>192</v>
      </c>
      <c r="B54" t="s">
        <v>193</v>
      </c>
      <c r="C54" s="158">
        <f>$F$182</f>
        <v>6.6370708180000006</v>
      </c>
      <c r="E54" t="s">
        <v>1531</v>
      </c>
    </row>
    <row r="55" spans="1:5" x14ac:dyDescent="0.2">
      <c r="A55" t="s">
        <v>196</v>
      </c>
      <c r="B55" t="s">
        <v>197</v>
      </c>
      <c r="C55" s="158">
        <f>$F$195</f>
        <v>2.7620354090000006</v>
      </c>
      <c r="E55" t="s">
        <v>1532</v>
      </c>
    </row>
    <row r="56" spans="1:5" x14ac:dyDescent="0.2">
      <c r="A56" t="s">
        <v>200</v>
      </c>
      <c r="B56" t="s">
        <v>201</v>
      </c>
      <c r="C56" s="158">
        <f>$F$207</f>
        <v>1.2146767045000002</v>
      </c>
      <c r="E56" t="s">
        <v>1533</v>
      </c>
    </row>
    <row r="57" spans="1:5" x14ac:dyDescent="0.2">
      <c r="A57" t="s">
        <v>204</v>
      </c>
      <c r="B57" t="s">
        <v>206</v>
      </c>
      <c r="C57" s="158">
        <f>$F$221</f>
        <v>0.73636500000000005</v>
      </c>
      <c r="E57" t="s">
        <v>1534</v>
      </c>
    </row>
    <row r="58" spans="1:5" x14ac:dyDescent="0.2">
      <c r="A58" t="s">
        <v>209</v>
      </c>
      <c r="B58" t="s">
        <v>211</v>
      </c>
      <c r="C58" s="158">
        <f>$F$232</f>
        <v>1.03908</v>
      </c>
      <c r="E58" t="s">
        <v>1535</v>
      </c>
    </row>
    <row r="59" spans="1:5" x14ac:dyDescent="0.2">
      <c r="A59" t="s">
        <v>214</v>
      </c>
      <c r="B59" t="s">
        <v>216</v>
      </c>
      <c r="C59" s="158">
        <f>$F$249</f>
        <v>10.493930817999997</v>
      </c>
      <c r="E59" t="s">
        <v>1536</v>
      </c>
    </row>
    <row r="60" spans="1:5" x14ac:dyDescent="0.2">
      <c r="A60" t="s">
        <v>219</v>
      </c>
      <c r="B60" t="s">
        <v>221</v>
      </c>
      <c r="C60" s="158">
        <f>$F$262</f>
        <v>2.5898179999999997</v>
      </c>
      <c r="E60" t="s">
        <v>1537</v>
      </c>
    </row>
    <row r="61" spans="1:5" x14ac:dyDescent="0.2">
      <c r="A61" t="s">
        <v>224</v>
      </c>
      <c r="B61" t="s">
        <v>225</v>
      </c>
      <c r="C61" s="158">
        <f>$F$275</f>
        <v>5.0221359999999997</v>
      </c>
      <c r="E61" t="s">
        <v>1538</v>
      </c>
    </row>
    <row r="62" spans="1:5" x14ac:dyDescent="0.2">
      <c r="A62" t="s">
        <v>228</v>
      </c>
      <c r="B62" t="s">
        <v>230</v>
      </c>
      <c r="C62" s="158">
        <f>$F$282</f>
        <v>1.26</v>
      </c>
      <c r="E62" t="s">
        <v>404</v>
      </c>
    </row>
    <row r="63" spans="1:5" x14ac:dyDescent="0.2">
      <c r="A63" t="s">
        <v>233</v>
      </c>
      <c r="B63" t="s">
        <v>234</v>
      </c>
      <c r="C63" s="158">
        <f>$F$292</f>
        <v>0.29315999999999998</v>
      </c>
      <c r="E63" t="s">
        <v>1539</v>
      </c>
    </row>
    <row r="64" spans="1:5" x14ac:dyDescent="0.2">
      <c r="A64" t="s">
        <v>237</v>
      </c>
      <c r="B64" t="s">
        <v>238</v>
      </c>
      <c r="C64" s="158">
        <f>$F$300</f>
        <v>2.9924999999999997</v>
      </c>
      <c r="E64" t="s">
        <v>1548</v>
      </c>
    </row>
    <row r="68" spans="1:7" x14ac:dyDescent="0.2">
      <c r="A68" s="159" t="s">
        <v>405</v>
      </c>
      <c r="B68" s="159" t="s">
        <v>406</v>
      </c>
      <c r="C68" s="159"/>
      <c r="D68" s="159"/>
      <c r="E68" s="159"/>
      <c r="F68" s="159"/>
      <c r="G68" s="159"/>
    </row>
    <row r="69" spans="1:7" x14ac:dyDescent="0.2">
      <c r="B69" s="160" t="s">
        <v>407</v>
      </c>
      <c r="C69" s="160" t="s">
        <v>408</v>
      </c>
      <c r="D69" s="160" t="s">
        <v>339</v>
      </c>
      <c r="E69" s="160" t="s">
        <v>409</v>
      </c>
      <c r="F69" s="160" t="s">
        <v>410</v>
      </c>
      <c r="G69" s="160" t="s">
        <v>411</v>
      </c>
    </row>
    <row r="70" spans="1:7" x14ac:dyDescent="0.2">
      <c r="B70" t="s">
        <v>412</v>
      </c>
      <c r="C70">
        <f>$C$6</f>
        <v>2</v>
      </c>
      <c r="D70" t="s">
        <v>413</v>
      </c>
      <c r="E70">
        <f>$E$19</f>
        <v>1.25</v>
      </c>
      <c r="F70">
        <f>C70*E70</f>
        <v>2.5</v>
      </c>
    </row>
    <row r="71" spans="1:7" x14ac:dyDescent="0.2">
      <c r="B71" t="s">
        <v>414</v>
      </c>
      <c r="C71">
        <f>$C$6</f>
        <v>2</v>
      </c>
      <c r="D71" t="s">
        <v>413</v>
      </c>
      <c r="E71">
        <f>$E$20</f>
        <v>0.222</v>
      </c>
      <c r="F71">
        <f>C71*E71</f>
        <v>0.44400000000000001</v>
      </c>
    </row>
    <row r="72" spans="1:7" x14ac:dyDescent="0.2">
      <c r="B72" t="s">
        <v>415</v>
      </c>
      <c r="C72">
        <v>1</v>
      </c>
      <c r="D72" t="s">
        <v>416</v>
      </c>
      <c r="E72">
        <f>$E$40</f>
        <v>0.08</v>
      </c>
      <c r="F72">
        <f>C72*E72</f>
        <v>0.08</v>
      </c>
    </row>
    <row r="73" spans="1:7" x14ac:dyDescent="0.2">
      <c r="B73" t="s">
        <v>417</v>
      </c>
      <c r="F73">
        <f>SUM(F70:F72)</f>
        <v>3.024</v>
      </c>
    </row>
    <row r="74" spans="1:7" x14ac:dyDescent="0.2">
      <c r="B74" t="s">
        <v>418</v>
      </c>
      <c r="F74">
        <f>F73*$C$15</f>
        <v>0.1512</v>
      </c>
    </row>
    <row r="75" spans="1:7" x14ac:dyDescent="0.2">
      <c r="B75" s="150" t="s">
        <v>419</v>
      </c>
      <c r="C75" s="150"/>
      <c r="D75" s="150"/>
      <c r="E75" s="150"/>
      <c r="F75" s="150">
        <f>F73+F74</f>
        <v>3.1752000000000002</v>
      </c>
    </row>
    <row r="76" spans="1:7" x14ac:dyDescent="0.2">
      <c r="B76" t="s">
        <v>420</v>
      </c>
    </row>
    <row r="78" spans="1:7" x14ac:dyDescent="0.2">
      <c r="A78" s="159" t="s">
        <v>421</v>
      </c>
      <c r="B78" s="159" t="s">
        <v>422</v>
      </c>
      <c r="C78" s="159"/>
      <c r="D78" s="159"/>
      <c r="E78" s="159"/>
      <c r="F78" s="159"/>
      <c r="G78" s="159"/>
    </row>
    <row r="79" spans="1:7" x14ac:dyDescent="0.2">
      <c r="B79" s="160" t="s">
        <v>407</v>
      </c>
      <c r="C79" s="160" t="s">
        <v>408</v>
      </c>
      <c r="D79" s="160" t="s">
        <v>339</v>
      </c>
      <c r="E79" s="160" t="s">
        <v>409</v>
      </c>
      <c r="F79" s="160" t="s">
        <v>410</v>
      </c>
      <c r="G79" s="160" t="s">
        <v>411</v>
      </c>
    </row>
    <row r="80" spans="1:7" x14ac:dyDescent="0.2">
      <c r="B80" t="s">
        <v>423</v>
      </c>
      <c r="C80">
        <f>$C$6/$C$9</f>
        <v>0.22222222222222221</v>
      </c>
      <c r="D80" t="s">
        <v>413</v>
      </c>
      <c r="E80">
        <f>$E$19</f>
        <v>1.25</v>
      </c>
      <c r="F80">
        <f>C80*E80</f>
        <v>0.27777777777777779</v>
      </c>
      <c r="G80" t="s">
        <v>424</v>
      </c>
    </row>
    <row r="81" spans="1:7" x14ac:dyDescent="0.2">
      <c r="B81" t="s">
        <v>414</v>
      </c>
      <c r="C81">
        <f>$C$6/$C$9</f>
        <v>0.22222222222222221</v>
      </c>
      <c r="D81" t="s">
        <v>413</v>
      </c>
      <c r="E81">
        <f>$E$20</f>
        <v>0.222</v>
      </c>
      <c r="F81">
        <f>C81*E81</f>
        <v>4.9333333333333333E-2</v>
      </c>
    </row>
    <row r="82" spans="1:7" x14ac:dyDescent="0.2">
      <c r="B82" t="s">
        <v>425</v>
      </c>
      <c r="C82">
        <f>$C$6/$C$9</f>
        <v>0.22222222222222221</v>
      </c>
      <c r="D82" t="s">
        <v>413</v>
      </c>
      <c r="E82">
        <f>$E$27</f>
        <v>2.2320500000000002E-3</v>
      </c>
      <c r="F82">
        <f>C82*E82</f>
        <v>4.9601111111111118E-4</v>
      </c>
    </row>
    <row r="83" spans="1:7" x14ac:dyDescent="0.2">
      <c r="B83" t="s">
        <v>426</v>
      </c>
      <c r="C83">
        <v>0.2</v>
      </c>
      <c r="D83" t="s">
        <v>427</v>
      </c>
      <c r="E83">
        <f>$E$28</f>
        <v>0.01</v>
      </c>
      <c r="F83">
        <f>C83*E83</f>
        <v>2E-3</v>
      </c>
    </row>
    <row r="84" spans="1:7" x14ac:dyDescent="0.2">
      <c r="B84" t="s">
        <v>428</v>
      </c>
      <c r="C84">
        <v>1</v>
      </c>
      <c r="D84" t="s">
        <v>427</v>
      </c>
      <c r="E84">
        <f>$E$44</f>
        <v>1.4999999999999999E-2</v>
      </c>
      <c r="F84">
        <f>C84*E84</f>
        <v>1.4999999999999999E-2</v>
      </c>
    </row>
    <row r="85" spans="1:7" x14ac:dyDescent="0.2">
      <c r="B85" t="s">
        <v>417</v>
      </c>
      <c r="F85">
        <f>SUM(F80:F84)</f>
        <v>0.34460712222222228</v>
      </c>
    </row>
    <row r="86" spans="1:7" x14ac:dyDescent="0.2">
      <c r="B86" t="s">
        <v>418</v>
      </c>
      <c r="F86">
        <f>F85*$C$15</f>
        <v>1.7230356111111116E-2</v>
      </c>
    </row>
    <row r="87" spans="1:7" x14ac:dyDescent="0.2">
      <c r="B87" s="150" t="s">
        <v>419</v>
      </c>
      <c r="C87" s="150"/>
      <c r="D87" s="150"/>
      <c r="E87" s="150"/>
      <c r="F87" s="150">
        <f>F85+F86</f>
        <v>0.36183747833333341</v>
      </c>
    </row>
    <row r="88" spans="1:7" x14ac:dyDescent="0.2">
      <c r="B88" t="s">
        <v>429</v>
      </c>
    </row>
    <row r="90" spans="1:7" x14ac:dyDescent="0.2">
      <c r="A90" s="159" t="s">
        <v>166</v>
      </c>
      <c r="B90" s="159" t="s">
        <v>430</v>
      </c>
      <c r="C90" s="159"/>
      <c r="D90" s="159"/>
      <c r="E90" s="159"/>
      <c r="F90" s="159"/>
      <c r="G90" s="159"/>
    </row>
    <row r="91" spans="1:7" x14ac:dyDescent="0.2">
      <c r="B91" s="160" t="s">
        <v>407</v>
      </c>
      <c r="C91" s="160" t="s">
        <v>408</v>
      </c>
      <c r="D91" s="160" t="s">
        <v>339</v>
      </c>
      <c r="E91" s="160" t="s">
        <v>409</v>
      </c>
      <c r="F91" s="160" t="s">
        <v>410</v>
      </c>
      <c r="G91" s="160" t="s">
        <v>411</v>
      </c>
    </row>
    <row r="92" spans="1:7" x14ac:dyDescent="0.2">
      <c r="B92" t="s">
        <v>431</v>
      </c>
      <c r="C92">
        <v>1</v>
      </c>
      <c r="D92" t="s">
        <v>416</v>
      </c>
      <c r="E92">
        <f>$F$75</f>
        <v>3.1752000000000002</v>
      </c>
      <c r="F92">
        <f>C92*E92</f>
        <v>3.1752000000000002</v>
      </c>
    </row>
    <row r="93" spans="1:7" x14ac:dyDescent="0.2">
      <c r="B93" t="s">
        <v>1545</v>
      </c>
      <c r="C93">
        <v>2</v>
      </c>
      <c r="D93" t="s">
        <v>435</v>
      </c>
      <c r="E93">
        <f>$F$292</f>
        <v>0.29315999999999998</v>
      </c>
      <c r="F93">
        <f>C93*E93</f>
        <v>0.58631999999999995</v>
      </c>
    </row>
    <row r="94" spans="1:7" x14ac:dyDescent="0.2">
      <c r="B94" t="s">
        <v>432</v>
      </c>
      <c r="C94">
        <v>2</v>
      </c>
      <c r="D94" t="s">
        <v>433</v>
      </c>
      <c r="E94">
        <f>$E$30</f>
        <v>0.7</v>
      </c>
      <c r="F94">
        <f>C94*E94</f>
        <v>1.4</v>
      </c>
    </row>
    <row r="95" spans="1:7" x14ac:dyDescent="0.2">
      <c r="B95" t="s">
        <v>434</v>
      </c>
      <c r="C95">
        <v>1</v>
      </c>
      <c r="D95" t="s">
        <v>435</v>
      </c>
      <c r="E95">
        <f>$E$42</f>
        <v>0.124</v>
      </c>
      <c r="F95">
        <f>C95*E95</f>
        <v>0.124</v>
      </c>
    </row>
    <row r="96" spans="1:7" x14ac:dyDescent="0.2">
      <c r="B96" t="s">
        <v>436</v>
      </c>
      <c r="C96">
        <v>1</v>
      </c>
      <c r="D96" t="s">
        <v>433</v>
      </c>
      <c r="E96">
        <f>$E$34</f>
        <v>0.1</v>
      </c>
      <c r="F96">
        <f>C96*E96</f>
        <v>0.1</v>
      </c>
    </row>
    <row r="97" spans="1:7" x14ac:dyDescent="0.2">
      <c r="B97" t="s">
        <v>437</v>
      </c>
      <c r="C97">
        <v>4</v>
      </c>
      <c r="D97" t="s">
        <v>433</v>
      </c>
      <c r="E97">
        <f>$E$38</f>
        <v>0.01</v>
      </c>
      <c r="F97">
        <f>C97*E97</f>
        <v>0.04</v>
      </c>
    </row>
    <row r="98" spans="1:7" x14ac:dyDescent="0.2">
      <c r="B98" t="s">
        <v>438</v>
      </c>
      <c r="C98">
        <v>2</v>
      </c>
      <c r="D98" t="s">
        <v>433</v>
      </c>
      <c r="E98">
        <f>$E$39</f>
        <v>0.03</v>
      </c>
      <c r="F98">
        <f>C98*E98</f>
        <v>0.06</v>
      </c>
    </row>
    <row r="99" spans="1:7" x14ac:dyDescent="0.2">
      <c r="B99" t="s">
        <v>417</v>
      </c>
      <c r="F99">
        <f>SUM(F92:F98)</f>
        <v>5.4855199999999984</v>
      </c>
    </row>
    <row r="100" spans="1:7" x14ac:dyDescent="0.2">
      <c r="B100" t="s">
        <v>418</v>
      </c>
      <c r="F100">
        <f>F99*$C$15</f>
        <v>0.27427599999999991</v>
      </c>
    </row>
    <row r="101" spans="1:7" x14ac:dyDescent="0.2">
      <c r="B101" s="150" t="s">
        <v>419</v>
      </c>
      <c r="C101" s="150"/>
      <c r="D101" s="150"/>
      <c r="E101" s="150"/>
      <c r="F101" s="150">
        <f>F99+F100</f>
        <v>5.7597959999999979</v>
      </c>
    </row>
    <row r="102" spans="1:7" x14ac:dyDescent="0.2">
      <c r="B102" t="s">
        <v>439</v>
      </c>
    </row>
    <row r="104" spans="1:7" x14ac:dyDescent="0.2">
      <c r="A104" s="159" t="s">
        <v>171</v>
      </c>
      <c r="B104" s="159" t="s">
        <v>440</v>
      </c>
      <c r="C104" s="159"/>
      <c r="D104" s="159"/>
      <c r="E104" s="159"/>
      <c r="F104" s="159"/>
      <c r="G104" s="159"/>
    </row>
    <row r="105" spans="1:7" x14ac:dyDescent="0.2">
      <c r="B105" s="160" t="s">
        <v>407</v>
      </c>
      <c r="C105" s="160" t="s">
        <v>408</v>
      </c>
      <c r="D105" s="160" t="s">
        <v>339</v>
      </c>
      <c r="E105" s="160" t="s">
        <v>409</v>
      </c>
      <c r="F105" s="160" t="s">
        <v>410</v>
      </c>
      <c r="G105" s="160" t="s">
        <v>411</v>
      </c>
    </row>
    <row r="106" spans="1:7" x14ac:dyDescent="0.2">
      <c r="B106" t="s">
        <v>431</v>
      </c>
      <c r="C106">
        <v>1</v>
      </c>
      <c r="D106" t="s">
        <v>416</v>
      </c>
      <c r="E106">
        <f>$F$75</f>
        <v>3.1752000000000002</v>
      </c>
      <c r="F106">
        <f>C106*E106</f>
        <v>3.1752000000000002</v>
      </c>
    </row>
    <row r="107" spans="1:7" x14ac:dyDescent="0.2">
      <c r="B107" t="s">
        <v>1545</v>
      </c>
      <c r="C107">
        <v>2</v>
      </c>
      <c r="D107" t="s">
        <v>435</v>
      </c>
      <c r="E107">
        <f>$F$292</f>
        <v>0.29315999999999998</v>
      </c>
      <c r="F107">
        <f>C107*E107</f>
        <v>0.58631999999999995</v>
      </c>
    </row>
    <row r="108" spans="1:7" x14ac:dyDescent="0.2">
      <c r="B108" t="s">
        <v>432</v>
      </c>
      <c r="C108">
        <v>2</v>
      </c>
      <c r="D108" t="s">
        <v>433</v>
      </c>
      <c r="E108">
        <f>$E$30</f>
        <v>0.7</v>
      </c>
      <c r="F108">
        <f>C108*E108</f>
        <v>1.4</v>
      </c>
    </row>
    <row r="109" spans="1:7" x14ac:dyDescent="0.2">
      <c r="B109" t="s">
        <v>434</v>
      </c>
      <c r="C109">
        <v>1</v>
      </c>
      <c r="D109" t="s">
        <v>435</v>
      </c>
      <c r="E109">
        <f>$E$42</f>
        <v>0.124</v>
      </c>
      <c r="F109">
        <f>C109*E109</f>
        <v>0.124</v>
      </c>
    </row>
    <row r="110" spans="1:7" x14ac:dyDescent="0.2">
      <c r="B110" t="s">
        <v>436</v>
      </c>
      <c r="C110">
        <v>1</v>
      </c>
      <c r="D110" t="s">
        <v>433</v>
      </c>
      <c r="E110">
        <f>$E$34</f>
        <v>0.1</v>
      </c>
      <c r="F110">
        <f>C110*E110</f>
        <v>0.1</v>
      </c>
    </row>
    <row r="111" spans="1:7" x14ac:dyDescent="0.2">
      <c r="B111" t="s">
        <v>437</v>
      </c>
      <c r="C111">
        <v>4</v>
      </c>
      <c r="D111" t="s">
        <v>433</v>
      </c>
      <c r="E111">
        <f>$E$38</f>
        <v>0.01</v>
      </c>
      <c r="F111">
        <f>C111*E111</f>
        <v>0.04</v>
      </c>
    </row>
    <row r="112" spans="1:7" x14ac:dyDescent="0.2">
      <c r="B112" t="s">
        <v>438</v>
      </c>
      <c r="C112">
        <v>2</v>
      </c>
      <c r="D112" t="s">
        <v>433</v>
      </c>
      <c r="E112">
        <f>$E$39</f>
        <v>0.03</v>
      </c>
      <c r="F112">
        <f>C112*E112</f>
        <v>0.06</v>
      </c>
    </row>
    <row r="113" spans="1:7" x14ac:dyDescent="0.2">
      <c r="B113" t="s">
        <v>441</v>
      </c>
      <c r="C113">
        <v>1</v>
      </c>
      <c r="D113" t="s">
        <v>433</v>
      </c>
      <c r="E113">
        <f>$E$32</f>
        <v>1.2</v>
      </c>
      <c r="F113">
        <f>C113*E113</f>
        <v>1.2</v>
      </c>
    </row>
    <row r="114" spans="1:7" x14ac:dyDescent="0.2">
      <c r="B114" t="s">
        <v>417</v>
      </c>
      <c r="F114">
        <f>SUM(F106:F113)</f>
        <v>6.6855199999999986</v>
      </c>
    </row>
    <row r="115" spans="1:7" x14ac:dyDescent="0.2">
      <c r="B115" t="s">
        <v>418</v>
      </c>
      <c r="F115">
        <f>F114*$C$15</f>
        <v>0.33427599999999996</v>
      </c>
    </row>
    <row r="116" spans="1:7" x14ac:dyDescent="0.2">
      <c r="B116" s="150" t="s">
        <v>419</v>
      </c>
      <c r="C116" s="150"/>
      <c r="D116" s="150"/>
      <c r="E116" s="150"/>
      <c r="F116" s="150">
        <f>F114+F115</f>
        <v>7.0197959999999986</v>
      </c>
    </row>
    <row r="118" spans="1:7" x14ac:dyDescent="0.2">
      <c r="A118" s="159" t="s">
        <v>175</v>
      </c>
      <c r="B118" s="159" t="s">
        <v>442</v>
      </c>
      <c r="C118" s="159"/>
      <c r="D118" s="159"/>
      <c r="E118" s="159"/>
      <c r="F118" s="159"/>
      <c r="G118" s="159"/>
    </row>
    <row r="119" spans="1:7" x14ac:dyDescent="0.2">
      <c r="B119" s="160" t="s">
        <v>407</v>
      </c>
      <c r="C119" s="160" t="s">
        <v>408</v>
      </c>
      <c r="D119" s="160" t="s">
        <v>339</v>
      </c>
      <c r="E119" s="160" t="s">
        <v>409</v>
      </c>
      <c r="F119" s="160" t="s">
        <v>410</v>
      </c>
      <c r="G119" s="160" t="s">
        <v>411</v>
      </c>
    </row>
    <row r="120" spans="1:7" x14ac:dyDescent="0.2">
      <c r="B120" t="s">
        <v>431</v>
      </c>
      <c r="C120">
        <v>0.5</v>
      </c>
      <c r="D120" t="s">
        <v>416</v>
      </c>
      <c r="E120">
        <f>$F$75</f>
        <v>3.1752000000000002</v>
      </c>
      <c r="F120">
        <f>C120*E120</f>
        <v>1.5876000000000001</v>
      </c>
    </row>
    <row r="121" spans="1:7" x14ac:dyDescent="0.2">
      <c r="B121" t="s">
        <v>1546</v>
      </c>
      <c r="C121">
        <v>1</v>
      </c>
      <c r="D121" t="s">
        <v>435</v>
      </c>
      <c r="E121">
        <f>$F$292</f>
        <v>0.29315999999999998</v>
      </c>
      <c r="F121">
        <f>C121*E121</f>
        <v>0.29315999999999998</v>
      </c>
    </row>
    <row r="122" spans="1:7" x14ac:dyDescent="0.2">
      <c r="B122" t="s">
        <v>443</v>
      </c>
      <c r="C122">
        <v>1</v>
      </c>
      <c r="D122" t="s">
        <v>433</v>
      </c>
      <c r="E122">
        <f>$E$30</f>
        <v>0.7</v>
      </c>
      <c r="F122">
        <f>C122*E122</f>
        <v>0.7</v>
      </c>
    </row>
    <row r="123" spans="1:7" x14ac:dyDescent="0.2">
      <c r="B123" t="s">
        <v>434</v>
      </c>
      <c r="C123">
        <v>1</v>
      </c>
      <c r="D123" t="s">
        <v>435</v>
      </c>
      <c r="E123">
        <f>$E$42</f>
        <v>0.124</v>
      </c>
      <c r="F123">
        <f>C123*E123</f>
        <v>0.124</v>
      </c>
    </row>
    <row r="124" spans="1:7" x14ac:dyDescent="0.2">
      <c r="B124" t="s">
        <v>436</v>
      </c>
      <c r="C124">
        <v>1</v>
      </c>
      <c r="D124" t="s">
        <v>433</v>
      </c>
      <c r="E124">
        <f>$E$34</f>
        <v>0.1</v>
      </c>
      <c r="F124">
        <f>C124*E124</f>
        <v>0.1</v>
      </c>
    </row>
    <row r="125" spans="1:7" x14ac:dyDescent="0.2">
      <c r="B125" t="s">
        <v>437</v>
      </c>
      <c r="C125">
        <v>2</v>
      </c>
      <c r="D125" t="s">
        <v>433</v>
      </c>
      <c r="E125">
        <f>$E$38</f>
        <v>0.01</v>
      </c>
      <c r="F125">
        <f>C125*E125</f>
        <v>0.02</v>
      </c>
    </row>
    <row r="126" spans="1:7" x14ac:dyDescent="0.2">
      <c r="B126" t="s">
        <v>444</v>
      </c>
      <c r="C126">
        <v>1</v>
      </c>
      <c r="D126" t="s">
        <v>433</v>
      </c>
      <c r="E126">
        <f>$E$39</f>
        <v>0.03</v>
      </c>
      <c r="F126">
        <f>C126*E126</f>
        <v>0.03</v>
      </c>
    </row>
    <row r="127" spans="1:7" x14ac:dyDescent="0.2">
      <c r="B127" t="s">
        <v>417</v>
      </c>
      <c r="F127">
        <f>SUM(F120:F126)</f>
        <v>2.8547599999999997</v>
      </c>
    </row>
    <row r="128" spans="1:7" x14ac:dyDescent="0.2">
      <c r="B128" t="s">
        <v>418</v>
      </c>
      <c r="F128">
        <f>F127*$C$15</f>
        <v>0.142738</v>
      </c>
    </row>
    <row r="129" spans="1:7" x14ac:dyDescent="0.2">
      <c r="B129" s="150" t="s">
        <v>419</v>
      </c>
      <c r="C129" s="150"/>
      <c r="D129" s="150"/>
      <c r="E129" s="150"/>
      <c r="F129" s="150">
        <f>F127+F128</f>
        <v>2.9974979999999998</v>
      </c>
    </row>
    <row r="131" spans="1:7" x14ac:dyDescent="0.2">
      <c r="A131" s="159" t="s">
        <v>179</v>
      </c>
      <c r="B131" s="159" t="s">
        <v>445</v>
      </c>
      <c r="C131" s="159"/>
      <c r="D131" s="159"/>
      <c r="E131" s="159"/>
      <c r="F131" s="159"/>
      <c r="G131" s="159"/>
    </row>
    <row r="132" spans="1:7" x14ac:dyDescent="0.2">
      <c r="B132" s="160" t="s">
        <v>407</v>
      </c>
      <c r="C132" s="160" t="s">
        <v>408</v>
      </c>
      <c r="D132" s="160" t="s">
        <v>339</v>
      </c>
      <c r="E132" s="160" t="s">
        <v>409</v>
      </c>
      <c r="F132" s="160" t="s">
        <v>410</v>
      </c>
      <c r="G132" s="160" t="s">
        <v>411</v>
      </c>
    </row>
    <row r="133" spans="1:7" x14ac:dyDescent="0.2">
      <c r="B133" t="s">
        <v>431</v>
      </c>
      <c r="C133">
        <v>0.5</v>
      </c>
      <c r="D133" t="s">
        <v>416</v>
      </c>
      <c r="E133">
        <f>$F$75</f>
        <v>3.1752000000000002</v>
      </c>
      <c r="F133">
        <f>C133*E133</f>
        <v>1.5876000000000001</v>
      </c>
    </row>
    <row r="134" spans="1:7" x14ac:dyDescent="0.2">
      <c r="B134" t="s">
        <v>1546</v>
      </c>
      <c r="C134">
        <v>1</v>
      </c>
      <c r="D134" t="s">
        <v>435</v>
      </c>
      <c r="E134">
        <f>$F$292</f>
        <v>0.29315999999999998</v>
      </c>
      <c r="F134">
        <f>C134*E134</f>
        <v>0.29315999999999998</v>
      </c>
    </row>
    <row r="135" spans="1:7" x14ac:dyDescent="0.2">
      <c r="B135" t="s">
        <v>443</v>
      </c>
      <c r="C135">
        <v>1</v>
      </c>
      <c r="D135" t="s">
        <v>433</v>
      </c>
      <c r="E135">
        <f>$E$30</f>
        <v>0.7</v>
      </c>
      <c r="F135">
        <f>C135*E135</f>
        <v>0.7</v>
      </c>
    </row>
    <row r="136" spans="1:7" x14ac:dyDescent="0.2">
      <c r="B136" t="s">
        <v>434</v>
      </c>
      <c r="C136">
        <v>1</v>
      </c>
      <c r="D136" t="s">
        <v>435</v>
      </c>
      <c r="E136">
        <f>$E$42</f>
        <v>0.124</v>
      </c>
      <c r="F136">
        <f>C136*E136</f>
        <v>0.124</v>
      </c>
    </row>
    <row r="137" spans="1:7" x14ac:dyDescent="0.2">
      <c r="B137" t="s">
        <v>436</v>
      </c>
      <c r="C137">
        <v>1</v>
      </c>
      <c r="D137" t="s">
        <v>433</v>
      </c>
      <c r="E137">
        <f>$E$34</f>
        <v>0.1</v>
      </c>
      <c r="F137">
        <f>C137*E137</f>
        <v>0.1</v>
      </c>
    </row>
    <row r="138" spans="1:7" x14ac:dyDescent="0.2">
      <c r="B138" t="s">
        <v>437</v>
      </c>
      <c r="C138">
        <v>2</v>
      </c>
      <c r="D138" t="s">
        <v>433</v>
      </c>
      <c r="E138">
        <f>$E$38</f>
        <v>0.01</v>
      </c>
      <c r="F138">
        <f>C138*E138</f>
        <v>0.02</v>
      </c>
    </row>
    <row r="139" spans="1:7" x14ac:dyDescent="0.2">
      <c r="B139" t="s">
        <v>444</v>
      </c>
      <c r="C139">
        <v>1</v>
      </c>
      <c r="D139" t="s">
        <v>433</v>
      </c>
      <c r="E139">
        <f>$E$39</f>
        <v>0.03</v>
      </c>
      <c r="F139">
        <f>C139*E139</f>
        <v>0.03</v>
      </c>
    </row>
    <row r="140" spans="1:7" x14ac:dyDescent="0.2">
      <c r="B140" t="s">
        <v>441</v>
      </c>
      <c r="C140">
        <v>1</v>
      </c>
      <c r="D140" t="s">
        <v>433</v>
      </c>
      <c r="E140">
        <f>$E$32</f>
        <v>1.2</v>
      </c>
      <c r="F140">
        <f>C140*E140</f>
        <v>1.2</v>
      </c>
    </row>
    <row r="141" spans="1:7" x14ac:dyDescent="0.2">
      <c r="B141" t="s">
        <v>417</v>
      </c>
      <c r="F141">
        <f>SUM(F133:F140)</f>
        <v>4.0547599999999999</v>
      </c>
    </row>
    <row r="142" spans="1:7" x14ac:dyDescent="0.2">
      <c r="B142" t="s">
        <v>418</v>
      </c>
      <c r="F142">
        <f>F141*$C$15</f>
        <v>0.202738</v>
      </c>
    </row>
    <row r="143" spans="1:7" x14ac:dyDescent="0.2">
      <c r="B143" s="150" t="s">
        <v>419</v>
      </c>
      <c r="C143" s="150"/>
      <c r="D143" s="150"/>
      <c r="E143" s="150"/>
      <c r="F143" s="150">
        <f>F141+F142</f>
        <v>4.257498</v>
      </c>
    </row>
    <row r="145" spans="1:7" x14ac:dyDescent="0.2">
      <c r="A145" s="159" t="s">
        <v>183</v>
      </c>
      <c r="B145" s="159" t="s">
        <v>446</v>
      </c>
      <c r="C145" s="159"/>
      <c r="D145" s="159"/>
      <c r="E145" s="159"/>
      <c r="F145" s="159"/>
      <c r="G145" s="159"/>
    </row>
    <row r="146" spans="1:7" x14ac:dyDescent="0.2">
      <c r="B146" s="160" t="s">
        <v>407</v>
      </c>
      <c r="C146" s="160" t="s">
        <v>408</v>
      </c>
      <c r="D146" s="160" t="s">
        <v>339</v>
      </c>
      <c r="E146" s="160" t="s">
        <v>409</v>
      </c>
      <c r="F146" s="160" t="s">
        <v>410</v>
      </c>
      <c r="G146" s="160" t="s">
        <v>411</v>
      </c>
    </row>
    <row r="147" spans="1:7" x14ac:dyDescent="0.2">
      <c r="B147" t="s">
        <v>447</v>
      </c>
      <c r="C147">
        <f>2/$C$10</f>
        <v>0.25</v>
      </c>
      <c r="D147" t="s">
        <v>416</v>
      </c>
      <c r="E147">
        <f>$F$75</f>
        <v>3.1752000000000002</v>
      </c>
      <c r="F147">
        <f>C147*E147</f>
        <v>0.79380000000000006</v>
      </c>
    </row>
    <row r="148" spans="1:7" x14ac:dyDescent="0.2">
      <c r="B148" t="s">
        <v>1546</v>
      </c>
      <c r="C148">
        <v>1</v>
      </c>
      <c r="D148" t="s">
        <v>435</v>
      </c>
      <c r="E148">
        <f>$F$292</f>
        <v>0.29315999999999998</v>
      </c>
      <c r="F148">
        <f>C148*E148</f>
        <v>0.29315999999999998</v>
      </c>
    </row>
    <row r="149" spans="1:7" x14ac:dyDescent="0.2">
      <c r="B149" t="s">
        <v>448</v>
      </c>
      <c r="C149">
        <v>1</v>
      </c>
      <c r="D149" t="s">
        <v>433</v>
      </c>
      <c r="E149">
        <f>$E$43</f>
        <v>0.05</v>
      </c>
      <c r="F149">
        <f>C149*E149</f>
        <v>0.05</v>
      </c>
    </row>
    <row r="150" spans="1:7" x14ac:dyDescent="0.2">
      <c r="B150" t="s">
        <v>437</v>
      </c>
      <c r="C150">
        <v>2</v>
      </c>
      <c r="D150" t="s">
        <v>433</v>
      </c>
      <c r="E150">
        <f>$E$38</f>
        <v>0.01</v>
      </c>
      <c r="F150">
        <f>C150*E150</f>
        <v>0.02</v>
      </c>
    </row>
    <row r="151" spans="1:7" x14ac:dyDescent="0.2">
      <c r="B151" t="s">
        <v>444</v>
      </c>
      <c r="C151">
        <v>1</v>
      </c>
      <c r="D151" t="s">
        <v>433</v>
      </c>
      <c r="E151">
        <f>$E$39</f>
        <v>0.03</v>
      </c>
      <c r="F151">
        <f>C151*E151</f>
        <v>0.03</v>
      </c>
    </row>
    <row r="152" spans="1:7" x14ac:dyDescent="0.2">
      <c r="B152" t="s">
        <v>417</v>
      </c>
      <c r="F152">
        <f>SUM(F147:F151)</f>
        <v>1.18696</v>
      </c>
    </row>
    <row r="153" spans="1:7" x14ac:dyDescent="0.2">
      <c r="B153" t="s">
        <v>418</v>
      </c>
      <c r="F153">
        <f>F152*$C$15</f>
        <v>5.9348000000000005E-2</v>
      </c>
    </row>
    <row r="154" spans="1:7" x14ac:dyDescent="0.2">
      <c r="B154" s="150" t="s">
        <v>419</v>
      </c>
      <c r="C154" s="150"/>
      <c r="D154" s="150"/>
      <c r="E154" s="150"/>
      <c r="F154" s="150">
        <f>F152+F153</f>
        <v>1.246308</v>
      </c>
    </row>
    <row r="156" spans="1:7" x14ac:dyDescent="0.2">
      <c r="A156" s="159" t="s">
        <v>187</v>
      </c>
      <c r="B156" s="159" t="s">
        <v>449</v>
      </c>
      <c r="C156" s="159"/>
      <c r="D156" s="159"/>
      <c r="E156" s="159"/>
      <c r="F156" s="159"/>
      <c r="G156" s="159"/>
    </row>
    <row r="157" spans="1:7" x14ac:dyDescent="0.2">
      <c r="B157" s="160" t="s">
        <v>407</v>
      </c>
      <c r="C157" s="160" t="s">
        <v>408</v>
      </c>
      <c r="D157" s="160" t="s">
        <v>339</v>
      </c>
      <c r="E157" s="160" t="s">
        <v>409</v>
      </c>
      <c r="F157" s="160" t="s">
        <v>410</v>
      </c>
      <c r="G157" s="160" t="s">
        <v>411</v>
      </c>
    </row>
    <row r="158" spans="1:7" x14ac:dyDescent="0.2">
      <c r="B158" t="s">
        <v>450</v>
      </c>
      <c r="C158">
        <v>8</v>
      </c>
      <c r="D158" t="s">
        <v>427</v>
      </c>
      <c r="E158">
        <f>$F$87</f>
        <v>0.36183747833333341</v>
      </c>
      <c r="F158">
        <f>C158*E158</f>
        <v>2.8946998266666673</v>
      </c>
    </row>
    <row r="159" spans="1:7" x14ac:dyDescent="0.2">
      <c r="B159" t="s">
        <v>1545</v>
      </c>
      <c r="C159">
        <v>2</v>
      </c>
      <c r="D159" t="s">
        <v>435</v>
      </c>
      <c r="E159">
        <f>$F$292</f>
        <v>0.29315999999999998</v>
      </c>
      <c r="F159">
        <f>C159*E159</f>
        <v>0.58631999999999995</v>
      </c>
    </row>
    <row r="160" spans="1:7" x14ac:dyDescent="0.2">
      <c r="B160" t="s">
        <v>432</v>
      </c>
      <c r="C160">
        <v>2</v>
      </c>
      <c r="D160" t="s">
        <v>433</v>
      </c>
      <c r="E160">
        <f>$E$30</f>
        <v>0.7</v>
      </c>
      <c r="F160">
        <f>C160*E160</f>
        <v>1.4</v>
      </c>
    </row>
    <row r="161" spans="1:7" x14ac:dyDescent="0.2">
      <c r="B161" t="s">
        <v>451</v>
      </c>
      <c r="C161">
        <v>1</v>
      </c>
      <c r="D161" t="s">
        <v>433</v>
      </c>
      <c r="E161">
        <f>$E$34</f>
        <v>0.1</v>
      </c>
      <c r="F161">
        <f>C161*E161</f>
        <v>0.1</v>
      </c>
    </row>
    <row r="162" spans="1:7" x14ac:dyDescent="0.2">
      <c r="B162" t="s">
        <v>437</v>
      </c>
      <c r="C162">
        <v>4</v>
      </c>
      <c r="D162" t="s">
        <v>433</v>
      </c>
      <c r="E162">
        <f>$E$38</f>
        <v>0.01</v>
      </c>
      <c r="F162">
        <f>C162*E162</f>
        <v>0.04</v>
      </c>
    </row>
    <row r="163" spans="1:7" x14ac:dyDescent="0.2">
      <c r="B163" t="s">
        <v>438</v>
      </c>
      <c r="C163">
        <v>2</v>
      </c>
      <c r="D163" t="s">
        <v>433</v>
      </c>
      <c r="E163">
        <f>$E$39</f>
        <v>0.03</v>
      </c>
      <c r="F163">
        <f>C163*E163</f>
        <v>0.06</v>
      </c>
    </row>
    <row r="164" spans="1:7" x14ac:dyDescent="0.2">
      <c r="B164" t="s">
        <v>452</v>
      </c>
      <c r="C164">
        <v>1</v>
      </c>
      <c r="D164" t="s">
        <v>453</v>
      </c>
      <c r="E164">
        <f>$E$41</f>
        <v>0.04</v>
      </c>
      <c r="F164">
        <f>C164*E164</f>
        <v>0.04</v>
      </c>
    </row>
    <row r="165" spans="1:7" x14ac:dyDescent="0.2">
      <c r="B165" t="s">
        <v>417</v>
      </c>
      <c r="F165">
        <f>SUM(F158:F164)</f>
        <v>5.1210198266666671</v>
      </c>
    </row>
    <row r="166" spans="1:7" x14ac:dyDescent="0.2">
      <c r="B166" t="s">
        <v>418</v>
      </c>
      <c r="F166">
        <f>F165*$C$15</f>
        <v>0.25605099133333337</v>
      </c>
    </row>
    <row r="167" spans="1:7" x14ac:dyDescent="0.2">
      <c r="B167" s="150" t="s">
        <v>419</v>
      </c>
      <c r="C167" s="150"/>
      <c r="D167" s="150"/>
      <c r="E167" s="150"/>
      <c r="F167" s="150">
        <f>F165+F166</f>
        <v>5.3770708180000009</v>
      </c>
    </row>
    <row r="168" spans="1:7" x14ac:dyDescent="0.2">
      <c r="B168" t="s">
        <v>454</v>
      </c>
    </row>
    <row r="170" spans="1:7" x14ac:dyDescent="0.2">
      <c r="A170" s="159" t="s">
        <v>192</v>
      </c>
      <c r="B170" s="159" t="s">
        <v>455</v>
      </c>
      <c r="C170" s="159"/>
      <c r="D170" s="159"/>
      <c r="E170" s="159"/>
      <c r="F170" s="159"/>
      <c r="G170" s="159"/>
    </row>
    <row r="171" spans="1:7" x14ac:dyDescent="0.2">
      <c r="B171" s="160" t="s">
        <v>407</v>
      </c>
      <c r="C171" s="160" t="s">
        <v>408</v>
      </c>
      <c r="D171" s="160" t="s">
        <v>339</v>
      </c>
      <c r="E171" s="160" t="s">
        <v>409</v>
      </c>
      <c r="F171" s="160" t="s">
        <v>410</v>
      </c>
      <c r="G171" s="160" t="s">
        <v>411</v>
      </c>
    </row>
    <row r="172" spans="1:7" x14ac:dyDescent="0.2">
      <c r="B172" t="s">
        <v>450</v>
      </c>
      <c r="C172">
        <v>8</v>
      </c>
      <c r="D172" t="s">
        <v>427</v>
      </c>
      <c r="E172">
        <f>$F$87</f>
        <v>0.36183747833333341</v>
      </c>
      <c r="F172">
        <f>C172*E172</f>
        <v>2.8946998266666673</v>
      </c>
    </row>
    <row r="173" spans="1:7" x14ac:dyDescent="0.2">
      <c r="B173" t="s">
        <v>1545</v>
      </c>
      <c r="C173">
        <v>2</v>
      </c>
      <c r="D173" t="s">
        <v>435</v>
      </c>
      <c r="E173">
        <f>$F$292</f>
        <v>0.29315999999999998</v>
      </c>
      <c r="F173">
        <f>C173*E173</f>
        <v>0.58631999999999995</v>
      </c>
    </row>
    <row r="174" spans="1:7" x14ac:dyDescent="0.2">
      <c r="B174" t="s">
        <v>432</v>
      </c>
      <c r="C174">
        <v>2</v>
      </c>
      <c r="D174" t="s">
        <v>433</v>
      </c>
      <c r="E174">
        <f>$E$30</f>
        <v>0.7</v>
      </c>
      <c r="F174">
        <f>C174*E174</f>
        <v>1.4</v>
      </c>
    </row>
    <row r="175" spans="1:7" x14ac:dyDescent="0.2">
      <c r="B175" t="s">
        <v>451</v>
      </c>
      <c r="C175">
        <v>1</v>
      </c>
      <c r="D175" t="s">
        <v>433</v>
      </c>
      <c r="E175">
        <f>$E$34</f>
        <v>0.1</v>
      </c>
      <c r="F175">
        <f>C175*E175</f>
        <v>0.1</v>
      </c>
    </row>
    <row r="176" spans="1:7" x14ac:dyDescent="0.2">
      <c r="B176" t="s">
        <v>437</v>
      </c>
      <c r="C176">
        <v>4</v>
      </c>
      <c r="D176" t="s">
        <v>433</v>
      </c>
      <c r="E176">
        <f>$E$38</f>
        <v>0.01</v>
      </c>
      <c r="F176">
        <f>C176*E176</f>
        <v>0.04</v>
      </c>
    </row>
    <row r="177" spans="1:7" x14ac:dyDescent="0.2">
      <c r="B177" t="s">
        <v>438</v>
      </c>
      <c r="C177">
        <v>2</v>
      </c>
      <c r="D177" t="s">
        <v>433</v>
      </c>
      <c r="E177">
        <f>$E$39</f>
        <v>0.03</v>
      </c>
      <c r="F177">
        <f>C177*E177</f>
        <v>0.06</v>
      </c>
    </row>
    <row r="178" spans="1:7" x14ac:dyDescent="0.2">
      <c r="B178" t="s">
        <v>452</v>
      </c>
      <c r="C178">
        <v>1</v>
      </c>
      <c r="D178" t="s">
        <v>453</v>
      </c>
      <c r="E178">
        <f>$E$41</f>
        <v>0.04</v>
      </c>
      <c r="F178">
        <f>C178*E178</f>
        <v>0.04</v>
      </c>
    </row>
    <row r="179" spans="1:7" x14ac:dyDescent="0.2">
      <c r="B179" t="s">
        <v>441</v>
      </c>
      <c r="C179">
        <v>1</v>
      </c>
      <c r="D179" t="s">
        <v>433</v>
      </c>
      <c r="E179">
        <f>$E$32</f>
        <v>1.2</v>
      </c>
      <c r="F179">
        <f>C179*E179</f>
        <v>1.2</v>
      </c>
    </row>
    <row r="180" spans="1:7" x14ac:dyDescent="0.2">
      <c r="B180" t="s">
        <v>417</v>
      </c>
      <c r="F180">
        <f>SUM(F172:F179)</f>
        <v>6.3210198266666673</v>
      </c>
    </row>
    <row r="181" spans="1:7" x14ac:dyDescent="0.2">
      <c r="B181" t="s">
        <v>418</v>
      </c>
      <c r="F181">
        <f>F180*$C$15</f>
        <v>0.31605099133333336</v>
      </c>
    </row>
    <row r="182" spans="1:7" x14ac:dyDescent="0.2">
      <c r="B182" s="150" t="s">
        <v>419</v>
      </c>
      <c r="C182" s="150"/>
      <c r="D182" s="150"/>
      <c r="E182" s="150"/>
      <c r="F182" s="150">
        <f>F180+F181</f>
        <v>6.6370708180000006</v>
      </c>
    </row>
    <row r="184" spans="1:7" x14ac:dyDescent="0.2">
      <c r="A184" s="159" t="s">
        <v>196</v>
      </c>
      <c r="B184" s="159" t="s">
        <v>456</v>
      </c>
      <c r="C184" s="159"/>
      <c r="D184" s="159"/>
      <c r="E184" s="159"/>
      <c r="F184" s="159"/>
      <c r="G184" s="159"/>
    </row>
    <row r="185" spans="1:7" x14ac:dyDescent="0.2">
      <c r="B185" s="160" t="s">
        <v>407</v>
      </c>
      <c r="C185" s="160" t="s">
        <v>408</v>
      </c>
      <c r="D185" s="160" t="s">
        <v>339</v>
      </c>
      <c r="E185" s="160" t="s">
        <v>409</v>
      </c>
      <c r="F185" s="160" t="s">
        <v>410</v>
      </c>
      <c r="G185" s="160" t="s">
        <v>411</v>
      </c>
    </row>
    <row r="186" spans="1:7" x14ac:dyDescent="0.2">
      <c r="B186" t="s">
        <v>450</v>
      </c>
      <c r="C186">
        <v>4</v>
      </c>
      <c r="D186" t="s">
        <v>427</v>
      </c>
      <c r="E186">
        <f>$F$87</f>
        <v>0.36183747833333341</v>
      </c>
      <c r="F186">
        <f>C186*E186</f>
        <v>1.4473499133333336</v>
      </c>
    </row>
    <row r="187" spans="1:7" x14ac:dyDescent="0.2">
      <c r="B187" t="s">
        <v>1546</v>
      </c>
      <c r="C187">
        <v>1</v>
      </c>
      <c r="D187" t="s">
        <v>435</v>
      </c>
      <c r="E187">
        <f>$F$292</f>
        <v>0.29315999999999998</v>
      </c>
      <c r="F187">
        <f>C187*E187</f>
        <v>0.29315999999999998</v>
      </c>
    </row>
    <row r="188" spans="1:7" x14ac:dyDescent="0.2">
      <c r="B188" t="s">
        <v>432</v>
      </c>
      <c r="C188">
        <v>1</v>
      </c>
      <c r="D188" t="s">
        <v>433</v>
      </c>
      <c r="E188">
        <f>$E$30</f>
        <v>0.7</v>
      </c>
      <c r="F188">
        <f>C188*E188</f>
        <v>0.7</v>
      </c>
    </row>
    <row r="189" spans="1:7" x14ac:dyDescent="0.2">
      <c r="B189" t="s">
        <v>451</v>
      </c>
      <c r="C189">
        <v>1</v>
      </c>
      <c r="D189" t="s">
        <v>433</v>
      </c>
      <c r="E189">
        <f>$E$34</f>
        <v>0.1</v>
      </c>
      <c r="F189">
        <f>C189*E189</f>
        <v>0.1</v>
      </c>
    </row>
    <row r="190" spans="1:7" x14ac:dyDescent="0.2">
      <c r="B190" t="s">
        <v>437</v>
      </c>
      <c r="C190">
        <v>2</v>
      </c>
      <c r="D190" t="s">
        <v>433</v>
      </c>
      <c r="E190">
        <f>$E$38</f>
        <v>0.01</v>
      </c>
      <c r="F190">
        <f>C190*E190</f>
        <v>0.02</v>
      </c>
    </row>
    <row r="191" spans="1:7" x14ac:dyDescent="0.2">
      <c r="B191" t="s">
        <v>438</v>
      </c>
      <c r="C191">
        <v>1</v>
      </c>
      <c r="D191" t="s">
        <v>433</v>
      </c>
      <c r="E191">
        <f>$E$39</f>
        <v>0.03</v>
      </c>
      <c r="F191">
        <f>C191*E191</f>
        <v>0.03</v>
      </c>
    </row>
    <row r="192" spans="1:7" x14ac:dyDescent="0.2">
      <c r="B192" t="s">
        <v>452</v>
      </c>
      <c r="C192">
        <v>1</v>
      </c>
      <c r="D192" t="s">
        <v>453</v>
      </c>
      <c r="E192">
        <f>$E$41</f>
        <v>0.04</v>
      </c>
      <c r="F192">
        <f>C192*E192</f>
        <v>0.04</v>
      </c>
    </row>
    <row r="193" spans="1:7" x14ac:dyDescent="0.2">
      <c r="B193" t="s">
        <v>417</v>
      </c>
      <c r="F193">
        <f>SUM(F186:F192)</f>
        <v>2.6305099133333338</v>
      </c>
    </row>
    <row r="194" spans="1:7" x14ac:dyDescent="0.2">
      <c r="B194" t="s">
        <v>418</v>
      </c>
      <c r="F194">
        <f>F193*$C$15</f>
        <v>0.13152549566666669</v>
      </c>
    </row>
    <row r="195" spans="1:7" x14ac:dyDescent="0.2">
      <c r="B195" s="150" t="s">
        <v>419</v>
      </c>
      <c r="C195" s="150"/>
      <c r="D195" s="150"/>
      <c r="E195" s="150"/>
      <c r="F195" s="150">
        <f>F193+F194</f>
        <v>2.7620354090000006</v>
      </c>
    </row>
    <row r="197" spans="1:7" x14ac:dyDescent="0.2">
      <c r="A197" s="159" t="s">
        <v>200</v>
      </c>
      <c r="B197" s="159" t="s">
        <v>457</v>
      </c>
      <c r="C197" s="159"/>
      <c r="D197" s="159"/>
      <c r="E197" s="159"/>
      <c r="F197" s="159"/>
      <c r="G197" s="159"/>
    </row>
    <row r="198" spans="1:7" x14ac:dyDescent="0.2">
      <c r="B198" s="160" t="s">
        <v>407</v>
      </c>
      <c r="C198" s="160" t="s">
        <v>408</v>
      </c>
      <c r="D198" s="160" t="s">
        <v>339</v>
      </c>
      <c r="E198" s="160" t="s">
        <v>409</v>
      </c>
      <c r="F198" s="160" t="s">
        <v>410</v>
      </c>
      <c r="G198" s="160" t="s">
        <v>411</v>
      </c>
    </row>
    <row r="199" spans="1:7" x14ac:dyDescent="0.2">
      <c r="B199" t="s">
        <v>450</v>
      </c>
      <c r="C199">
        <v>2</v>
      </c>
      <c r="D199" t="s">
        <v>427</v>
      </c>
      <c r="E199">
        <f>$F$87</f>
        <v>0.36183747833333341</v>
      </c>
      <c r="F199">
        <f>C199*E199</f>
        <v>0.72367495666666681</v>
      </c>
    </row>
    <row r="200" spans="1:7" x14ac:dyDescent="0.2">
      <c r="B200" t="s">
        <v>1546</v>
      </c>
      <c r="C200">
        <v>1</v>
      </c>
      <c r="D200" t="s">
        <v>435</v>
      </c>
      <c r="E200">
        <f>$F$292</f>
        <v>0.29315999999999998</v>
      </c>
      <c r="F200">
        <f>C200*E200</f>
        <v>0.29315999999999998</v>
      </c>
    </row>
    <row r="201" spans="1:7" x14ac:dyDescent="0.2">
      <c r="B201" t="s">
        <v>451</v>
      </c>
      <c r="C201">
        <v>1</v>
      </c>
      <c r="D201" t="s">
        <v>433</v>
      </c>
      <c r="E201">
        <f>$E$43</f>
        <v>0.05</v>
      </c>
      <c r="F201">
        <f>C201*E201</f>
        <v>0.05</v>
      </c>
    </row>
    <row r="202" spans="1:7" x14ac:dyDescent="0.2">
      <c r="B202" t="s">
        <v>437</v>
      </c>
      <c r="C202">
        <v>2</v>
      </c>
      <c r="D202" t="s">
        <v>433</v>
      </c>
      <c r="E202">
        <f>$E$38</f>
        <v>0.01</v>
      </c>
      <c r="F202">
        <f>C202*E202</f>
        <v>0.02</v>
      </c>
    </row>
    <row r="203" spans="1:7" x14ac:dyDescent="0.2">
      <c r="B203" t="s">
        <v>438</v>
      </c>
      <c r="C203">
        <v>1</v>
      </c>
      <c r="D203" t="s">
        <v>433</v>
      </c>
      <c r="E203">
        <f>$E$39</f>
        <v>0.03</v>
      </c>
      <c r="F203">
        <f>C203*E203</f>
        <v>0.03</v>
      </c>
    </row>
    <row r="204" spans="1:7" x14ac:dyDescent="0.2">
      <c r="B204" t="s">
        <v>452</v>
      </c>
      <c r="C204">
        <v>1</v>
      </c>
      <c r="D204" t="s">
        <v>453</v>
      </c>
      <c r="E204">
        <f>$E$41</f>
        <v>0.04</v>
      </c>
      <c r="F204">
        <f>C204*E204</f>
        <v>0.04</v>
      </c>
    </row>
    <row r="205" spans="1:7" x14ac:dyDescent="0.2">
      <c r="B205" t="s">
        <v>417</v>
      </c>
      <c r="F205">
        <f>SUM(F199:F204)</f>
        <v>1.1568349566666669</v>
      </c>
    </row>
    <row r="206" spans="1:7" x14ac:dyDescent="0.2">
      <c r="B206" t="s">
        <v>418</v>
      </c>
      <c r="F206">
        <f>F205*$C$15</f>
        <v>5.7841747833333346E-2</v>
      </c>
    </row>
    <row r="207" spans="1:7" x14ac:dyDescent="0.2">
      <c r="B207" s="150" t="s">
        <v>419</v>
      </c>
      <c r="C207" s="150"/>
      <c r="D207" s="150"/>
      <c r="E207" s="150"/>
      <c r="F207" s="150">
        <f>F205+F206</f>
        <v>1.2146767045000002</v>
      </c>
    </row>
    <row r="208" spans="1:7" x14ac:dyDescent="0.2">
      <c r="B208" t="s">
        <v>458</v>
      </c>
    </row>
    <row r="210" spans="1:7" x14ac:dyDescent="0.2">
      <c r="A210" s="159" t="s">
        <v>204</v>
      </c>
      <c r="B210" s="159" t="s">
        <v>459</v>
      </c>
      <c r="C210" s="159"/>
      <c r="D210" s="159"/>
      <c r="E210" s="159"/>
      <c r="F210" s="159"/>
      <c r="G210" s="159"/>
    </row>
    <row r="211" spans="1:7" x14ac:dyDescent="0.2">
      <c r="B211" s="160" t="s">
        <v>407</v>
      </c>
      <c r="C211" s="160" t="s">
        <v>408</v>
      </c>
      <c r="D211" s="160" t="s">
        <v>339</v>
      </c>
      <c r="E211" s="160" t="s">
        <v>409</v>
      </c>
      <c r="F211" s="160" t="s">
        <v>410</v>
      </c>
      <c r="G211" s="160" t="s">
        <v>411</v>
      </c>
    </row>
    <row r="212" spans="1:7" x14ac:dyDescent="0.2">
      <c r="B212" t="s">
        <v>460</v>
      </c>
      <c r="C212">
        <f>$C$14/$C$10</f>
        <v>7.4999999999999997E-2</v>
      </c>
      <c r="D212" t="s">
        <v>416</v>
      </c>
      <c r="E212">
        <f>$F$75</f>
        <v>3.1752000000000002</v>
      </c>
      <c r="F212">
        <f>C212*E212</f>
        <v>0.23814000000000002</v>
      </c>
      <c r="G212" t="s">
        <v>461</v>
      </c>
    </row>
    <row r="213" spans="1:7" x14ac:dyDescent="0.2">
      <c r="B213" t="s">
        <v>462</v>
      </c>
      <c r="C213">
        <v>1</v>
      </c>
      <c r="D213" t="s">
        <v>435</v>
      </c>
      <c r="E213">
        <f>$E$33</f>
        <v>0.05</v>
      </c>
      <c r="F213">
        <f>C213*E213</f>
        <v>0.05</v>
      </c>
    </row>
    <row r="214" spans="1:7" x14ac:dyDescent="0.2">
      <c r="B214" t="s">
        <v>1546</v>
      </c>
      <c r="C214">
        <v>1</v>
      </c>
      <c r="D214" t="s">
        <v>435</v>
      </c>
      <c r="E214">
        <f>$F$292</f>
        <v>0.29315999999999998</v>
      </c>
      <c r="F214">
        <f>C214*E214</f>
        <v>0.29315999999999998</v>
      </c>
    </row>
    <row r="215" spans="1:7" x14ac:dyDescent="0.2">
      <c r="B215" t="s">
        <v>463</v>
      </c>
      <c r="C215">
        <v>1</v>
      </c>
      <c r="D215" t="s">
        <v>427</v>
      </c>
      <c r="E215">
        <f>$E$28</f>
        <v>0.01</v>
      </c>
      <c r="F215">
        <f>C215*E215</f>
        <v>0.01</v>
      </c>
    </row>
    <row r="216" spans="1:7" x14ac:dyDescent="0.2">
      <c r="B216" t="s">
        <v>448</v>
      </c>
      <c r="C216">
        <v>1</v>
      </c>
      <c r="D216" t="s">
        <v>433</v>
      </c>
      <c r="E216">
        <f>$E$43</f>
        <v>0.05</v>
      </c>
      <c r="F216">
        <f>C216*E216</f>
        <v>0.05</v>
      </c>
    </row>
    <row r="217" spans="1:7" x14ac:dyDescent="0.2">
      <c r="B217" t="s">
        <v>437</v>
      </c>
      <c r="C217">
        <v>2</v>
      </c>
      <c r="D217" t="s">
        <v>433</v>
      </c>
      <c r="E217">
        <f>$E$38</f>
        <v>0.01</v>
      </c>
      <c r="F217">
        <f>C217*E217</f>
        <v>0.02</v>
      </c>
    </row>
    <row r="218" spans="1:7" x14ac:dyDescent="0.2">
      <c r="B218" t="s">
        <v>464</v>
      </c>
      <c r="C218">
        <v>1</v>
      </c>
      <c r="D218" t="s">
        <v>453</v>
      </c>
      <c r="E218">
        <f>$E$41</f>
        <v>0.04</v>
      </c>
      <c r="F218">
        <f>C218*E218</f>
        <v>0.04</v>
      </c>
    </row>
    <row r="219" spans="1:7" x14ac:dyDescent="0.2">
      <c r="B219" t="s">
        <v>417</v>
      </c>
      <c r="F219">
        <f>SUM(F212:F218)</f>
        <v>0.70130000000000003</v>
      </c>
    </row>
    <row r="220" spans="1:7" x14ac:dyDescent="0.2">
      <c r="B220" t="s">
        <v>418</v>
      </c>
      <c r="F220">
        <f>F219*$C$15</f>
        <v>3.5065000000000006E-2</v>
      </c>
    </row>
    <row r="221" spans="1:7" x14ac:dyDescent="0.2">
      <c r="B221" s="150" t="s">
        <v>419</v>
      </c>
      <c r="C221" s="150"/>
      <c r="D221" s="150"/>
      <c r="E221" s="150"/>
      <c r="F221" s="150">
        <f>F219+F220</f>
        <v>0.73636500000000005</v>
      </c>
    </row>
    <row r="222" spans="1:7" x14ac:dyDescent="0.2">
      <c r="B222" t="s">
        <v>465</v>
      </c>
    </row>
    <row r="224" spans="1:7" x14ac:dyDescent="0.2">
      <c r="A224" s="159" t="s">
        <v>209</v>
      </c>
      <c r="B224" s="159" t="s">
        <v>466</v>
      </c>
      <c r="C224" s="159"/>
      <c r="D224" s="159"/>
      <c r="E224" s="159"/>
      <c r="F224" s="159"/>
      <c r="G224" s="159"/>
    </row>
    <row r="225" spans="1:7" x14ac:dyDescent="0.2">
      <c r="B225" s="160" t="s">
        <v>407</v>
      </c>
      <c r="C225" s="160" t="s">
        <v>408</v>
      </c>
      <c r="D225" s="160" t="s">
        <v>339</v>
      </c>
      <c r="E225" s="160" t="s">
        <v>409</v>
      </c>
      <c r="F225" s="160" t="s">
        <v>410</v>
      </c>
      <c r="G225" s="160" t="s">
        <v>411</v>
      </c>
    </row>
    <row r="226" spans="1:7" x14ac:dyDescent="0.2">
      <c r="B226" t="s">
        <v>467</v>
      </c>
      <c r="C226">
        <f>$C$12</f>
        <v>0.55000000000000004</v>
      </c>
      <c r="D226" t="s">
        <v>413</v>
      </c>
      <c r="E226">
        <f>$E$19</f>
        <v>1.25</v>
      </c>
      <c r="F226">
        <f>C226*E226</f>
        <v>0.6875</v>
      </c>
    </row>
    <row r="227" spans="1:7" x14ac:dyDescent="0.2">
      <c r="B227" t="s">
        <v>414</v>
      </c>
      <c r="C227">
        <f>$C$12</f>
        <v>0.55000000000000004</v>
      </c>
      <c r="D227" t="s">
        <v>413</v>
      </c>
      <c r="E227">
        <f>$E$20</f>
        <v>0.222</v>
      </c>
      <c r="F227">
        <f>C227*E227</f>
        <v>0.12210000000000001</v>
      </c>
    </row>
    <row r="228" spans="1:7" x14ac:dyDescent="0.2">
      <c r="B228" t="s">
        <v>468</v>
      </c>
      <c r="C228">
        <v>1</v>
      </c>
      <c r="D228" t="s">
        <v>433</v>
      </c>
      <c r="E228">
        <f>$E$36</f>
        <v>0.15</v>
      </c>
      <c r="F228">
        <f>C228*E228</f>
        <v>0.15</v>
      </c>
    </row>
    <row r="229" spans="1:7" x14ac:dyDescent="0.2">
      <c r="B229" t="s">
        <v>469</v>
      </c>
      <c r="C229">
        <v>1</v>
      </c>
      <c r="D229" t="s">
        <v>433</v>
      </c>
      <c r="E229">
        <f>$E$37</f>
        <v>0.03</v>
      </c>
      <c r="F229">
        <f>C229*E229</f>
        <v>0.03</v>
      </c>
    </row>
    <row r="230" spans="1:7" x14ac:dyDescent="0.2">
      <c r="B230" t="s">
        <v>417</v>
      </c>
      <c r="F230">
        <f>SUM(F226:F229)</f>
        <v>0.98960000000000004</v>
      </c>
    </row>
    <row r="231" spans="1:7" x14ac:dyDescent="0.2">
      <c r="B231" t="s">
        <v>418</v>
      </c>
      <c r="F231">
        <f>F230*$C$15</f>
        <v>4.9480000000000003E-2</v>
      </c>
    </row>
    <row r="232" spans="1:7" x14ac:dyDescent="0.2">
      <c r="B232" s="150" t="s">
        <v>419</v>
      </c>
      <c r="C232" s="150"/>
      <c r="D232" s="150"/>
      <c r="E232" s="150"/>
      <c r="F232" s="150">
        <f>F230+F231</f>
        <v>1.03908</v>
      </c>
    </row>
    <row r="233" spans="1:7" x14ac:dyDescent="0.2">
      <c r="B233" t="s">
        <v>470</v>
      </c>
    </row>
    <row r="235" spans="1:7" x14ac:dyDescent="0.2">
      <c r="A235" s="159" t="s">
        <v>214</v>
      </c>
      <c r="B235" s="159" t="s">
        <v>471</v>
      </c>
      <c r="C235" s="159"/>
      <c r="D235" s="159"/>
      <c r="E235" s="159"/>
      <c r="F235" s="159"/>
      <c r="G235" s="159"/>
    </row>
    <row r="236" spans="1:7" x14ac:dyDescent="0.2">
      <c r="B236" s="160" t="s">
        <v>407</v>
      </c>
      <c r="C236" s="160" t="s">
        <v>408</v>
      </c>
      <c r="D236" s="160" t="s">
        <v>339</v>
      </c>
      <c r="E236" s="160" t="s">
        <v>409</v>
      </c>
      <c r="F236" s="160" t="s">
        <v>410</v>
      </c>
      <c r="G236" s="160" t="s">
        <v>411</v>
      </c>
    </row>
    <row r="237" spans="1:7" x14ac:dyDescent="0.2">
      <c r="B237" t="s">
        <v>472</v>
      </c>
      <c r="C237">
        <v>1</v>
      </c>
      <c r="D237" t="s">
        <v>416</v>
      </c>
      <c r="E237">
        <f>$F$75</f>
        <v>3.1752000000000002</v>
      </c>
      <c r="F237">
        <f>C237*E237</f>
        <v>3.1752000000000002</v>
      </c>
    </row>
    <row r="238" spans="1:7" x14ac:dyDescent="0.2">
      <c r="B238" t="s">
        <v>473</v>
      </c>
      <c r="C238">
        <v>8</v>
      </c>
      <c r="D238" t="s">
        <v>427</v>
      </c>
      <c r="E238">
        <f>$F$87</f>
        <v>0.36183747833333341</v>
      </c>
      <c r="F238">
        <f>C238*E238</f>
        <v>2.8946998266666673</v>
      </c>
    </row>
    <row r="239" spans="1:7" x14ac:dyDescent="0.2">
      <c r="B239" t="s">
        <v>1545</v>
      </c>
      <c r="C239">
        <v>2</v>
      </c>
      <c r="D239" t="s">
        <v>435</v>
      </c>
      <c r="E239">
        <f>$F$292</f>
        <v>0.29315999999999998</v>
      </c>
      <c r="F239">
        <f>C239*E239</f>
        <v>0.58631999999999995</v>
      </c>
    </row>
    <row r="240" spans="1:7" x14ac:dyDescent="0.2">
      <c r="B240" t="s">
        <v>432</v>
      </c>
      <c r="C240">
        <v>2</v>
      </c>
      <c r="D240" t="s">
        <v>433</v>
      </c>
      <c r="E240">
        <f>$E$30</f>
        <v>0.7</v>
      </c>
      <c r="F240">
        <f>C240*E240</f>
        <v>1.4</v>
      </c>
    </row>
    <row r="241" spans="1:7" x14ac:dyDescent="0.2">
      <c r="B241" t="s">
        <v>434</v>
      </c>
      <c r="C241">
        <v>2</v>
      </c>
      <c r="D241" t="s">
        <v>435</v>
      </c>
      <c r="E241">
        <f>$E$42</f>
        <v>0.124</v>
      </c>
      <c r="F241">
        <f>C241*E241</f>
        <v>0.248</v>
      </c>
    </row>
    <row r="242" spans="1:7" x14ac:dyDescent="0.2">
      <c r="B242" t="s">
        <v>441</v>
      </c>
      <c r="C242">
        <v>1</v>
      </c>
      <c r="D242" t="s">
        <v>433</v>
      </c>
      <c r="E242">
        <f>$E$32</f>
        <v>1.2</v>
      </c>
      <c r="F242">
        <f>C242*E242</f>
        <v>1.2</v>
      </c>
    </row>
    <row r="243" spans="1:7" x14ac:dyDescent="0.2">
      <c r="B243" t="s">
        <v>370</v>
      </c>
      <c r="C243">
        <v>1</v>
      </c>
      <c r="D243" t="s">
        <v>433</v>
      </c>
      <c r="E243">
        <f>$E$35</f>
        <v>0.25</v>
      </c>
      <c r="F243">
        <f>C243*E243</f>
        <v>0.25</v>
      </c>
    </row>
    <row r="244" spans="1:7" x14ac:dyDescent="0.2">
      <c r="B244" t="s">
        <v>437</v>
      </c>
      <c r="C244">
        <v>8</v>
      </c>
      <c r="D244" t="s">
        <v>433</v>
      </c>
      <c r="E244">
        <f>$E$38</f>
        <v>0.01</v>
      </c>
      <c r="F244">
        <f>C244*E244</f>
        <v>0.08</v>
      </c>
    </row>
    <row r="245" spans="1:7" x14ac:dyDescent="0.2">
      <c r="B245" t="s">
        <v>438</v>
      </c>
      <c r="C245">
        <v>4</v>
      </c>
      <c r="D245" t="s">
        <v>433</v>
      </c>
      <c r="E245">
        <f>$E$39</f>
        <v>0.03</v>
      </c>
      <c r="F245">
        <f>C245*E245</f>
        <v>0.12</v>
      </c>
    </row>
    <row r="246" spans="1:7" x14ac:dyDescent="0.2">
      <c r="B246" t="s">
        <v>464</v>
      </c>
      <c r="C246">
        <v>1</v>
      </c>
      <c r="D246" t="s">
        <v>453</v>
      </c>
      <c r="E246">
        <f>$E$41</f>
        <v>0.04</v>
      </c>
      <c r="F246">
        <f>C246*E246</f>
        <v>0.04</v>
      </c>
    </row>
    <row r="247" spans="1:7" x14ac:dyDescent="0.2">
      <c r="B247" t="s">
        <v>417</v>
      </c>
      <c r="F247">
        <f>SUM(F237:F246)</f>
        <v>9.9942198266666633</v>
      </c>
    </row>
    <row r="248" spans="1:7" x14ac:dyDescent="0.2">
      <c r="B248" t="s">
        <v>418</v>
      </c>
      <c r="F248">
        <f>F247*$C$15</f>
        <v>0.49971099133333319</v>
      </c>
    </row>
    <row r="249" spans="1:7" x14ac:dyDescent="0.2">
      <c r="B249" s="150" t="s">
        <v>419</v>
      </c>
      <c r="C249" s="150"/>
      <c r="D249" s="150"/>
      <c r="E249" s="150"/>
      <c r="F249" s="150">
        <f>F247+F248</f>
        <v>10.493930817999997</v>
      </c>
    </row>
    <row r="250" spans="1:7" x14ac:dyDescent="0.2">
      <c r="B250" t="s">
        <v>474</v>
      </c>
    </row>
    <row r="252" spans="1:7" x14ac:dyDescent="0.2">
      <c r="A252" s="159" t="s">
        <v>219</v>
      </c>
      <c r="B252" s="159" t="s">
        <v>475</v>
      </c>
      <c r="C252" s="159"/>
      <c r="D252" s="159"/>
      <c r="E252" s="159"/>
      <c r="F252" s="159"/>
      <c r="G252" s="159"/>
    </row>
    <row r="253" spans="1:7" x14ac:dyDescent="0.2">
      <c r="B253" s="160" t="s">
        <v>407</v>
      </c>
      <c r="C253" s="160" t="s">
        <v>408</v>
      </c>
      <c r="D253" s="160" t="s">
        <v>339</v>
      </c>
      <c r="E253" s="160" t="s">
        <v>409</v>
      </c>
      <c r="F253" s="160" t="s">
        <v>410</v>
      </c>
      <c r="G253" s="160" t="s">
        <v>411</v>
      </c>
    </row>
    <row r="254" spans="1:7" x14ac:dyDescent="0.2">
      <c r="B254" t="s">
        <v>476</v>
      </c>
      <c r="C254">
        <f>0.25/(1-$C$13)</f>
        <v>0.33333333333333331</v>
      </c>
      <c r="D254" t="s">
        <v>413</v>
      </c>
      <c r="E254">
        <f>$E$31</f>
        <v>5.95</v>
      </c>
      <c r="F254">
        <f>C254*E254</f>
        <v>1.9833333333333334</v>
      </c>
    </row>
    <row r="255" spans="1:7" x14ac:dyDescent="0.2">
      <c r="B255" t="s">
        <v>1546</v>
      </c>
      <c r="C255">
        <v>1</v>
      </c>
      <c r="D255" t="s">
        <v>435</v>
      </c>
      <c r="E255">
        <f>$F$292</f>
        <v>0.29315999999999998</v>
      </c>
      <c r="F255">
        <f>C255*E255</f>
        <v>0.29315999999999998</v>
      </c>
    </row>
    <row r="256" spans="1:7" x14ac:dyDescent="0.2">
      <c r="B256" t="s">
        <v>436</v>
      </c>
      <c r="C256">
        <v>1</v>
      </c>
      <c r="D256" t="s">
        <v>433</v>
      </c>
      <c r="E256">
        <f>$E$34</f>
        <v>0.1</v>
      </c>
      <c r="F256">
        <f>C256*E256</f>
        <v>0.1</v>
      </c>
    </row>
    <row r="257" spans="1:7" x14ac:dyDescent="0.2">
      <c r="B257" t="s">
        <v>437</v>
      </c>
      <c r="C257">
        <v>2</v>
      </c>
      <c r="D257" t="s">
        <v>433</v>
      </c>
      <c r="E257">
        <f>$E$38</f>
        <v>0.01</v>
      </c>
      <c r="F257">
        <f>C257*E257</f>
        <v>0.02</v>
      </c>
    </row>
    <row r="258" spans="1:7" x14ac:dyDescent="0.2">
      <c r="B258" t="s">
        <v>444</v>
      </c>
      <c r="C258">
        <v>1</v>
      </c>
      <c r="D258" t="s">
        <v>433</v>
      </c>
      <c r="E258">
        <f>$E$39</f>
        <v>0.03</v>
      </c>
      <c r="F258">
        <f>C258*E258</f>
        <v>0.03</v>
      </c>
    </row>
    <row r="259" spans="1:7" x14ac:dyDescent="0.2">
      <c r="B259" t="s">
        <v>477</v>
      </c>
      <c r="C259">
        <v>0.5</v>
      </c>
      <c r="D259" t="s">
        <v>478</v>
      </c>
      <c r="E259">
        <f>$E$40</f>
        <v>0.08</v>
      </c>
      <c r="F259">
        <f>C259*E259</f>
        <v>0.04</v>
      </c>
    </row>
    <row r="260" spans="1:7" x14ac:dyDescent="0.2">
      <c r="B260" t="s">
        <v>417</v>
      </c>
      <c r="F260">
        <f>SUM(F254:F259)</f>
        <v>2.4664933333333332</v>
      </c>
    </row>
    <row r="261" spans="1:7" x14ac:dyDescent="0.2">
      <c r="B261" t="s">
        <v>418</v>
      </c>
      <c r="F261">
        <f>F260*$C$15</f>
        <v>0.12332466666666667</v>
      </c>
    </row>
    <row r="262" spans="1:7" x14ac:dyDescent="0.2">
      <c r="B262" s="150" t="s">
        <v>419</v>
      </c>
      <c r="C262" s="150"/>
      <c r="D262" s="150"/>
      <c r="E262" s="150"/>
      <c r="F262" s="150">
        <f>F260+F261</f>
        <v>2.5898179999999997</v>
      </c>
    </row>
    <row r="263" spans="1:7" x14ac:dyDescent="0.2">
      <c r="B263" t="s">
        <v>479</v>
      </c>
    </row>
    <row r="265" spans="1:7" x14ac:dyDescent="0.2">
      <c r="A265" s="159" t="s">
        <v>224</v>
      </c>
      <c r="B265" s="159" t="s">
        <v>480</v>
      </c>
      <c r="C265" s="159"/>
      <c r="D265" s="159"/>
      <c r="E265" s="159"/>
      <c r="F265" s="159"/>
      <c r="G265" s="159"/>
    </row>
    <row r="266" spans="1:7" x14ac:dyDescent="0.2">
      <c r="B266" s="160" t="s">
        <v>407</v>
      </c>
      <c r="C266" s="160" t="s">
        <v>408</v>
      </c>
      <c r="D266" s="160" t="s">
        <v>339</v>
      </c>
      <c r="E266" s="160" t="s">
        <v>409</v>
      </c>
      <c r="F266" s="160" t="s">
        <v>410</v>
      </c>
      <c r="G266" s="160" t="s">
        <v>411</v>
      </c>
    </row>
    <row r="267" spans="1:7" x14ac:dyDescent="0.2">
      <c r="B267" t="s">
        <v>481</v>
      </c>
      <c r="C267">
        <f>0.5/(1-$C$13)</f>
        <v>0.66666666666666663</v>
      </c>
      <c r="D267" t="s">
        <v>413</v>
      </c>
      <c r="E267">
        <f>$E$31</f>
        <v>5.95</v>
      </c>
      <c r="F267">
        <f>C267*E267</f>
        <v>3.9666666666666668</v>
      </c>
    </row>
    <row r="268" spans="1:7" x14ac:dyDescent="0.2">
      <c r="B268" t="s">
        <v>1545</v>
      </c>
      <c r="C268">
        <v>2</v>
      </c>
      <c r="D268" t="s">
        <v>435</v>
      </c>
      <c r="E268">
        <f>$F$292</f>
        <v>0.29315999999999998</v>
      </c>
      <c r="F268">
        <f>C268*E268</f>
        <v>0.58631999999999995</v>
      </c>
    </row>
    <row r="269" spans="1:7" x14ac:dyDescent="0.2">
      <c r="B269" t="s">
        <v>436</v>
      </c>
      <c r="C269">
        <v>1</v>
      </c>
      <c r="D269" t="s">
        <v>433</v>
      </c>
      <c r="E269">
        <f>$E$34</f>
        <v>0.1</v>
      </c>
      <c r="F269">
        <f>C269*E269</f>
        <v>0.1</v>
      </c>
    </row>
    <row r="270" spans="1:7" x14ac:dyDescent="0.2">
      <c r="B270" t="s">
        <v>437</v>
      </c>
      <c r="C270">
        <v>2</v>
      </c>
      <c r="D270" t="s">
        <v>433</v>
      </c>
      <c r="E270">
        <f>$E$38</f>
        <v>0.01</v>
      </c>
      <c r="F270">
        <f>C270*E270</f>
        <v>0.02</v>
      </c>
    </row>
    <row r="271" spans="1:7" x14ac:dyDescent="0.2">
      <c r="B271" t="s">
        <v>444</v>
      </c>
      <c r="C271">
        <v>1</v>
      </c>
      <c r="D271" t="s">
        <v>433</v>
      </c>
      <c r="E271">
        <f>$E$39</f>
        <v>0.03</v>
      </c>
      <c r="F271">
        <f>C271*E271</f>
        <v>0.03</v>
      </c>
    </row>
    <row r="272" spans="1:7" x14ac:dyDescent="0.2">
      <c r="B272" t="s">
        <v>477</v>
      </c>
      <c r="C272">
        <v>1</v>
      </c>
      <c r="D272" t="s">
        <v>478</v>
      </c>
      <c r="E272">
        <f>$E$40</f>
        <v>0.08</v>
      </c>
      <c r="F272">
        <f>C272*E272</f>
        <v>0.08</v>
      </c>
    </row>
    <row r="273" spans="1:7" x14ac:dyDescent="0.2">
      <c r="B273" t="s">
        <v>417</v>
      </c>
      <c r="F273">
        <f>SUM(F267:F272)</f>
        <v>4.7829866666666661</v>
      </c>
    </row>
    <row r="274" spans="1:7" x14ac:dyDescent="0.2">
      <c r="B274" t="s">
        <v>418</v>
      </c>
      <c r="F274">
        <f>F273*$C$15</f>
        <v>0.23914933333333332</v>
      </c>
    </row>
    <row r="275" spans="1:7" x14ac:dyDescent="0.2">
      <c r="B275" s="150" t="s">
        <v>419</v>
      </c>
      <c r="C275" s="150"/>
      <c r="D275" s="150"/>
      <c r="E275" s="150"/>
      <c r="F275" s="150">
        <f>F273+F274</f>
        <v>5.0221359999999997</v>
      </c>
    </row>
    <row r="277" spans="1:7" x14ac:dyDescent="0.2">
      <c r="A277" s="159" t="s">
        <v>228</v>
      </c>
      <c r="B277" s="159" t="s">
        <v>482</v>
      </c>
      <c r="C277" s="159"/>
      <c r="D277" s="159"/>
      <c r="E277" s="159"/>
      <c r="F277" s="159"/>
      <c r="G277" s="159"/>
    </row>
    <row r="278" spans="1:7" x14ac:dyDescent="0.2">
      <c r="B278" s="160" t="s">
        <v>407</v>
      </c>
      <c r="C278" s="160" t="s">
        <v>408</v>
      </c>
      <c r="D278" s="160" t="s">
        <v>339</v>
      </c>
      <c r="E278" s="160" t="s">
        <v>409</v>
      </c>
      <c r="F278" s="160" t="s">
        <v>410</v>
      </c>
      <c r="G278" s="160" t="s">
        <v>411</v>
      </c>
    </row>
    <row r="279" spans="1:7" x14ac:dyDescent="0.2">
      <c r="B279" t="s">
        <v>441</v>
      </c>
      <c r="C279">
        <v>1</v>
      </c>
      <c r="D279" t="s">
        <v>433</v>
      </c>
      <c r="E279">
        <f>$E$32</f>
        <v>1.2</v>
      </c>
      <c r="F279">
        <f>C279*E279</f>
        <v>1.2</v>
      </c>
    </row>
    <row r="280" spans="1:7" x14ac:dyDescent="0.2">
      <c r="B280" t="s">
        <v>417</v>
      </c>
      <c r="F280">
        <f>SUM(F279:F279)</f>
        <v>1.2</v>
      </c>
    </row>
    <row r="281" spans="1:7" x14ac:dyDescent="0.2">
      <c r="B281" t="s">
        <v>418</v>
      </c>
      <c r="F281">
        <f>F280*$C$15</f>
        <v>0.06</v>
      </c>
    </row>
    <row r="282" spans="1:7" x14ac:dyDescent="0.2">
      <c r="B282" s="150" t="s">
        <v>419</v>
      </c>
      <c r="C282" s="150"/>
      <c r="D282" s="150"/>
      <c r="E282" s="150"/>
      <c r="F282" s="150">
        <f>F280+F281</f>
        <v>1.26</v>
      </c>
    </row>
    <row r="284" spans="1:7" x14ac:dyDescent="0.2">
      <c r="A284" s="159" t="s">
        <v>233</v>
      </c>
      <c r="B284" s="159" t="s">
        <v>483</v>
      </c>
      <c r="C284" s="159"/>
      <c r="D284" s="159"/>
      <c r="E284" s="159"/>
      <c r="F284" s="159"/>
      <c r="G284" s="159"/>
    </row>
    <row r="285" spans="1:7" x14ac:dyDescent="0.2">
      <c r="B285" s="160" t="s">
        <v>407</v>
      </c>
      <c r="C285" s="160" t="s">
        <v>408</v>
      </c>
      <c r="D285" s="160" t="s">
        <v>339</v>
      </c>
      <c r="E285" s="160" t="s">
        <v>409</v>
      </c>
      <c r="F285" s="160" t="s">
        <v>410</v>
      </c>
      <c r="G285" s="160" t="s">
        <v>411</v>
      </c>
    </row>
    <row r="286" spans="1:7" x14ac:dyDescent="0.2">
      <c r="B286" t="s">
        <v>1547</v>
      </c>
      <c r="C286">
        <f>$C$11</f>
        <v>80</v>
      </c>
      <c r="D286" t="s">
        <v>1166</v>
      </c>
      <c r="E286">
        <f>$E$29</f>
        <v>2.5999999999999999E-3</v>
      </c>
      <c r="F286">
        <f>C286*E286</f>
        <v>0.20799999999999999</v>
      </c>
    </row>
    <row r="287" spans="1:7" x14ac:dyDescent="0.2">
      <c r="B287" t="s">
        <v>448</v>
      </c>
      <c r="C287">
        <v>1</v>
      </c>
      <c r="D287" t="s">
        <v>433</v>
      </c>
      <c r="E287">
        <f>$E$43</f>
        <v>0.05</v>
      </c>
      <c r="F287">
        <f>C287*E287</f>
        <v>0.05</v>
      </c>
    </row>
    <row r="288" spans="1:7" x14ac:dyDescent="0.2">
      <c r="B288" t="s">
        <v>1540</v>
      </c>
      <c r="C288">
        <v>0.12</v>
      </c>
      <c r="D288" t="s">
        <v>1166</v>
      </c>
      <c r="E288" s="162">
        <f>+E28</f>
        <v>0.01</v>
      </c>
      <c r="F288">
        <f>+C288*E288</f>
        <v>1.1999999999999999E-3</v>
      </c>
    </row>
    <row r="289" spans="1:7" x14ac:dyDescent="0.2">
      <c r="B289" t="s">
        <v>484</v>
      </c>
      <c r="C289">
        <v>0.5</v>
      </c>
      <c r="D289" t="s">
        <v>453</v>
      </c>
      <c r="E289">
        <f>$E$41</f>
        <v>0.04</v>
      </c>
      <c r="F289">
        <f>C289*E289</f>
        <v>0.02</v>
      </c>
    </row>
    <row r="290" spans="1:7" x14ac:dyDescent="0.2">
      <c r="B290" t="s">
        <v>417</v>
      </c>
      <c r="F290">
        <f>SUM(F286:F289)</f>
        <v>0.2792</v>
      </c>
    </row>
    <row r="291" spans="1:7" x14ac:dyDescent="0.2">
      <c r="B291" t="s">
        <v>418</v>
      </c>
      <c r="F291">
        <f>F290*$C$15</f>
        <v>1.396E-2</v>
      </c>
    </row>
    <row r="292" spans="1:7" x14ac:dyDescent="0.2">
      <c r="B292" s="150" t="s">
        <v>419</v>
      </c>
      <c r="C292" s="150"/>
      <c r="D292" s="150"/>
      <c r="E292" s="150"/>
      <c r="F292" s="150">
        <f>F290+F291</f>
        <v>0.29315999999999998</v>
      </c>
    </row>
    <row r="294" spans="1:7" x14ac:dyDescent="0.2">
      <c r="A294" s="159" t="s">
        <v>237</v>
      </c>
      <c r="B294" s="159" t="s">
        <v>485</v>
      </c>
      <c r="C294" s="159"/>
      <c r="D294" s="159"/>
      <c r="E294" s="159"/>
      <c r="F294" s="159"/>
      <c r="G294" s="159"/>
    </row>
    <row r="295" spans="1:7" x14ac:dyDescent="0.2">
      <c r="B295" s="160" t="s">
        <v>407</v>
      </c>
      <c r="C295" s="160" t="s">
        <v>408</v>
      </c>
      <c r="D295" s="160" t="s">
        <v>339</v>
      </c>
      <c r="E295" s="160" t="s">
        <v>409</v>
      </c>
      <c r="F295" s="160" t="s">
        <v>410</v>
      </c>
      <c r="G295" s="160" t="s">
        <v>411</v>
      </c>
    </row>
    <row r="296" spans="1:7" x14ac:dyDescent="0.2">
      <c r="B296" t="s">
        <v>432</v>
      </c>
      <c r="C296">
        <v>4</v>
      </c>
      <c r="D296" t="s">
        <v>433</v>
      </c>
      <c r="E296">
        <f>$E$30</f>
        <v>0.7</v>
      </c>
      <c r="F296">
        <f>C296*E296</f>
        <v>2.8</v>
      </c>
    </row>
    <row r="297" spans="1:7" x14ac:dyDescent="0.2">
      <c r="B297" t="s">
        <v>448</v>
      </c>
      <c r="C297">
        <v>1</v>
      </c>
      <c r="D297" t="s">
        <v>433</v>
      </c>
      <c r="E297">
        <f>$E$43</f>
        <v>0.05</v>
      </c>
      <c r="F297">
        <f>C297*E297</f>
        <v>0.05</v>
      </c>
    </row>
    <row r="298" spans="1:7" x14ac:dyDescent="0.2">
      <c r="B298" t="s">
        <v>417</v>
      </c>
      <c r="F298">
        <f>SUM(F296:F297)</f>
        <v>2.8499999999999996</v>
      </c>
    </row>
    <row r="299" spans="1:7" x14ac:dyDescent="0.2">
      <c r="B299" t="s">
        <v>418</v>
      </c>
      <c r="F299">
        <f>F298*$C$15</f>
        <v>0.14249999999999999</v>
      </c>
    </row>
    <row r="300" spans="1:7" x14ac:dyDescent="0.2">
      <c r="B300" s="150" t="s">
        <v>419</v>
      </c>
      <c r="C300" s="150"/>
      <c r="D300" s="150"/>
      <c r="E300" s="150"/>
      <c r="F300" s="150">
        <f>F298+F299</f>
        <v>2.9924999999999997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56522-C124-5347-B86A-48F1C0F1B687}">
  <dimension ref="A1:F243"/>
  <sheetViews>
    <sheetView workbookViewId="0">
      <pane ySplit="2" topLeftCell="A4" activePane="bottomLeft" state="frozen"/>
      <selection pane="bottomLeft" activeCell="E130" sqref="E130"/>
    </sheetView>
  </sheetViews>
  <sheetFormatPr baseColWidth="10" defaultRowHeight="15" x14ac:dyDescent="0.2"/>
  <cols>
    <col min="2" max="2" width="53.33203125" customWidth="1"/>
    <col min="3" max="3" width="15" customWidth="1"/>
    <col min="4" max="5" width="13.33203125" customWidth="1"/>
    <col min="6" max="6" width="50" customWidth="1"/>
  </cols>
  <sheetData>
    <row r="1" spans="1:6" x14ac:dyDescent="0.2">
      <c r="A1" s="154" t="s">
        <v>1502</v>
      </c>
    </row>
    <row r="2" spans="1:6" x14ac:dyDescent="0.2">
      <c r="B2" s="152" t="s">
        <v>1317</v>
      </c>
      <c r="C2" s="152" t="s">
        <v>1318</v>
      </c>
      <c r="D2" s="152" t="s">
        <v>1319</v>
      </c>
      <c r="E2" s="152" t="s">
        <v>1320</v>
      </c>
      <c r="F2" s="152" t="s">
        <v>1321</v>
      </c>
    </row>
    <row r="3" spans="1:6" x14ac:dyDescent="0.2">
      <c r="B3" t="s">
        <v>184</v>
      </c>
      <c r="D3" s="153">
        <v>2.2943418749999989</v>
      </c>
    </row>
    <row r="4" spans="1:6" x14ac:dyDescent="0.2">
      <c r="B4" t="s">
        <v>201</v>
      </c>
      <c r="D4" s="153">
        <v>2.3594024999999998</v>
      </c>
    </row>
    <row r="5" spans="1:6" x14ac:dyDescent="0.2">
      <c r="B5" t="s">
        <v>197</v>
      </c>
      <c r="D5" s="153">
        <v>4.6726049999999999</v>
      </c>
    </row>
    <row r="6" spans="1:6" x14ac:dyDescent="0.2">
      <c r="B6" t="s">
        <v>189</v>
      </c>
      <c r="D6" s="153">
        <v>9.1982099999999996</v>
      </c>
    </row>
    <row r="7" spans="1:6" x14ac:dyDescent="0.2">
      <c r="B7" t="s">
        <v>193</v>
      </c>
      <c r="D7" s="153">
        <v>10.038209999999999</v>
      </c>
    </row>
    <row r="8" spans="1:6" x14ac:dyDescent="0.2">
      <c r="B8" t="s">
        <v>426</v>
      </c>
      <c r="C8" t="s">
        <v>1322</v>
      </c>
      <c r="D8" s="153">
        <v>2.2000000000000002</v>
      </c>
      <c r="E8">
        <f>SUM(D8/1000)</f>
        <v>2.2000000000000001E-3</v>
      </c>
      <c r="F8" t="s">
        <v>1323</v>
      </c>
    </row>
    <row r="9" spans="1:6" x14ac:dyDescent="0.2">
      <c r="B9" t="s">
        <v>352</v>
      </c>
      <c r="D9" s="153"/>
      <c r="E9">
        <f>SUM(D9/1000)</f>
        <v>0</v>
      </c>
    </row>
    <row r="10" spans="1:6" x14ac:dyDescent="0.2">
      <c r="B10" t="s">
        <v>1324</v>
      </c>
      <c r="C10" t="s">
        <v>427</v>
      </c>
      <c r="D10" s="153">
        <v>0.01</v>
      </c>
      <c r="E10">
        <v>0.01</v>
      </c>
    </row>
    <row r="11" spans="1:6" x14ac:dyDescent="0.2">
      <c r="B11" t="s">
        <v>1325</v>
      </c>
      <c r="C11" t="s">
        <v>1322</v>
      </c>
      <c r="D11" s="153">
        <v>2.8</v>
      </c>
      <c r="E11">
        <v>2.8E-3</v>
      </c>
      <c r="F11" t="s">
        <v>1326</v>
      </c>
    </row>
    <row r="12" spans="1:6" x14ac:dyDescent="0.2">
      <c r="B12" t="s">
        <v>1327</v>
      </c>
      <c r="C12" t="s">
        <v>1328</v>
      </c>
      <c r="D12" s="153">
        <f>SUM(E8*7)</f>
        <v>1.54E-2</v>
      </c>
      <c r="E12">
        <v>1.54E-2</v>
      </c>
      <c r="F12" t="s">
        <v>1329</v>
      </c>
    </row>
    <row r="13" spans="1:6" x14ac:dyDescent="0.2">
      <c r="B13" t="s">
        <v>1330</v>
      </c>
      <c r="C13" t="s">
        <v>427</v>
      </c>
      <c r="D13" s="153">
        <f>SUM(E8*7)</f>
        <v>1.54E-2</v>
      </c>
      <c r="E13">
        <v>1.54E-2</v>
      </c>
      <c r="F13" t="s">
        <v>1329</v>
      </c>
    </row>
    <row r="14" spans="1:6" x14ac:dyDescent="0.2">
      <c r="B14" t="s">
        <v>1331</v>
      </c>
      <c r="C14" t="s">
        <v>1332</v>
      </c>
      <c r="D14" s="153">
        <v>7.2</v>
      </c>
      <c r="E14">
        <v>7.1999999999999998E-3</v>
      </c>
    </row>
    <row r="15" spans="1:6" x14ac:dyDescent="0.2">
      <c r="B15" t="s">
        <v>1333</v>
      </c>
      <c r="C15" t="s">
        <v>1332</v>
      </c>
      <c r="D15" s="153">
        <v>8.5</v>
      </c>
      <c r="E15">
        <v>8.5000000000000006E-3</v>
      </c>
      <c r="F15" t="s">
        <v>1334</v>
      </c>
    </row>
    <row r="16" spans="1:6" x14ac:dyDescent="0.2">
      <c r="B16" t="s">
        <v>1335</v>
      </c>
      <c r="C16" t="s">
        <v>1332</v>
      </c>
      <c r="D16" s="153">
        <v>9.5</v>
      </c>
      <c r="E16">
        <v>9.4999999999999998E-3</v>
      </c>
    </row>
    <row r="17" spans="2:6" x14ac:dyDescent="0.2">
      <c r="B17" t="s">
        <v>1336</v>
      </c>
      <c r="C17" t="s">
        <v>1322</v>
      </c>
      <c r="D17" s="153">
        <v>1E-3</v>
      </c>
      <c r="E17">
        <v>9.9999999999999995E-7</v>
      </c>
    </row>
    <row r="18" spans="2:6" x14ac:dyDescent="0.2">
      <c r="B18" t="s">
        <v>1337</v>
      </c>
      <c r="C18" t="s">
        <v>1332</v>
      </c>
      <c r="D18" s="153">
        <v>8.1999999999999993</v>
      </c>
      <c r="E18">
        <v>8.199999999999999E-3</v>
      </c>
      <c r="F18" t="s">
        <v>1338</v>
      </c>
    </row>
    <row r="19" spans="2:6" x14ac:dyDescent="0.2">
      <c r="B19" t="s">
        <v>1339</v>
      </c>
      <c r="C19" t="s">
        <v>1332</v>
      </c>
      <c r="D19" s="153">
        <v>6</v>
      </c>
      <c r="E19">
        <v>6.0000000000000001E-3</v>
      </c>
      <c r="F19" t="s">
        <v>1340</v>
      </c>
    </row>
    <row r="20" spans="2:6" x14ac:dyDescent="0.2">
      <c r="B20" t="s">
        <v>1341</v>
      </c>
      <c r="C20" t="s">
        <v>1332</v>
      </c>
      <c r="D20" s="153">
        <v>5.4</v>
      </c>
      <c r="E20">
        <v>5.4000000000000003E-3</v>
      </c>
      <c r="F20" t="s">
        <v>1342</v>
      </c>
    </row>
    <row r="21" spans="2:6" x14ac:dyDescent="0.2">
      <c r="B21" t="s">
        <v>1343</v>
      </c>
      <c r="C21" t="s">
        <v>1332</v>
      </c>
      <c r="D21" s="153">
        <v>5.7</v>
      </c>
      <c r="E21">
        <v>5.7000000000000002E-3</v>
      </c>
    </row>
    <row r="22" spans="2:6" x14ac:dyDescent="0.2">
      <c r="B22" t="s">
        <v>1344</v>
      </c>
      <c r="C22" t="s">
        <v>1332</v>
      </c>
      <c r="D22" s="153">
        <v>3.8</v>
      </c>
      <c r="E22">
        <v>3.8E-3</v>
      </c>
      <c r="F22" t="s">
        <v>1345</v>
      </c>
    </row>
    <row r="23" spans="2:6" x14ac:dyDescent="0.2">
      <c r="B23" t="s">
        <v>1346</v>
      </c>
      <c r="C23" t="s">
        <v>1332</v>
      </c>
      <c r="D23" s="153">
        <v>4.2</v>
      </c>
      <c r="E23">
        <v>4.2000000000000006E-3</v>
      </c>
    </row>
    <row r="24" spans="2:6" x14ac:dyDescent="0.2">
      <c r="B24" t="s">
        <v>1347</v>
      </c>
      <c r="C24" t="s">
        <v>1332</v>
      </c>
      <c r="D24" s="153">
        <v>7.5</v>
      </c>
      <c r="E24">
        <v>7.4999999999999997E-3</v>
      </c>
      <c r="F24" t="s">
        <v>1348</v>
      </c>
    </row>
    <row r="25" spans="2:6" x14ac:dyDescent="0.2">
      <c r="B25" t="s">
        <v>1349</v>
      </c>
      <c r="C25" t="s">
        <v>339</v>
      </c>
      <c r="D25" s="153">
        <v>0.4</v>
      </c>
      <c r="E25">
        <v>0.4</v>
      </c>
      <c r="F25" t="s">
        <v>1350</v>
      </c>
    </row>
    <row r="26" spans="2:6" x14ac:dyDescent="0.2">
      <c r="B26" t="s">
        <v>1351</v>
      </c>
      <c r="C26" t="s">
        <v>1332</v>
      </c>
      <c r="D26" s="153">
        <v>1.25</v>
      </c>
      <c r="E26">
        <v>1.25E-3</v>
      </c>
      <c r="F26" t="s">
        <v>1352</v>
      </c>
    </row>
    <row r="27" spans="2:6" x14ac:dyDescent="0.2">
      <c r="B27" t="s">
        <v>468</v>
      </c>
      <c r="C27" t="s">
        <v>433</v>
      </c>
      <c r="D27" s="153">
        <v>0.15</v>
      </c>
    </row>
    <row r="28" spans="2:6" x14ac:dyDescent="0.2">
      <c r="B28" t="s">
        <v>1353</v>
      </c>
      <c r="C28" t="s">
        <v>1354</v>
      </c>
      <c r="D28" s="153">
        <v>0.2</v>
      </c>
      <c r="E28">
        <v>0.2</v>
      </c>
    </row>
    <row r="29" spans="2:6" x14ac:dyDescent="0.2">
      <c r="B29" t="s">
        <v>1355</v>
      </c>
      <c r="C29" t="s">
        <v>1354</v>
      </c>
      <c r="D29" s="153">
        <v>0.28000000000000003</v>
      </c>
      <c r="E29">
        <v>0.28000000000000003</v>
      </c>
    </row>
    <row r="30" spans="2:6" x14ac:dyDescent="0.2">
      <c r="B30" t="s">
        <v>1356</v>
      </c>
      <c r="C30" t="s">
        <v>413</v>
      </c>
      <c r="D30" s="153">
        <v>9</v>
      </c>
      <c r="E30">
        <v>8.9999999999999993E-3</v>
      </c>
    </row>
    <row r="31" spans="2:6" x14ac:dyDescent="0.2">
      <c r="B31" t="s">
        <v>1357</v>
      </c>
      <c r="C31" t="s">
        <v>1332</v>
      </c>
      <c r="D31" s="153">
        <v>0.76500000000000001</v>
      </c>
      <c r="E31">
        <v>7.6500000000000005E-4</v>
      </c>
    </row>
    <row r="32" spans="2:6" x14ac:dyDescent="0.2">
      <c r="B32" t="s">
        <v>1358</v>
      </c>
      <c r="C32" t="s">
        <v>1332</v>
      </c>
      <c r="D32" s="153">
        <v>2</v>
      </c>
      <c r="E32">
        <v>2E-3</v>
      </c>
      <c r="F32" t="s">
        <v>1359</v>
      </c>
    </row>
    <row r="33" spans="2:6" x14ac:dyDescent="0.2">
      <c r="B33" t="s">
        <v>436</v>
      </c>
      <c r="C33" t="s">
        <v>433</v>
      </c>
      <c r="D33" s="153">
        <v>0.1</v>
      </c>
      <c r="E33">
        <v>0.1</v>
      </c>
    </row>
    <row r="34" spans="2:6" x14ac:dyDescent="0.2">
      <c r="B34" t="s">
        <v>1360</v>
      </c>
      <c r="C34" t="s">
        <v>1332</v>
      </c>
      <c r="D34" s="153">
        <v>6.2</v>
      </c>
      <c r="E34">
        <v>6.1999999999999998E-3</v>
      </c>
      <c r="F34" t="s">
        <v>1361</v>
      </c>
    </row>
    <row r="35" spans="2:6" x14ac:dyDescent="0.2">
      <c r="B35" t="s">
        <v>370</v>
      </c>
      <c r="C35" t="s">
        <v>1354</v>
      </c>
      <c r="D35" s="153">
        <v>0.4</v>
      </c>
      <c r="E35">
        <v>0.4</v>
      </c>
    </row>
    <row r="36" spans="2:6" x14ac:dyDescent="0.2">
      <c r="B36" t="s">
        <v>1362</v>
      </c>
      <c r="C36" t="s">
        <v>1332</v>
      </c>
      <c r="D36" s="153">
        <v>10.5</v>
      </c>
      <c r="E36">
        <v>1.0500000000000001E-2</v>
      </c>
    </row>
    <row r="37" spans="2:6" x14ac:dyDescent="0.2">
      <c r="B37" t="s">
        <v>1363</v>
      </c>
      <c r="C37" t="s">
        <v>1332</v>
      </c>
      <c r="D37" s="153">
        <v>2.7</v>
      </c>
      <c r="E37">
        <v>2.7000000000000001E-3</v>
      </c>
      <c r="F37" t="s">
        <v>1364</v>
      </c>
    </row>
    <row r="38" spans="2:6" x14ac:dyDescent="0.2">
      <c r="B38" t="s">
        <v>1365</v>
      </c>
      <c r="C38" t="s">
        <v>1332</v>
      </c>
      <c r="D38" s="153">
        <v>6.5</v>
      </c>
      <c r="E38">
        <v>6.4999999999999997E-3</v>
      </c>
      <c r="F38" t="s">
        <v>1366</v>
      </c>
    </row>
    <row r="39" spans="2:6" x14ac:dyDescent="0.2">
      <c r="B39" t="s">
        <v>1367</v>
      </c>
      <c r="C39" t="s">
        <v>1332</v>
      </c>
      <c r="D39" s="153">
        <v>7</v>
      </c>
      <c r="E39">
        <v>7.0000000000000001E-3</v>
      </c>
      <c r="F39" t="s">
        <v>1368</v>
      </c>
    </row>
    <row r="40" spans="2:6" x14ac:dyDescent="0.2">
      <c r="B40" t="s">
        <v>1369</v>
      </c>
      <c r="C40" t="s">
        <v>1332</v>
      </c>
      <c r="D40" s="153">
        <v>3</v>
      </c>
      <c r="E40">
        <f>SUM(D40/1000)</f>
        <v>3.0000000000000001E-3</v>
      </c>
    </row>
    <row r="41" spans="2:6" x14ac:dyDescent="0.2">
      <c r="B41" t="s">
        <v>1370</v>
      </c>
      <c r="C41" t="s">
        <v>1332</v>
      </c>
      <c r="D41" s="153">
        <v>3.8</v>
      </c>
      <c r="E41">
        <v>3.8E-3</v>
      </c>
      <c r="F41" t="s">
        <v>1371</v>
      </c>
    </row>
    <row r="42" spans="2:6" x14ac:dyDescent="0.2">
      <c r="B42" t="s">
        <v>216</v>
      </c>
      <c r="C42" t="s">
        <v>1354</v>
      </c>
      <c r="D42" s="153">
        <v>18.747277499999999</v>
      </c>
      <c r="E42">
        <v>18.747277499999999</v>
      </c>
    </row>
    <row r="43" spans="2:6" x14ac:dyDescent="0.2">
      <c r="B43" t="s">
        <v>1372</v>
      </c>
      <c r="C43" t="s">
        <v>1332</v>
      </c>
      <c r="D43" s="153">
        <v>8</v>
      </c>
      <c r="E43">
        <v>8.0000000000000002E-3</v>
      </c>
      <c r="F43" t="s">
        <v>1373</v>
      </c>
    </row>
    <row r="44" spans="2:6" x14ac:dyDescent="0.2">
      <c r="B44" t="s">
        <v>1374</v>
      </c>
      <c r="C44" t="s">
        <v>1332</v>
      </c>
      <c r="D44" s="153">
        <v>5.35</v>
      </c>
      <c r="E44">
        <v>5.3499999999999997E-3</v>
      </c>
      <c r="F44" t="s">
        <v>1361</v>
      </c>
    </row>
    <row r="45" spans="2:6" x14ac:dyDescent="0.2">
      <c r="B45" t="s">
        <v>1375</v>
      </c>
      <c r="C45" t="s">
        <v>1322</v>
      </c>
      <c r="D45" s="153">
        <v>4.2</v>
      </c>
      <c r="E45">
        <v>4.2000000000000006E-3</v>
      </c>
      <c r="F45" t="s">
        <v>1376</v>
      </c>
    </row>
    <row r="46" spans="2:6" x14ac:dyDescent="0.2">
      <c r="B46" t="s">
        <v>1377</v>
      </c>
      <c r="C46" t="s">
        <v>1378</v>
      </c>
      <c r="D46" s="153">
        <v>10</v>
      </c>
      <c r="E46">
        <f>SUM(D46/1000)</f>
        <v>0.01</v>
      </c>
    </row>
    <row r="47" spans="2:6" x14ac:dyDescent="0.2">
      <c r="B47" t="s">
        <v>1379</v>
      </c>
      <c r="C47" t="s">
        <v>1332</v>
      </c>
      <c r="D47" s="153">
        <v>3.2</v>
      </c>
      <c r="E47">
        <v>3.2000000000000002E-3</v>
      </c>
      <c r="F47" t="s">
        <v>1380</v>
      </c>
    </row>
    <row r="48" spans="2:6" x14ac:dyDescent="0.2">
      <c r="B48" t="s">
        <v>451</v>
      </c>
      <c r="C48" t="s">
        <v>433</v>
      </c>
      <c r="D48" s="153">
        <v>0.1</v>
      </c>
      <c r="E48">
        <v>0.1</v>
      </c>
    </row>
    <row r="49" spans="2:6" x14ac:dyDescent="0.2">
      <c r="B49" t="s">
        <v>464</v>
      </c>
      <c r="C49" t="s">
        <v>453</v>
      </c>
      <c r="D49" s="153">
        <v>0.04</v>
      </c>
      <c r="E49">
        <v>0.04</v>
      </c>
    </row>
    <row r="50" spans="2:6" x14ac:dyDescent="0.2">
      <c r="B50" t="s">
        <v>452</v>
      </c>
      <c r="C50" t="s">
        <v>453</v>
      </c>
      <c r="D50" s="153">
        <v>0.04</v>
      </c>
      <c r="E50">
        <v>0.04</v>
      </c>
    </row>
    <row r="51" spans="2:6" x14ac:dyDescent="0.2">
      <c r="B51" t="s">
        <v>389</v>
      </c>
      <c r="D51" s="153"/>
    </row>
    <row r="52" spans="2:6" x14ac:dyDescent="0.2">
      <c r="B52" t="s">
        <v>484</v>
      </c>
      <c r="C52" t="s">
        <v>453</v>
      </c>
      <c r="D52" s="153">
        <v>0.04</v>
      </c>
      <c r="E52">
        <v>0.04</v>
      </c>
    </row>
    <row r="53" spans="2:6" x14ac:dyDescent="0.2">
      <c r="B53" t="s">
        <v>1381</v>
      </c>
      <c r="C53" t="s">
        <v>1332</v>
      </c>
      <c r="D53" s="153">
        <v>2.54</v>
      </c>
      <c r="E53">
        <f>SUM(D53/1000)</f>
        <v>2.5400000000000002E-3</v>
      </c>
    </row>
    <row r="54" spans="2:6" x14ac:dyDescent="0.2">
      <c r="B54" t="s">
        <v>1382</v>
      </c>
      <c r="C54" t="s">
        <v>1383</v>
      </c>
      <c r="D54" s="153">
        <v>2.5430000000000001</v>
      </c>
    </row>
    <row r="55" spans="2:6" x14ac:dyDescent="0.2">
      <c r="B55" t="s">
        <v>1384</v>
      </c>
      <c r="C55" t="s">
        <v>1332</v>
      </c>
      <c r="D55" s="153">
        <v>6.8</v>
      </c>
      <c r="E55">
        <v>6.7999999999999996E-3</v>
      </c>
      <c r="F55" t="s">
        <v>1385</v>
      </c>
    </row>
    <row r="56" spans="2:6" x14ac:dyDescent="0.2">
      <c r="B56" t="s">
        <v>469</v>
      </c>
      <c r="C56" t="s">
        <v>433</v>
      </c>
      <c r="D56" s="153">
        <v>0.03</v>
      </c>
      <c r="E56">
        <v>0.03</v>
      </c>
    </row>
    <row r="57" spans="2:6" x14ac:dyDescent="0.2">
      <c r="B57" t="s">
        <v>376</v>
      </c>
      <c r="D57" s="153"/>
    </row>
    <row r="58" spans="2:6" x14ac:dyDescent="0.2">
      <c r="B58" t="s">
        <v>1386</v>
      </c>
      <c r="C58" t="s">
        <v>1332</v>
      </c>
      <c r="D58" s="153">
        <v>50</v>
      </c>
      <c r="E58">
        <v>0.05</v>
      </c>
      <c r="F58" t="s">
        <v>1385</v>
      </c>
    </row>
    <row r="59" spans="2:6" x14ac:dyDescent="0.2">
      <c r="B59" t="s">
        <v>1387</v>
      </c>
      <c r="C59" t="s">
        <v>1332</v>
      </c>
      <c r="D59" s="153">
        <v>9.5</v>
      </c>
      <c r="E59">
        <v>9.4999999999999998E-3</v>
      </c>
    </row>
    <row r="60" spans="2:6" x14ac:dyDescent="0.2">
      <c r="B60" t="s">
        <v>332</v>
      </c>
      <c r="D60" s="153"/>
    </row>
    <row r="61" spans="2:6" x14ac:dyDescent="0.2">
      <c r="B61" t="s">
        <v>1388</v>
      </c>
      <c r="C61" t="s">
        <v>1332</v>
      </c>
      <c r="D61" s="153">
        <v>2.1</v>
      </c>
      <c r="E61">
        <f>SUM(D61/1000)</f>
        <v>2.1000000000000003E-3</v>
      </c>
      <c r="F61" t="s">
        <v>1389</v>
      </c>
    </row>
    <row r="62" spans="2:6" x14ac:dyDescent="0.2">
      <c r="B62" t="s">
        <v>1390</v>
      </c>
      <c r="C62" t="s">
        <v>1332</v>
      </c>
      <c r="D62" s="153">
        <v>15.5</v>
      </c>
      <c r="E62">
        <v>1.55E-2</v>
      </c>
      <c r="F62" t="s">
        <v>1391</v>
      </c>
    </row>
    <row r="63" spans="2:6" x14ac:dyDescent="0.2">
      <c r="B63" t="s">
        <v>1392</v>
      </c>
      <c r="C63" t="s">
        <v>1393</v>
      </c>
      <c r="D63" s="153">
        <v>30</v>
      </c>
      <c r="E63">
        <f>SUM(D63/300)</f>
        <v>0.1</v>
      </c>
      <c r="F63" t="s">
        <v>1394</v>
      </c>
    </row>
    <row r="64" spans="2:6" x14ac:dyDescent="0.2">
      <c r="B64" t="s">
        <v>1395</v>
      </c>
      <c r="C64" t="s">
        <v>1332</v>
      </c>
      <c r="D64" s="153">
        <v>4.5</v>
      </c>
      <c r="E64">
        <v>4.4999999999999997E-3</v>
      </c>
      <c r="F64" t="s">
        <v>1396</v>
      </c>
    </row>
    <row r="65" spans="2:6" x14ac:dyDescent="0.2">
      <c r="B65" t="s">
        <v>1397</v>
      </c>
      <c r="C65" t="s">
        <v>1354</v>
      </c>
      <c r="D65" s="153">
        <v>0.08</v>
      </c>
      <c r="E65">
        <v>0.08</v>
      </c>
    </row>
    <row r="66" spans="2:6" x14ac:dyDescent="0.2">
      <c r="B66" t="s">
        <v>477</v>
      </c>
      <c r="D66" s="153">
        <v>0.08</v>
      </c>
      <c r="E66">
        <v>0.08</v>
      </c>
      <c r="F66" t="s">
        <v>478</v>
      </c>
    </row>
    <row r="67" spans="2:6" x14ac:dyDescent="0.2">
      <c r="B67" t="s">
        <v>1398</v>
      </c>
      <c r="C67" t="s">
        <v>1332</v>
      </c>
      <c r="D67" s="153">
        <v>4</v>
      </c>
      <c r="E67">
        <f>SUM(D67/1000)</f>
        <v>4.0000000000000001E-3</v>
      </c>
      <c r="F67" t="s">
        <v>1399</v>
      </c>
    </row>
    <row r="68" spans="2:6" x14ac:dyDescent="0.2">
      <c r="B68" t="s">
        <v>1400</v>
      </c>
      <c r="C68" t="s">
        <v>1332</v>
      </c>
      <c r="D68" s="153">
        <v>4.5</v>
      </c>
      <c r="E68">
        <v>4.4999999999999997E-3</v>
      </c>
      <c r="F68" t="s">
        <v>1401</v>
      </c>
    </row>
    <row r="69" spans="2:6" x14ac:dyDescent="0.2">
      <c r="B69" t="s">
        <v>1402</v>
      </c>
      <c r="C69" t="s">
        <v>1332</v>
      </c>
      <c r="D69" s="153">
        <v>9.5</v>
      </c>
      <c r="E69">
        <v>9.4999999999999998E-3</v>
      </c>
      <c r="F69" t="s">
        <v>1403</v>
      </c>
    </row>
    <row r="70" spans="2:6" x14ac:dyDescent="0.2">
      <c r="B70" t="s">
        <v>1404</v>
      </c>
      <c r="C70" t="s">
        <v>1332</v>
      </c>
      <c r="D70" s="153">
        <v>11</v>
      </c>
      <c r="E70">
        <f>SUM(D70/1000)</f>
        <v>1.0999999999999999E-2</v>
      </c>
      <c r="F70" t="s">
        <v>1405</v>
      </c>
    </row>
    <row r="71" spans="2:6" x14ac:dyDescent="0.2">
      <c r="B71" t="s">
        <v>1406</v>
      </c>
      <c r="C71" t="s">
        <v>339</v>
      </c>
      <c r="D71" s="153">
        <v>0.7</v>
      </c>
      <c r="E71">
        <v>0.7</v>
      </c>
      <c r="F71" t="s">
        <v>1407</v>
      </c>
    </row>
    <row r="72" spans="2:6" x14ac:dyDescent="0.2">
      <c r="B72" t="s">
        <v>1408</v>
      </c>
      <c r="D72" s="153">
        <v>5</v>
      </c>
    </row>
    <row r="73" spans="2:6" x14ac:dyDescent="0.2">
      <c r="B73" t="s">
        <v>1409</v>
      </c>
      <c r="C73" t="s">
        <v>1332</v>
      </c>
      <c r="D73" s="153">
        <v>1.1000000000000001</v>
      </c>
      <c r="E73">
        <v>1.1000000000000001E-3</v>
      </c>
      <c r="F73" t="s">
        <v>1410</v>
      </c>
    </row>
    <row r="74" spans="2:6" x14ac:dyDescent="0.2">
      <c r="B74" t="s">
        <v>1411</v>
      </c>
      <c r="C74" t="s">
        <v>1332</v>
      </c>
      <c r="D74" s="153">
        <v>1.3</v>
      </c>
      <c r="E74">
        <f>SUM(D74/1000)</f>
        <v>1.2999999999999999E-3</v>
      </c>
      <c r="F74" t="s">
        <v>1412</v>
      </c>
    </row>
    <row r="75" spans="2:6" x14ac:dyDescent="0.2">
      <c r="B75" t="s">
        <v>1413</v>
      </c>
      <c r="C75" t="s">
        <v>1332</v>
      </c>
      <c r="D75" s="153">
        <v>2</v>
      </c>
      <c r="E75">
        <v>2E-3</v>
      </c>
    </row>
    <row r="76" spans="2:6" x14ac:dyDescent="0.2">
      <c r="B76" t="s">
        <v>1414</v>
      </c>
      <c r="C76" t="s">
        <v>413</v>
      </c>
      <c r="D76" s="153">
        <v>4</v>
      </c>
      <c r="E76">
        <v>4.0000000000000001E-3</v>
      </c>
    </row>
    <row r="77" spans="2:6" x14ac:dyDescent="0.2">
      <c r="B77" t="s">
        <v>1415</v>
      </c>
      <c r="C77" t="s">
        <v>1322</v>
      </c>
      <c r="D77" s="153">
        <v>3.5</v>
      </c>
      <c r="E77">
        <v>3.5000000000000001E-3</v>
      </c>
    </row>
    <row r="78" spans="2:6" x14ac:dyDescent="0.2">
      <c r="B78" t="s">
        <v>1416</v>
      </c>
      <c r="C78" t="s">
        <v>1332</v>
      </c>
      <c r="D78" s="153">
        <v>5</v>
      </c>
      <c r="E78">
        <v>5.0000000000000001E-3</v>
      </c>
    </row>
    <row r="79" spans="2:6" x14ac:dyDescent="0.2">
      <c r="B79" t="s">
        <v>1417</v>
      </c>
      <c r="C79" t="s">
        <v>1332</v>
      </c>
      <c r="D79" s="153">
        <v>5.5</v>
      </c>
      <c r="E79">
        <v>5.4999999999999997E-3</v>
      </c>
      <c r="F79" t="s">
        <v>1418</v>
      </c>
    </row>
    <row r="80" spans="2:6" x14ac:dyDescent="0.2">
      <c r="B80" t="s">
        <v>1419</v>
      </c>
      <c r="C80" t="s">
        <v>1332</v>
      </c>
      <c r="D80" s="153">
        <v>4.5</v>
      </c>
      <c r="E80">
        <v>4.4999999999999997E-3</v>
      </c>
      <c r="F80" t="s">
        <v>1361</v>
      </c>
    </row>
    <row r="81" spans="2:6" x14ac:dyDescent="0.2">
      <c r="B81" t="s">
        <v>334</v>
      </c>
      <c r="D81" s="153">
        <v>0.1</v>
      </c>
      <c r="E81">
        <v>0.1</v>
      </c>
    </row>
    <row r="82" spans="2:6" x14ac:dyDescent="0.2">
      <c r="B82" t="s">
        <v>1420</v>
      </c>
      <c r="C82" t="s">
        <v>1332</v>
      </c>
      <c r="D82" s="153">
        <v>0.95</v>
      </c>
      <c r="E82">
        <f>SUM(D82/1000)</f>
        <v>9.5E-4</v>
      </c>
    </row>
    <row r="83" spans="2:6" x14ac:dyDescent="0.2">
      <c r="B83" t="s">
        <v>1421</v>
      </c>
      <c r="C83" t="s">
        <v>1332</v>
      </c>
      <c r="D83" s="153">
        <v>0.74</v>
      </c>
      <c r="E83">
        <f>SUM(D83/1000)</f>
        <v>7.3999999999999999E-4</v>
      </c>
    </row>
    <row r="84" spans="2:6" x14ac:dyDescent="0.2">
      <c r="B84" t="s">
        <v>1422</v>
      </c>
      <c r="C84" t="s">
        <v>1332</v>
      </c>
      <c r="D84" s="153">
        <v>4.8</v>
      </c>
      <c r="E84">
        <f>SUM(D84/1000)</f>
        <v>4.7999999999999996E-3</v>
      </c>
      <c r="F84" t="s">
        <v>1423</v>
      </c>
    </row>
    <row r="85" spans="2:6" x14ac:dyDescent="0.2">
      <c r="B85" t="s">
        <v>176</v>
      </c>
      <c r="D85" s="153">
        <v>4.6474837499999992</v>
      </c>
    </row>
    <row r="86" spans="2:6" x14ac:dyDescent="0.2">
      <c r="B86" t="s">
        <v>180</v>
      </c>
      <c r="D86" s="153">
        <v>5.4874837499999982</v>
      </c>
    </row>
    <row r="87" spans="2:6" x14ac:dyDescent="0.2">
      <c r="B87" t="s">
        <v>330</v>
      </c>
      <c r="D87" s="153">
        <v>0.3</v>
      </c>
      <c r="E87">
        <v>0.3</v>
      </c>
    </row>
    <row r="88" spans="2:6" x14ac:dyDescent="0.2">
      <c r="B88" t="s">
        <v>1424</v>
      </c>
      <c r="C88" t="s">
        <v>1332</v>
      </c>
      <c r="D88" s="153">
        <v>11</v>
      </c>
      <c r="E88">
        <v>1.0999999999999999E-2</v>
      </c>
    </row>
    <row r="89" spans="2:6" x14ac:dyDescent="0.2">
      <c r="B89" t="s">
        <v>1425</v>
      </c>
      <c r="C89" t="s">
        <v>1322</v>
      </c>
      <c r="D89" s="153">
        <v>24</v>
      </c>
      <c r="E89">
        <v>2.4E-2</v>
      </c>
    </row>
    <row r="90" spans="2:6" x14ac:dyDescent="0.2">
      <c r="B90" t="s">
        <v>1426</v>
      </c>
      <c r="C90" t="s">
        <v>1332</v>
      </c>
      <c r="D90" s="153">
        <v>2.11</v>
      </c>
      <c r="E90">
        <f>SUM(D90/1000)</f>
        <v>2.1099999999999999E-3</v>
      </c>
    </row>
    <row r="91" spans="2:6" x14ac:dyDescent="0.2">
      <c r="B91" t="s">
        <v>1427</v>
      </c>
      <c r="C91" t="s">
        <v>1332</v>
      </c>
      <c r="D91" s="153">
        <v>4.54</v>
      </c>
      <c r="E91">
        <f>SUM(D91/1000)</f>
        <v>4.5399999999999998E-3</v>
      </c>
    </row>
    <row r="92" spans="2:6" x14ac:dyDescent="0.2">
      <c r="B92" t="s">
        <v>1428</v>
      </c>
      <c r="C92" t="s">
        <v>1332</v>
      </c>
      <c r="D92" s="153">
        <v>2.2000000000000002</v>
      </c>
      <c r="E92">
        <f>SUM(D92/1000)</f>
        <v>2.2000000000000001E-3</v>
      </c>
    </row>
    <row r="93" spans="2:6" x14ac:dyDescent="0.2">
      <c r="B93" t="s">
        <v>1429</v>
      </c>
      <c r="C93" t="s">
        <v>1332</v>
      </c>
      <c r="D93" s="153">
        <v>3.98</v>
      </c>
      <c r="E93">
        <f>SUM(D93/1000)</f>
        <v>3.98E-3</v>
      </c>
    </row>
    <row r="94" spans="2:6" x14ac:dyDescent="0.2">
      <c r="B94" t="s">
        <v>1430</v>
      </c>
      <c r="C94" t="s">
        <v>1332</v>
      </c>
      <c r="D94" s="153">
        <v>3</v>
      </c>
      <c r="E94">
        <v>3.0000000000000001E-3</v>
      </c>
      <c r="F94" t="s">
        <v>1431</v>
      </c>
    </row>
    <row r="95" spans="2:6" x14ac:dyDescent="0.2">
      <c r="B95" t="s">
        <v>1432</v>
      </c>
      <c r="C95" t="s">
        <v>1332</v>
      </c>
      <c r="D95" s="153">
        <v>9</v>
      </c>
      <c r="E95">
        <f>SUM(D95/1000)</f>
        <v>8.9999999999999993E-3</v>
      </c>
      <c r="F95" t="s">
        <v>1433</v>
      </c>
    </row>
    <row r="96" spans="2:6" x14ac:dyDescent="0.2">
      <c r="B96" t="s">
        <v>1434</v>
      </c>
      <c r="C96" t="s">
        <v>1332</v>
      </c>
      <c r="D96" s="153">
        <v>8.5</v>
      </c>
      <c r="E96">
        <v>8.5000000000000006E-3</v>
      </c>
      <c r="F96" t="s">
        <v>1435</v>
      </c>
    </row>
    <row r="97" spans="2:6" x14ac:dyDescent="0.2">
      <c r="B97" t="s">
        <v>1436</v>
      </c>
      <c r="C97" t="s">
        <v>1332</v>
      </c>
      <c r="D97" s="153">
        <v>4.95</v>
      </c>
      <c r="E97">
        <v>4.9500000000000004E-3</v>
      </c>
      <c r="F97" t="s">
        <v>1361</v>
      </c>
    </row>
    <row r="98" spans="2:6" x14ac:dyDescent="0.2">
      <c r="B98" t="s">
        <v>1437</v>
      </c>
      <c r="C98" t="s">
        <v>1332</v>
      </c>
      <c r="D98" s="153">
        <v>5.95</v>
      </c>
      <c r="E98">
        <v>5.9500000000000004E-3</v>
      </c>
      <c r="F98" t="s">
        <v>1361</v>
      </c>
    </row>
    <row r="99" spans="2:6" x14ac:dyDescent="0.2">
      <c r="B99" t="s">
        <v>1438</v>
      </c>
      <c r="C99" t="s">
        <v>1383</v>
      </c>
      <c r="D99" s="153">
        <v>0.74639999999999995</v>
      </c>
    </row>
    <row r="100" spans="2:6" x14ac:dyDescent="0.2">
      <c r="B100" t="s">
        <v>1439</v>
      </c>
      <c r="C100" t="s">
        <v>1383</v>
      </c>
      <c r="D100" s="153">
        <v>0.72</v>
      </c>
    </row>
    <row r="101" spans="2:6" x14ac:dyDescent="0.2">
      <c r="B101" t="s">
        <v>1440</v>
      </c>
      <c r="C101" t="s">
        <v>1332</v>
      </c>
      <c r="D101" s="153">
        <v>2.8</v>
      </c>
      <c r="E101">
        <v>2.8E-3</v>
      </c>
      <c r="F101" t="s">
        <v>1441</v>
      </c>
    </row>
    <row r="102" spans="2:6" x14ac:dyDescent="0.2">
      <c r="B102" t="s">
        <v>1442</v>
      </c>
      <c r="C102" t="s">
        <v>1332</v>
      </c>
      <c r="D102" s="153">
        <v>7.5</v>
      </c>
      <c r="E102">
        <f>SUM(D102/1000)</f>
        <v>7.4999999999999997E-3</v>
      </c>
      <c r="F102" t="s">
        <v>1443</v>
      </c>
    </row>
    <row r="103" spans="2:6" x14ac:dyDescent="0.2">
      <c r="B103" t="s">
        <v>428</v>
      </c>
      <c r="C103" t="s">
        <v>427</v>
      </c>
      <c r="D103" s="153">
        <v>1.4999999999999999E-2</v>
      </c>
    </row>
    <row r="104" spans="2:6" x14ac:dyDescent="0.2">
      <c r="B104" t="s">
        <v>1444</v>
      </c>
      <c r="C104" t="s">
        <v>1332</v>
      </c>
      <c r="D104" s="153">
        <v>8.5</v>
      </c>
      <c r="E104">
        <f>SUM(D104/1000)</f>
        <v>8.5000000000000006E-3</v>
      </c>
      <c r="F104" t="s">
        <v>1445</v>
      </c>
    </row>
    <row r="105" spans="2:6" x14ac:dyDescent="0.2">
      <c r="B105" t="s">
        <v>1446</v>
      </c>
      <c r="C105" t="s">
        <v>1332</v>
      </c>
      <c r="D105" s="153">
        <v>8</v>
      </c>
      <c r="E105">
        <f>SUM(D105/1000)</f>
        <v>8.0000000000000002E-3</v>
      </c>
      <c r="F105" t="s">
        <v>1447</v>
      </c>
    </row>
    <row r="106" spans="2:6" x14ac:dyDescent="0.2">
      <c r="B106" t="s">
        <v>1448</v>
      </c>
      <c r="C106" t="s">
        <v>1332</v>
      </c>
      <c r="D106" s="153">
        <v>3.5</v>
      </c>
      <c r="E106">
        <v>3.5000000000000001E-3</v>
      </c>
    </row>
    <row r="107" spans="2:6" x14ac:dyDescent="0.2">
      <c r="B107" t="s">
        <v>1449</v>
      </c>
      <c r="C107" t="s">
        <v>1332</v>
      </c>
      <c r="D107" s="153">
        <v>4.3</v>
      </c>
      <c r="E107">
        <v>4.3E-3</v>
      </c>
      <c r="F107" t="s">
        <v>1361</v>
      </c>
    </row>
    <row r="108" spans="2:6" x14ac:dyDescent="0.2">
      <c r="B108" t="s">
        <v>322</v>
      </c>
      <c r="D108" s="153">
        <v>2</v>
      </c>
    </row>
    <row r="109" spans="2:6" x14ac:dyDescent="0.2">
      <c r="B109" t="s">
        <v>460</v>
      </c>
      <c r="C109" t="s">
        <v>416</v>
      </c>
      <c r="D109" s="153">
        <v>7.9243499999999996</v>
      </c>
    </row>
    <row r="110" spans="2:6" x14ac:dyDescent="0.2">
      <c r="B110" t="s">
        <v>206</v>
      </c>
      <c r="D110" s="153">
        <v>0.93274256250000009</v>
      </c>
    </row>
    <row r="111" spans="2:6" x14ac:dyDescent="0.2">
      <c r="B111" t="s">
        <v>450</v>
      </c>
      <c r="C111" t="s">
        <v>427</v>
      </c>
      <c r="D111" s="153">
        <v>1.001525</v>
      </c>
    </row>
    <row r="112" spans="2:6" x14ac:dyDescent="0.2">
      <c r="B112" t="s">
        <v>1450</v>
      </c>
      <c r="C112" t="s">
        <v>1332</v>
      </c>
      <c r="D112" s="153">
        <v>4</v>
      </c>
      <c r="E112">
        <v>4.0000000000000001E-3</v>
      </c>
    </row>
    <row r="113" spans="2:6" x14ac:dyDescent="0.2">
      <c r="B113" t="s">
        <v>1451</v>
      </c>
      <c r="C113" t="s">
        <v>1332</v>
      </c>
      <c r="D113" s="153">
        <v>3</v>
      </c>
      <c r="E113">
        <v>3.0000000000000001E-3</v>
      </c>
    </row>
    <row r="114" spans="2:6" x14ac:dyDescent="0.2">
      <c r="B114" t="s">
        <v>1452</v>
      </c>
      <c r="C114" t="s">
        <v>1332</v>
      </c>
      <c r="D114" s="153">
        <v>12</v>
      </c>
      <c r="E114">
        <v>1.2E-2</v>
      </c>
      <c r="F114" t="s">
        <v>1453</v>
      </c>
    </row>
    <row r="115" spans="2:6" x14ac:dyDescent="0.2">
      <c r="B115" t="s">
        <v>1454</v>
      </c>
      <c r="C115" t="s">
        <v>1332</v>
      </c>
      <c r="D115" s="153">
        <v>10</v>
      </c>
      <c r="E115">
        <f>SUM(D115/1000)</f>
        <v>0.01</v>
      </c>
      <c r="F115" t="s">
        <v>1455</v>
      </c>
    </row>
    <row r="116" spans="2:6" x14ac:dyDescent="0.2">
      <c r="B116" t="s">
        <v>1456</v>
      </c>
      <c r="C116" t="s">
        <v>1332</v>
      </c>
      <c r="D116" s="153">
        <v>21</v>
      </c>
      <c r="E116">
        <v>2.1000000000000001E-2</v>
      </c>
    </row>
    <row r="117" spans="2:6" x14ac:dyDescent="0.2">
      <c r="B117" t="s">
        <v>472</v>
      </c>
      <c r="C117" t="s">
        <v>416</v>
      </c>
      <c r="D117" s="153">
        <v>7.9243499999999996</v>
      </c>
    </row>
    <row r="118" spans="2:6" x14ac:dyDescent="0.2">
      <c r="B118" t="s">
        <v>423</v>
      </c>
      <c r="C118" t="s">
        <v>339</v>
      </c>
      <c r="D118" s="153">
        <v>2.5</v>
      </c>
    </row>
    <row r="119" spans="2:6" x14ac:dyDescent="0.2">
      <c r="B119" t="s">
        <v>467</v>
      </c>
      <c r="C119" t="s">
        <v>339</v>
      </c>
      <c r="D119" s="153">
        <v>2.5</v>
      </c>
    </row>
    <row r="120" spans="2:6" x14ac:dyDescent="0.2">
      <c r="B120" t="s">
        <v>342</v>
      </c>
      <c r="D120" s="153">
        <v>1.25</v>
      </c>
      <c r="E120">
        <v>1.25</v>
      </c>
      <c r="F120" t="s">
        <v>410</v>
      </c>
    </row>
    <row r="121" spans="2:6" x14ac:dyDescent="0.2">
      <c r="B121" t="s">
        <v>1457</v>
      </c>
      <c r="D121" s="153">
        <v>2.85</v>
      </c>
      <c r="F121" t="s">
        <v>410</v>
      </c>
    </row>
    <row r="122" spans="2:6" x14ac:dyDescent="0.2">
      <c r="B122" t="s">
        <v>168</v>
      </c>
      <c r="D122" s="153">
        <v>9.1269674999999992</v>
      </c>
    </row>
    <row r="123" spans="2:6" x14ac:dyDescent="0.2">
      <c r="B123" t="s">
        <v>172</v>
      </c>
      <c r="D123" s="153">
        <v>9.9669675000000009</v>
      </c>
    </row>
    <row r="124" spans="2:6" x14ac:dyDescent="0.2">
      <c r="B124" t="s">
        <v>1458</v>
      </c>
      <c r="C124" t="s">
        <v>1332</v>
      </c>
      <c r="D124" s="153">
        <v>3.2</v>
      </c>
      <c r="E124">
        <v>3.2000000000000002E-3</v>
      </c>
      <c r="F124" t="s">
        <v>1459</v>
      </c>
    </row>
    <row r="125" spans="2:6" x14ac:dyDescent="0.2">
      <c r="B125" t="s">
        <v>221</v>
      </c>
      <c r="D125" s="153">
        <v>1.7087000000000001</v>
      </c>
    </row>
    <row r="126" spans="2:6" x14ac:dyDescent="0.2">
      <c r="B126" t="s">
        <v>225</v>
      </c>
      <c r="D126" s="153">
        <v>3.2599</v>
      </c>
    </row>
    <row r="127" spans="2:6" x14ac:dyDescent="0.2">
      <c r="B127" t="s">
        <v>476</v>
      </c>
      <c r="C127" t="s">
        <v>413</v>
      </c>
      <c r="D127" s="153">
        <v>4</v>
      </c>
    </row>
    <row r="128" spans="2:6" x14ac:dyDescent="0.2">
      <c r="B128" t="s">
        <v>481</v>
      </c>
      <c r="C128" t="s">
        <v>413</v>
      </c>
      <c r="D128" s="153">
        <v>4</v>
      </c>
    </row>
    <row r="129" spans="2:6" x14ac:dyDescent="0.2">
      <c r="B129" t="s">
        <v>358</v>
      </c>
      <c r="C129" t="s">
        <v>1332</v>
      </c>
      <c r="D129" s="153">
        <v>5.95</v>
      </c>
      <c r="E129">
        <v>5.95</v>
      </c>
      <c r="F129" t="s">
        <v>1460</v>
      </c>
    </row>
    <row r="130" spans="2:6" x14ac:dyDescent="0.2">
      <c r="B130" t="s">
        <v>1461</v>
      </c>
      <c r="C130" t="s">
        <v>1332</v>
      </c>
      <c r="D130" s="153">
        <v>2.2320500000000001</v>
      </c>
      <c r="E130">
        <f>SUM(D130/1000)</f>
        <v>2.2320500000000002E-3</v>
      </c>
    </row>
    <row r="131" spans="2:6" x14ac:dyDescent="0.2">
      <c r="B131" t="s">
        <v>1462</v>
      </c>
      <c r="C131" t="s">
        <v>1332</v>
      </c>
      <c r="D131" s="153">
        <v>6</v>
      </c>
      <c r="E131">
        <v>6.0000000000000001E-3</v>
      </c>
    </row>
    <row r="132" spans="2:6" x14ac:dyDescent="0.2">
      <c r="B132" t="s">
        <v>1463</v>
      </c>
      <c r="C132" t="s">
        <v>1332</v>
      </c>
      <c r="D132" s="153">
        <v>3.5</v>
      </c>
      <c r="E132">
        <v>3.5000000000000001E-3</v>
      </c>
    </row>
    <row r="133" spans="2:6" x14ac:dyDescent="0.2">
      <c r="B133" t="s">
        <v>1464</v>
      </c>
      <c r="C133" t="s">
        <v>1332</v>
      </c>
      <c r="D133" s="153">
        <v>4.8</v>
      </c>
      <c r="F133" t="s">
        <v>1465</v>
      </c>
    </row>
    <row r="134" spans="2:6" x14ac:dyDescent="0.2">
      <c r="B134" t="s">
        <v>230</v>
      </c>
      <c r="C134" t="s">
        <v>339</v>
      </c>
      <c r="D134" s="153">
        <v>1.2</v>
      </c>
      <c r="E134">
        <v>1.2</v>
      </c>
      <c r="F134" t="s">
        <v>1466</v>
      </c>
    </row>
    <row r="135" spans="2:6" x14ac:dyDescent="0.2">
      <c r="B135" t="s">
        <v>1467</v>
      </c>
      <c r="C135" t="s">
        <v>1332</v>
      </c>
      <c r="D135" s="153">
        <v>2.2000000000000002</v>
      </c>
      <c r="F135" t="s">
        <v>1468</v>
      </c>
    </row>
    <row r="136" spans="2:6" x14ac:dyDescent="0.2">
      <c r="B136" t="s">
        <v>1469</v>
      </c>
      <c r="C136" t="s">
        <v>1332</v>
      </c>
      <c r="D136" s="153">
        <v>3.5</v>
      </c>
      <c r="E136">
        <f>SUM(D136/1000)</f>
        <v>3.5000000000000001E-3</v>
      </c>
    </row>
    <row r="137" spans="2:6" x14ac:dyDescent="0.2">
      <c r="B137" t="s">
        <v>438</v>
      </c>
      <c r="C137" t="s">
        <v>433</v>
      </c>
      <c r="D137" s="153">
        <v>0.03</v>
      </c>
      <c r="E137">
        <v>0.03</v>
      </c>
    </row>
    <row r="138" spans="2:6" x14ac:dyDescent="0.2">
      <c r="B138" t="s">
        <v>1470</v>
      </c>
      <c r="C138" t="s">
        <v>1332</v>
      </c>
      <c r="D138" s="153">
        <v>0.5</v>
      </c>
      <c r="E138">
        <f>SUM(D137/1000)</f>
        <v>2.9999999999999997E-5</v>
      </c>
      <c r="F138" t="s">
        <v>1471</v>
      </c>
    </row>
    <row r="139" spans="2:6" x14ac:dyDescent="0.2">
      <c r="B139" t="s">
        <v>462</v>
      </c>
      <c r="C139" t="s">
        <v>435</v>
      </c>
      <c r="D139" s="153">
        <v>0.05</v>
      </c>
      <c r="E139">
        <v>0.05</v>
      </c>
    </row>
    <row r="140" spans="2:6" x14ac:dyDescent="0.2">
      <c r="B140" t="s">
        <v>1472</v>
      </c>
      <c r="C140" t="s">
        <v>1473</v>
      </c>
      <c r="D140" s="153">
        <v>3.5</v>
      </c>
      <c r="E140">
        <f>SUM(D140/1000)</f>
        <v>3.5000000000000001E-3</v>
      </c>
    </row>
    <row r="141" spans="2:6" x14ac:dyDescent="0.2">
      <c r="B141" t="s">
        <v>1474</v>
      </c>
      <c r="C141" t="s">
        <v>1332</v>
      </c>
      <c r="D141" s="153">
        <v>4.13</v>
      </c>
      <c r="E141">
        <f>SUM(D141/1000)</f>
        <v>4.13E-3</v>
      </c>
    </row>
    <row r="142" spans="2:6" x14ac:dyDescent="0.2">
      <c r="B142" t="s">
        <v>1475</v>
      </c>
      <c r="C142" t="s">
        <v>1354</v>
      </c>
      <c r="D142" s="153">
        <f>SUM(E141*30)</f>
        <v>0.1239</v>
      </c>
      <c r="E142">
        <v>0.124</v>
      </c>
    </row>
    <row r="143" spans="2:6" x14ac:dyDescent="0.2">
      <c r="B143" t="s">
        <v>1476</v>
      </c>
      <c r="C143" t="s">
        <v>1322</v>
      </c>
      <c r="D143" s="153">
        <v>7</v>
      </c>
      <c r="E143">
        <v>7.0000000000000001E-3</v>
      </c>
    </row>
    <row r="144" spans="2:6" x14ac:dyDescent="0.2">
      <c r="B144" t="s">
        <v>363</v>
      </c>
      <c r="D144" s="153"/>
    </row>
    <row r="145" spans="2:6" x14ac:dyDescent="0.2">
      <c r="B145" t="s">
        <v>379</v>
      </c>
      <c r="D145" s="153"/>
    </row>
    <row r="146" spans="2:6" x14ac:dyDescent="0.2">
      <c r="B146" t="s">
        <v>437</v>
      </c>
      <c r="C146" t="s">
        <v>433</v>
      </c>
      <c r="D146" s="153">
        <v>0.01</v>
      </c>
      <c r="F146" t="s">
        <v>1477</v>
      </c>
    </row>
    <row r="147" spans="2:6" x14ac:dyDescent="0.2">
      <c r="B147" t="s">
        <v>1478</v>
      </c>
      <c r="C147" t="s">
        <v>1332</v>
      </c>
      <c r="D147" s="153">
        <v>14</v>
      </c>
      <c r="F147" t="s">
        <v>1479</v>
      </c>
    </row>
    <row r="148" spans="2:6" x14ac:dyDescent="0.2">
      <c r="B148" t="s">
        <v>1480</v>
      </c>
      <c r="C148" t="s">
        <v>1332</v>
      </c>
      <c r="D148" s="153">
        <v>7.2</v>
      </c>
      <c r="E148">
        <v>7.1999999999999998E-3</v>
      </c>
      <c r="F148" t="s">
        <v>1481</v>
      </c>
    </row>
    <row r="149" spans="2:6" x14ac:dyDescent="0.2">
      <c r="B149" t="s">
        <v>1482</v>
      </c>
      <c r="C149" t="s">
        <v>413</v>
      </c>
      <c r="D149" s="153">
        <v>3.5</v>
      </c>
      <c r="E149">
        <v>3.5000000000000001E-3</v>
      </c>
    </row>
    <row r="150" spans="2:6" x14ac:dyDescent="0.2">
      <c r="B150" t="s">
        <v>1483</v>
      </c>
      <c r="C150" t="s">
        <v>1322</v>
      </c>
      <c r="D150" s="153">
        <v>1.1000000000000001</v>
      </c>
      <c r="E150">
        <v>1.1000000000000001E-3</v>
      </c>
      <c r="F150" t="s">
        <v>1484</v>
      </c>
    </row>
    <row r="151" spans="2:6" x14ac:dyDescent="0.2">
      <c r="B151" t="s">
        <v>1485</v>
      </c>
      <c r="C151" t="s">
        <v>1322</v>
      </c>
      <c r="D151" s="153">
        <v>3</v>
      </c>
      <c r="E151">
        <v>3.0000000000000001E-3</v>
      </c>
    </row>
    <row r="152" spans="2:6" x14ac:dyDescent="0.2">
      <c r="B152" t="s">
        <v>1486</v>
      </c>
      <c r="C152" t="s">
        <v>1322</v>
      </c>
      <c r="D152" s="153">
        <v>3.5</v>
      </c>
      <c r="E152">
        <v>3.5000000000000001E-3</v>
      </c>
    </row>
    <row r="153" spans="2:6" x14ac:dyDescent="0.2">
      <c r="B153" t="s">
        <v>1487</v>
      </c>
      <c r="C153" t="s">
        <v>1332</v>
      </c>
      <c r="D153" s="153">
        <v>2.4</v>
      </c>
      <c r="E153">
        <f>SUM(D153/1000)</f>
        <v>2.3999999999999998E-3</v>
      </c>
      <c r="F153" t="s">
        <v>1488</v>
      </c>
    </row>
    <row r="154" spans="2:6" x14ac:dyDescent="0.2">
      <c r="B154" t="s">
        <v>426</v>
      </c>
      <c r="C154" t="s">
        <v>1322</v>
      </c>
      <c r="D154" s="153">
        <v>2.2000000000000002</v>
      </c>
    </row>
    <row r="155" spans="2:6" x14ac:dyDescent="0.2">
      <c r="B155" t="s">
        <v>1325</v>
      </c>
      <c r="C155" t="s">
        <v>1322</v>
      </c>
      <c r="D155" s="153">
        <v>2.8</v>
      </c>
    </row>
    <row r="156" spans="2:6" x14ac:dyDescent="0.2">
      <c r="B156" t="s">
        <v>1331</v>
      </c>
      <c r="C156" t="s">
        <v>1332</v>
      </c>
      <c r="D156" s="153">
        <v>2.8</v>
      </c>
    </row>
    <row r="157" spans="2:6" x14ac:dyDescent="0.2">
      <c r="B157" t="s">
        <v>1489</v>
      </c>
      <c r="C157" t="s">
        <v>1332</v>
      </c>
      <c r="D157" s="153">
        <v>8.5</v>
      </c>
    </row>
    <row r="158" spans="2:6" x14ac:dyDescent="0.2">
      <c r="B158" t="s">
        <v>1335</v>
      </c>
      <c r="C158" t="s">
        <v>1332</v>
      </c>
      <c r="D158" s="153">
        <v>9.5</v>
      </c>
    </row>
    <row r="159" spans="2:6" x14ac:dyDescent="0.2">
      <c r="B159" t="s">
        <v>1336</v>
      </c>
      <c r="C159" t="s">
        <v>1322</v>
      </c>
      <c r="D159" s="153">
        <v>1E-3</v>
      </c>
    </row>
    <row r="160" spans="2:6" x14ac:dyDescent="0.2">
      <c r="B160" t="s">
        <v>1337</v>
      </c>
      <c r="C160" t="s">
        <v>1332</v>
      </c>
      <c r="D160" s="153">
        <v>8.1999999999999993</v>
      </c>
    </row>
    <row r="161" spans="2:4" x14ac:dyDescent="0.2">
      <c r="B161" t="s">
        <v>1339</v>
      </c>
      <c r="C161" t="s">
        <v>1332</v>
      </c>
      <c r="D161" s="153">
        <v>6</v>
      </c>
    </row>
    <row r="162" spans="2:4" x14ac:dyDescent="0.2">
      <c r="B162" t="s">
        <v>1341</v>
      </c>
      <c r="C162" t="s">
        <v>1332</v>
      </c>
      <c r="D162" s="153">
        <v>5.4</v>
      </c>
    </row>
    <row r="163" spans="2:4" x14ac:dyDescent="0.2">
      <c r="B163" t="s">
        <v>1343</v>
      </c>
      <c r="C163" t="s">
        <v>1332</v>
      </c>
      <c r="D163" s="153">
        <v>5.7</v>
      </c>
    </row>
    <row r="164" spans="2:4" x14ac:dyDescent="0.2">
      <c r="B164" t="s">
        <v>1490</v>
      </c>
      <c r="C164" t="s">
        <v>1332</v>
      </c>
      <c r="D164" s="153">
        <v>3.8</v>
      </c>
    </row>
    <row r="165" spans="2:4" x14ac:dyDescent="0.2">
      <c r="B165" t="s">
        <v>1346</v>
      </c>
      <c r="C165" t="s">
        <v>1332</v>
      </c>
      <c r="D165" s="153">
        <v>4.2</v>
      </c>
    </row>
    <row r="166" spans="2:4" x14ac:dyDescent="0.2">
      <c r="B166" t="s">
        <v>1347</v>
      </c>
      <c r="C166" t="s">
        <v>1332</v>
      </c>
      <c r="D166" s="153">
        <v>7.5</v>
      </c>
    </row>
    <row r="167" spans="2:4" x14ac:dyDescent="0.2">
      <c r="B167" t="s">
        <v>1349</v>
      </c>
      <c r="C167" t="s">
        <v>339</v>
      </c>
      <c r="D167" s="153">
        <v>0.4</v>
      </c>
    </row>
    <row r="168" spans="2:4" x14ac:dyDescent="0.2">
      <c r="B168" t="s">
        <v>1491</v>
      </c>
      <c r="C168" t="s">
        <v>1332</v>
      </c>
      <c r="D168" s="153">
        <v>1.25</v>
      </c>
    </row>
    <row r="169" spans="2:4" x14ac:dyDescent="0.2">
      <c r="B169" t="s">
        <v>1356</v>
      </c>
      <c r="C169" t="s">
        <v>413</v>
      </c>
      <c r="D169" s="153">
        <v>9</v>
      </c>
    </row>
    <row r="170" spans="2:4" x14ac:dyDescent="0.2">
      <c r="B170" t="s">
        <v>1358</v>
      </c>
      <c r="C170" t="s">
        <v>413</v>
      </c>
      <c r="D170" s="153">
        <v>2</v>
      </c>
    </row>
    <row r="171" spans="2:4" x14ac:dyDescent="0.2">
      <c r="B171" t="s">
        <v>1360</v>
      </c>
      <c r="C171" t="s">
        <v>413</v>
      </c>
      <c r="D171" s="153">
        <v>6.2</v>
      </c>
    </row>
    <row r="172" spans="2:4" x14ac:dyDescent="0.2">
      <c r="B172" t="s">
        <v>1362</v>
      </c>
      <c r="C172" t="s">
        <v>413</v>
      </c>
      <c r="D172" s="153">
        <v>10.5</v>
      </c>
    </row>
    <row r="173" spans="2:4" x14ac:dyDescent="0.2">
      <c r="B173" t="s">
        <v>1363</v>
      </c>
      <c r="C173" t="s">
        <v>413</v>
      </c>
      <c r="D173" s="153">
        <v>2.7</v>
      </c>
    </row>
    <row r="174" spans="2:4" x14ac:dyDescent="0.2">
      <c r="B174" t="s">
        <v>1492</v>
      </c>
      <c r="C174" t="s">
        <v>413</v>
      </c>
      <c r="D174" s="153">
        <v>6.5</v>
      </c>
    </row>
    <row r="175" spans="2:4" x14ac:dyDescent="0.2">
      <c r="B175" t="s">
        <v>1367</v>
      </c>
      <c r="C175" t="s">
        <v>413</v>
      </c>
      <c r="D175" s="153">
        <v>7</v>
      </c>
    </row>
    <row r="176" spans="2:4" x14ac:dyDescent="0.2">
      <c r="B176" t="s">
        <v>1370</v>
      </c>
      <c r="C176" t="s">
        <v>413</v>
      </c>
      <c r="D176" s="153">
        <v>3.8</v>
      </c>
    </row>
    <row r="177" spans="2:4" x14ac:dyDescent="0.2">
      <c r="B177" t="s">
        <v>1369</v>
      </c>
      <c r="C177" t="s">
        <v>413</v>
      </c>
      <c r="D177" s="153">
        <v>3</v>
      </c>
    </row>
    <row r="178" spans="2:4" x14ac:dyDescent="0.2">
      <c r="B178" t="s">
        <v>1372</v>
      </c>
      <c r="C178" t="s">
        <v>413</v>
      </c>
      <c r="D178" s="153">
        <v>8</v>
      </c>
    </row>
    <row r="179" spans="2:4" x14ac:dyDescent="0.2">
      <c r="B179" t="s">
        <v>1374</v>
      </c>
      <c r="C179" t="s">
        <v>413</v>
      </c>
      <c r="D179" s="153">
        <v>5.35</v>
      </c>
    </row>
    <row r="180" spans="2:4" x14ac:dyDescent="0.2">
      <c r="B180" t="s">
        <v>1375</v>
      </c>
      <c r="C180" t="s">
        <v>413</v>
      </c>
      <c r="D180" s="153">
        <v>4.2</v>
      </c>
    </row>
    <row r="181" spans="2:4" x14ac:dyDescent="0.2">
      <c r="B181" t="s">
        <v>1377</v>
      </c>
      <c r="C181" t="s">
        <v>413</v>
      </c>
      <c r="D181" s="153">
        <v>10</v>
      </c>
    </row>
    <row r="182" spans="2:4" x14ac:dyDescent="0.2">
      <c r="B182" t="s">
        <v>1379</v>
      </c>
      <c r="C182" t="s">
        <v>413</v>
      </c>
      <c r="D182" s="153">
        <v>3.2</v>
      </c>
    </row>
    <row r="183" spans="2:4" x14ac:dyDescent="0.2">
      <c r="B183" t="s">
        <v>1381</v>
      </c>
      <c r="C183" t="s">
        <v>413</v>
      </c>
      <c r="D183" s="153">
        <v>2.54</v>
      </c>
    </row>
    <row r="184" spans="2:4" x14ac:dyDescent="0.2">
      <c r="B184" t="s">
        <v>1493</v>
      </c>
      <c r="C184" t="s">
        <v>1383</v>
      </c>
      <c r="D184" s="153">
        <v>0.30515999999999999</v>
      </c>
    </row>
    <row r="185" spans="2:4" x14ac:dyDescent="0.2">
      <c r="B185" t="s">
        <v>1384</v>
      </c>
      <c r="C185" t="s">
        <v>1332</v>
      </c>
      <c r="D185" s="153">
        <v>6.8</v>
      </c>
    </row>
    <row r="186" spans="2:4" x14ac:dyDescent="0.2">
      <c r="B186" t="s">
        <v>1386</v>
      </c>
      <c r="C186" t="s">
        <v>1332</v>
      </c>
      <c r="D186" s="153">
        <v>12</v>
      </c>
    </row>
    <row r="187" spans="2:4" x14ac:dyDescent="0.2">
      <c r="B187" t="s">
        <v>1387</v>
      </c>
      <c r="C187" t="s">
        <v>1332</v>
      </c>
      <c r="D187" s="153">
        <v>9.5</v>
      </c>
    </row>
    <row r="188" spans="2:4" x14ac:dyDescent="0.2">
      <c r="B188" t="s">
        <v>1494</v>
      </c>
      <c r="C188" t="s">
        <v>1332</v>
      </c>
      <c r="D188" s="153">
        <v>2.1</v>
      </c>
    </row>
    <row r="189" spans="2:4" x14ac:dyDescent="0.2">
      <c r="B189" t="s">
        <v>1390</v>
      </c>
      <c r="C189" t="s">
        <v>1332</v>
      </c>
      <c r="D189" s="153">
        <v>8.5</v>
      </c>
    </row>
    <row r="190" spans="2:4" x14ac:dyDescent="0.2">
      <c r="B190" t="s">
        <v>1395</v>
      </c>
      <c r="C190" t="s">
        <v>1332</v>
      </c>
      <c r="D190" s="153">
        <v>4.5</v>
      </c>
    </row>
    <row r="191" spans="2:4" x14ac:dyDescent="0.2">
      <c r="B191" t="s">
        <v>1398</v>
      </c>
      <c r="C191" t="s">
        <v>1332</v>
      </c>
      <c r="D191" s="153">
        <v>4</v>
      </c>
    </row>
    <row r="192" spans="2:4" x14ac:dyDescent="0.2">
      <c r="B192" t="s">
        <v>1400</v>
      </c>
      <c r="C192" t="s">
        <v>1332</v>
      </c>
      <c r="D192" s="153">
        <v>4.5</v>
      </c>
    </row>
    <row r="193" spans="2:5" x14ac:dyDescent="0.2">
      <c r="B193" t="s">
        <v>1402</v>
      </c>
      <c r="C193" t="s">
        <v>1332</v>
      </c>
      <c r="D193" s="153">
        <v>9.5</v>
      </c>
    </row>
    <row r="194" spans="2:5" x14ac:dyDescent="0.2">
      <c r="B194" t="s">
        <v>1404</v>
      </c>
      <c r="C194" t="s">
        <v>1332</v>
      </c>
      <c r="D194" s="153">
        <v>11</v>
      </c>
    </row>
    <row r="195" spans="2:5" x14ac:dyDescent="0.2">
      <c r="B195" t="s">
        <v>1495</v>
      </c>
      <c r="C195" t="s">
        <v>339</v>
      </c>
      <c r="D195" s="153">
        <v>0.7</v>
      </c>
      <c r="E195">
        <v>0.7</v>
      </c>
    </row>
    <row r="196" spans="2:5" x14ac:dyDescent="0.2">
      <c r="B196" t="s">
        <v>1496</v>
      </c>
      <c r="C196" t="s">
        <v>1332</v>
      </c>
      <c r="D196" s="153">
        <v>2.23</v>
      </c>
    </row>
    <row r="197" spans="2:5" x14ac:dyDescent="0.2">
      <c r="B197" t="s">
        <v>1497</v>
      </c>
      <c r="C197" t="s">
        <v>1332</v>
      </c>
      <c r="D197" s="153">
        <v>0.9</v>
      </c>
    </row>
    <row r="198" spans="2:5" x14ac:dyDescent="0.2">
      <c r="B198" t="s">
        <v>1498</v>
      </c>
      <c r="C198" t="s">
        <v>1332</v>
      </c>
      <c r="D198" s="153">
        <v>0.77</v>
      </c>
    </row>
    <row r="199" spans="2:5" x14ac:dyDescent="0.2">
      <c r="B199" t="s">
        <v>1409</v>
      </c>
      <c r="C199" t="s">
        <v>1332</v>
      </c>
      <c r="D199" s="153">
        <v>1.1000000000000001</v>
      </c>
    </row>
    <row r="200" spans="2:5" x14ac:dyDescent="0.2">
      <c r="B200" t="s">
        <v>1411</v>
      </c>
      <c r="C200" t="s">
        <v>1332</v>
      </c>
      <c r="D200" s="153">
        <v>1.3</v>
      </c>
    </row>
    <row r="201" spans="2:5" x14ac:dyDescent="0.2">
      <c r="B201" t="s">
        <v>1413</v>
      </c>
      <c r="C201" t="s">
        <v>1332</v>
      </c>
      <c r="D201" s="153">
        <v>2</v>
      </c>
    </row>
    <row r="202" spans="2:5" x14ac:dyDescent="0.2">
      <c r="B202" t="s">
        <v>1414</v>
      </c>
      <c r="C202" t="s">
        <v>413</v>
      </c>
      <c r="D202" s="153">
        <v>4</v>
      </c>
    </row>
    <row r="203" spans="2:5" x14ac:dyDescent="0.2">
      <c r="B203" t="s">
        <v>1415</v>
      </c>
      <c r="C203" t="s">
        <v>1322</v>
      </c>
      <c r="D203" s="153">
        <v>3.5</v>
      </c>
    </row>
    <row r="204" spans="2:5" x14ac:dyDescent="0.2">
      <c r="B204" t="s">
        <v>1416</v>
      </c>
      <c r="C204" t="s">
        <v>1332</v>
      </c>
      <c r="D204" s="153">
        <v>5</v>
      </c>
    </row>
    <row r="205" spans="2:5" x14ac:dyDescent="0.2">
      <c r="B205" t="s">
        <v>1417</v>
      </c>
      <c r="C205" t="s">
        <v>1332</v>
      </c>
      <c r="D205" s="153">
        <v>5.5</v>
      </c>
    </row>
    <row r="206" spans="2:5" x14ac:dyDescent="0.2">
      <c r="B206" t="s">
        <v>1419</v>
      </c>
      <c r="C206" t="s">
        <v>1332</v>
      </c>
      <c r="D206" s="153">
        <v>4.5</v>
      </c>
    </row>
    <row r="207" spans="2:5" x14ac:dyDescent="0.2">
      <c r="B207" t="s">
        <v>1422</v>
      </c>
      <c r="C207" t="s">
        <v>1332</v>
      </c>
      <c r="D207" s="153">
        <v>4.8</v>
      </c>
    </row>
    <row r="208" spans="2:5" x14ac:dyDescent="0.2">
      <c r="B208" t="s">
        <v>1424</v>
      </c>
      <c r="C208" t="s">
        <v>1332</v>
      </c>
      <c r="D208" s="153">
        <v>11</v>
      </c>
    </row>
    <row r="209" spans="2:4" x14ac:dyDescent="0.2">
      <c r="B209" t="s">
        <v>1425</v>
      </c>
      <c r="C209" t="s">
        <v>1322</v>
      </c>
      <c r="D209" s="153">
        <v>24</v>
      </c>
    </row>
    <row r="210" spans="2:4" x14ac:dyDescent="0.2">
      <c r="B210" t="s">
        <v>1430</v>
      </c>
      <c r="C210" t="s">
        <v>1332</v>
      </c>
      <c r="D210" s="153">
        <v>3</v>
      </c>
    </row>
    <row r="211" spans="2:4" x14ac:dyDescent="0.2">
      <c r="B211" t="s">
        <v>1432</v>
      </c>
      <c r="C211" t="s">
        <v>1332</v>
      </c>
      <c r="D211" s="153">
        <v>9</v>
      </c>
    </row>
    <row r="212" spans="2:4" x14ac:dyDescent="0.2">
      <c r="B212" t="s">
        <v>1434</v>
      </c>
      <c r="C212" t="s">
        <v>1332</v>
      </c>
      <c r="D212" s="153">
        <v>8.5</v>
      </c>
    </row>
    <row r="213" spans="2:4" x14ac:dyDescent="0.2">
      <c r="B213" t="s">
        <v>1436</v>
      </c>
      <c r="C213" t="s">
        <v>1332</v>
      </c>
      <c r="D213" s="153">
        <v>4.95</v>
      </c>
    </row>
    <row r="214" spans="2:4" x14ac:dyDescent="0.2">
      <c r="B214" t="s">
        <v>1437</v>
      </c>
      <c r="C214" t="s">
        <v>1332</v>
      </c>
      <c r="D214" s="153">
        <v>5.95</v>
      </c>
    </row>
    <row r="215" spans="2:4" x14ac:dyDescent="0.2">
      <c r="B215" t="s">
        <v>1440</v>
      </c>
      <c r="C215" t="s">
        <v>1332</v>
      </c>
      <c r="D215" s="153">
        <v>2.8</v>
      </c>
    </row>
    <row r="216" spans="2:4" x14ac:dyDescent="0.2">
      <c r="B216" t="s">
        <v>1442</v>
      </c>
      <c r="C216" t="s">
        <v>1332</v>
      </c>
      <c r="D216" s="153">
        <v>7.5</v>
      </c>
    </row>
    <row r="217" spans="2:4" x14ac:dyDescent="0.2">
      <c r="B217" t="s">
        <v>1444</v>
      </c>
      <c r="C217" t="s">
        <v>1332</v>
      </c>
      <c r="D217" s="153">
        <v>8.5</v>
      </c>
    </row>
    <row r="218" spans="2:4" x14ac:dyDescent="0.2">
      <c r="B218" t="s">
        <v>1446</v>
      </c>
      <c r="C218" t="s">
        <v>1332</v>
      </c>
      <c r="D218" s="153">
        <v>8</v>
      </c>
    </row>
    <row r="219" spans="2:4" x14ac:dyDescent="0.2">
      <c r="B219" t="s">
        <v>1448</v>
      </c>
      <c r="C219" t="s">
        <v>1332</v>
      </c>
      <c r="D219" s="153">
        <v>3.5</v>
      </c>
    </row>
    <row r="220" spans="2:4" x14ac:dyDescent="0.2">
      <c r="B220" t="s">
        <v>1449</v>
      </c>
      <c r="C220" t="s">
        <v>1332</v>
      </c>
      <c r="D220" s="153">
        <v>4.3</v>
      </c>
    </row>
    <row r="221" spans="2:4" x14ac:dyDescent="0.2">
      <c r="B221" t="s">
        <v>1450</v>
      </c>
      <c r="C221" t="s">
        <v>1332</v>
      </c>
      <c r="D221" s="153">
        <v>4</v>
      </c>
    </row>
    <row r="222" spans="2:4" x14ac:dyDescent="0.2">
      <c r="B222" t="s">
        <v>1451</v>
      </c>
      <c r="C222" t="s">
        <v>1332</v>
      </c>
      <c r="D222" s="153">
        <v>3</v>
      </c>
    </row>
    <row r="223" spans="2:4" x14ac:dyDescent="0.2">
      <c r="B223" t="s">
        <v>1452</v>
      </c>
      <c r="C223" t="s">
        <v>1332</v>
      </c>
      <c r="D223" s="153">
        <v>12</v>
      </c>
    </row>
    <row r="224" spans="2:4" x14ac:dyDescent="0.2">
      <c r="B224" t="s">
        <v>1454</v>
      </c>
      <c r="C224" t="s">
        <v>1332</v>
      </c>
      <c r="D224" s="153">
        <v>10</v>
      </c>
    </row>
    <row r="225" spans="2:5" x14ac:dyDescent="0.2">
      <c r="B225" t="s">
        <v>1456</v>
      </c>
      <c r="C225" t="s">
        <v>1332</v>
      </c>
      <c r="D225" s="153">
        <v>21</v>
      </c>
    </row>
    <row r="226" spans="2:5" x14ac:dyDescent="0.2">
      <c r="B226" t="s">
        <v>1458</v>
      </c>
      <c r="C226" t="s">
        <v>1332</v>
      </c>
      <c r="D226" s="153">
        <v>3.2</v>
      </c>
    </row>
    <row r="227" spans="2:5" x14ac:dyDescent="0.2">
      <c r="B227" t="s">
        <v>1462</v>
      </c>
      <c r="C227" t="s">
        <v>1332</v>
      </c>
      <c r="D227" s="153">
        <v>6</v>
      </c>
    </row>
    <row r="228" spans="2:5" x14ac:dyDescent="0.2">
      <c r="B228" t="s">
        <v>1463</v>
      </c>
      <c r="C228" t="s">
        <v>1332</v>
      </c>
      <c r="D228" s="153">
        <v>3.5</v>
      </c>
    </row>
    <row r="229" spans="2:5" x14ac:dyDescent="0.2">
      <c r="B229" t="s">
        <v>1464</v>
      </c>
      <c r="C229" t="s">
        <v>1332</v>
      </c>
      <c r="D229" s="153">
        <v>4.8</v>
      </c>
    </row>
    <row r="230" spans="2:5" x14ac:dyDescent="0.2">
      <c r="B230" t="s">
        <v>230</v>
      </c>
      <c r="C230" t="s">
        <v>339</v>
      </c>
      <c r="D230" s="153">
        <v>1.2</v>
      </c>
      <c r="E230">
        <v>1.2</v>
      </c>
    </row>
    <row r="231" spans="2:5" x14ac:dyDescent="0.2">
      <c r="B231" t="s">
        <v>1467</v>
      </c>
      <c r="C231" t="s">
        <v>1332</v>
      </c>
      <c r="D231" s="153">
        <v>2.2000000000000002</v>
      </c>
    </row>
    <row r="232" spans="2:5" x14ac:dyDescent="0.2">
      <c r="B232" t="s">
        <v>1499</v>
      </c>
      <c r="C232" t="s">
        <v>1332</v>
      </c>
      <c r="D232" s="153">
        <v>3.5</v>
      </c>
    </row>
    <row r="233" spans="2:5" x14ac:dyDescent="0.2">
      <c r="B233" t="s">
        <v>1470</v>
      </c>
      <c r="C233" t="s">
        <v>1332</v>
      </c>
      <c r="D233" s="153">
        <v>0.5</v>
      </c>
    </row>
    <row r="234" spans="2:5" x14ac:dyDescent="0.2">
      <c r="B234" t="s">
        <v>1500</v>
      </c>
      <c r="C234" t="s">
        <v>1322</v>
      </c>
      <c r="D234" s="153">
        <v>3.5</v>
      </c>
    </row>
    <row r="235" spans="2:5" x14ac:dyDescent="0.2">
      <c r="B235" t="s">
        <v>1476</v>
      </c>
      <c r="C235" t="s">
        <v>1322</v>
      </c>
      <c r="D235" s="153">
        <v>7</v>
      </c>
    </row>
    <row r="236" spans="2:5" x14ac:dyDescent="0.2">
      <c r="B236" t="s">
        <v>437</v>
      </c>
      <c r="C236" t="s">
        <v>1501</v>
      </c>
      <c r="D236" s="153">
        <v>1</v>
      </c>
    </row>
    <row r="237" spans="2:5" x14ac:dyDescent="0.2">
      <c r="B237" t="s">
        <v>1478</v>
      </c>
      <c r="C237" t="s">
        <v>1332</v>
      </c>
      <c r="D237" s="153">
        <v>14</v>
      </c>
    </row>
    <row r="238" spans="2:5" x14ac:dyDescent="0.2">
      <c r="B238" t="s">
        <v>1480</v>
      </c>
      <c r="C238" t="s">
        <v>1332</v>
      </c>
      <c r="D238" s="153">
        <v>7.2</v>
      </c>
    </row>
    <row r="239" spans="2:5" x14ac:dyDescent="0.2">
      <c r="B239" t="s">
        <v>1482</v>
      </c>
      <c r="C239" t="s">
        <v>1332</v>
      </c>
      <c r="D239" s="153">
        <v>3.5</v>
      </c>
    </row>
    <row r="240" spans="2:5" x14ac:dyDescent="0.2">
      <c r="B240" t="s">
        <v>1483</v>
      </c>
      <c r="C240" t="s">
        <v>1322</v>
      </c>
      <c r="D240" s="153">
        <v>1.1000000000000001</v>
      </c>
    </row>
    <row r="241" spans="2:4" x14ac:dyDescent="0.2">
      <c r="B241" t="s">
        <v>1485</v>
      </c>
      <c r="C241" t="s">
        <v>1322</v>
      </c>
      <c r="D241" s="153">
        <v>3</v>
      </c>
    </row>
    <row r="242" spans="2:4" x14ac:dyDescent="0.2">
      <c r="B242" t="s">
        <v>1486</v>
      </c>
      <c r="C242" t="s">
        <v>1322</v>
      </c>
      <c r="D242" s="153">
        <v>3.5</v>
      </c>
    </row>
    <row r="243" spans="2:4" x14ac:dyDescent="0.2">
      <c r="B243" t="s">
        <v>1487</v>
      </c>
      <c r="C243" t="s">
        <v>1332</v>
      </c>
      <c r="D243" s="153">
        <v>2.4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31</vt:i4>
      </vt:variant>
    </vt:vector>
  </HeadingPairs>
  <TitlesOfParts>
    <vt:vector size="31" baseType="lpstr">
      <vt:lpstr>INICIO</vt:lpstr>
      <vt:lpstr>RESUMEN_EJECUTIVO</vt:lpstr>
      <vt:lpstr>PUNTO_EQUILIBRIO</vt:lpstr>
      <vt:lpstr>LEEME</vt:lpstr>
      <vt:lpstr>SUP_CONTROL</vt:lpstr>
      <vt:lpstr>SUP_MENU</vt:lpstr>
      <vt:lpstr>SUP_PRECIOS</vt:lpstr>
      <vt:lpstr>SUP_COSTOS</vt:lpstr>
      <vt:lpstr>SUP_INSUMOS</vt:lpstr>
      <vt:lpstr>SUP_VOLUMEN</vt:lpstr>
      <vt:lpstr>SUP_OPEX</vt:lpstr>
      <vt:lpstr>SUP_OVERHEAD</vt:lpstr>
      <vt:lpstr>SUP_TECNOLOGIA</vt:lpstr>
      <vt:lpstr>SUP_CAPEX_PLANTA</vt:lpstr>
      <vt:lpstr>SUP_CAPEX_VENTANA</vt:lpstr>
      <vt:lpstr>SUP_CAPEX_DINEIN</vt:lpstr>
      <vt:lpstr>SUP_CAPEX_FLAGSHIP</vt:lpstr>
      <vt:lpstr>SUP_PRODUCCION</vt:lpstr>
      <vt:lpstr>SUP_PLANTA_OPEX</vt:lpstr>
      <vt:lpstr>CAPA1_PILOTO</vt:lpstr>
      <vt:lpstr>CAPA2_FLAGSHIP</vt:lpstr>
      <vt:lpstr>SUP_C3_EXPANSION</vt:lpstr>
      <vt:lpstr>CAPA3_EXPANSION</vt:lpstr>
      <vt:lpstr>CAPA3_PDV_DETALLE</vt:lpstr>
      <vt:lpstr>SUP_C4_RETAIL</vt:lpstr>
      <vt:lpstr>CAPA4_RETAIL</vt:lpstr>
      <vt:lpstr>CONSOLIDADO</vt:lpstr>
      <vt:lpstr>PL</vt:lpstr>
      <vt:lpstr>CAPA3_DASHBOARD</vt:lpstr>
      <vt:lpstr>PROD_DEMANDA</vt:lpstr>
      <vt:lpstr>CHECKLIST_V2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Jose Barriga</cp:lastModifiedBy>
  <cp:revision>29</cp:revision>
  <dcterms:created xsi:type="dcterms:W3CDTF">2026-07-31T18:58:08Z</dcterms:created>
  <dcterms:modified xsi:type="dcterms:W3CDTF">2026-08-20T06:20:18Z</dcterms:modified>
  <dc:language>en-US</dc:language>
</cp:coreProperties>
</file>